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75" windowWidth="18195" windowHeight="11820" tabRatio="792"/>
  </bookViews>
  <sheets>
    <sheet name="RAP-NATURAL GAS PRICES" sheetId="1" r:id="rId1"/>
    <sheet name="RAP TEMPLATE-GAS AVAILABILITY" sheetId="2" r:id="rId2"/>
    <sheet name="RAP-HEAVY &amp; LIGHT OIL &amp; WTI" sheetId="3" r:id="rId3"/>
    <sheet name="RAP-SOLID FUEL PRICES" sheetId="4" r:id="rId4"/>
    <sheet name="CONTROL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[1]HISTORY!#REF!</definedName>
    <definedName name="__123Graph_A" localSheetId="1" hidden="1">'[2]FPL MOST LIKELY GAS BACKUP 1'!#REF!</definedName>
    <definedName name="__123Graph_A" hidden="1">'[2]FPL MOST LIKELY GAS BACKUP 1'!#REF!</definedName>
    <definedName name="__123Graph_B" localSheetId="1" hidden="1">'[2]FPL MOST LIKELY GAS BACKUP 1'!#REF!</definedName>
    <definedName name="__123Graph_B" hidden="1">'[2]FPL MOST LIKELY GAS BACKUP 1'!#REF!</definedName>
    <definedName name="__123Graph_X" localSheetId="1" hidden="1">'[2]FPL MOST LIKELY GAS BACKUP 1'!#REF!</definedName>
    <definedName name="__123Graph_X" hidden="1">'[2]FPL MOST LIKELY GAS BACKUP 1'!#REF!</definedName>
    <definedName name="_1" localSheetId="1">#REF!</definedName>
    <definedName name="_1">#REF!</definedName>
    <definedName name="_1A" localSheetId="1">#REF!</definedName>
    <definedName name="_1A">#REF!</definedName>
    <definedName name="_2" localSheetId="1">#REF!</definedName>
    <definedName name="_2">#REF!</definedName>
    <definedName name="_3" localSheetId="1">#REF!</definedName>
    <definedName name="_3">#REF!</definedName>
    <definedName name="_4" localSheetId="1">#REF!</definedName>
    <definedName name="_4">#REF!</definedName>
    <definedName name="_5" localSheetId="1">#REF!</definedName>
    <definedName name="_5">#REF!</definedName>
    <definedName name="_6" localSheetId="1">#REF!</definedName>
    <definedName name="_6">#REF!</definedName>
    <definedName name="_7" localSheetId="1">#REF!</definedName>
    <definedName name="_7">#REF!</definedName>
    <definedName name="_8" localSheetId="1">#REF!</definedName>
    <definedName name="_8">#REF!</definedName>
    <definedName name="_9394GAS" localSheetId="1">#REF!</definedName>
    <definedName name="_9394GAS">#REF!</definedName>
    <definedName name="_9394OIL" localSheetId="1">#REF!</definedName>
    <definedName name="_9394OIL">#REF!</definedName>
    <definedName name="_C1" localSheetId="1">#REF!</definedName>
    <definedName name="_C1">#REF!</definedName>
    <definedName name="_GIP1" localSheetId="1">#REF!</definedName>
    <definedName name="_GIP1">#REF!</definedName>
    <definedName name="_SYP1" localSheetId="1">#REF!</definedName>
    <definedName name="_SYP1">#REF!</definedName>
    <definedName name="C_" localSheetId="1">#REF!</definedName>
    <definedName name="C_">#REF!</definedName>
    <definedName name="CC1_" localSheetId="1">#REF!</definedName>
    <definedName name="CC1_">#REF!</definedName>
    <definedName name="COMPET" localSheetId="1">#REF!</definedName>
    <definedName name="COMPET">#REF!</definedName>
    <definedName name="CopyXC" localSheetId="1">#REF!</definedName>
    <definedName name="CopyXC">#REF!</definedName>
    <definedName name="DatabaseNameCopy" localSheetId="1">#REF!</definedName>
    <definedName name="DatabaseNameCopy">#REF!</definedName>
    <definedName name="DatabaseNameDG" localSheetId="1">#REF!</definedName>
    <definedName name="DatabaseNameDG">#REF!</definedName>
    <definedName name="DateColumn" localSheetId="1">[3]_Setup_!#REF!</definedName>
    <definedName name="DateColumn">[3]_Setup_!#REF!</definedName>
    <definedName name="DestColRowXC" localSheetId="1">#REF!</definedName>
    <definedName name="DestColRowXC">#REF!</definedName>
    <definedName name="DestDBname" localSheetId="1">#REF!</definedName>
    <definedName name="DestDBname">#REF!</definedName>
    <definedName name="DestHdrRowColXC" localSheetId="1">#REF!</definedName>
    <definedName name="DestHdrRowColXC">#REF!</definedName>
    <definedName name="DestLayoutXC" localSheetId="1">#REF!</definedName>
    <definedName name="DestLayoutXC">#REF!</definedName>
    <definedName name="DestRowColXC" localSheetId="1">#REF!</definedName>
    <definedName name="DestRowColXC">#REF!</definedName>
    <definedName name="DestStudyName" localSheetId="1">#REF!</definedName>
    <definedName name="DestStudyName">#REF!</definedName>
    <definedName name="DestStudyNameCopy" localSheetId="1">#REF!</definedName>
    <definedName name="DestStudyNameCopy">#REF!</definedName>
    <definedName name="DestUserName" localSheetId="1">#REF!</definedName>
    <definedName name="DestUserName">#REF!</definedName>
    <definedName name="DestWorksheetXC" localSheetId="1">#REF!</definedName>
    <definedName name="DestWorksheetXC">#REF!</definedName>
    <definedName name="EffectiveDate" localSheetId="1">[3]_Setup_!#REF!</definedName>
    <definedName name="EffectiveDate">[3]_Setup_!#REF!</definedName>
    <definedName name="FIRM" localSheetId="1">#REF!</definedName>
    <definedName name="FIRM">#REF!</definedName>
    <definedName name="FIRM1" localSheetId="1">#REF!</definedName>
    <definedName name="FIRM1">#REF!</definedName>
    <definedName name="GAS" localSheetId="1">#REF!</definedName>
    <definedName name="GAS">#REF!</definedName>
    <definedName name="GASAVAIL" localSheetId="1">#REF!</definedName>
    <definedName name="GASAVAIL">#REF!</definedName>
    <definedName name="GIP" localSheetId="1">#REF!</definedName>
    <definedName name="GIP">#REF!</definedName>
    <definedName name="HeaderXC" localSheetId="1">#REF!</definedName>
    <definedName name="HeaderXC">#REF!</definedName>
    <definedName name="I5_" localSheetId="1">#REF!</definedName>
    <definedName name="I5_">#REF!</definedName>
    <definedName name="I6_" localSheetId="1">#REF!</definedName>
    <definedName name="I6_">#REF!</definedName>
    <definedName name="I7_" localSheetId="1">#REF!</definedName>
    <definedName name="I7_">#REF!</definedName>
    <definedName name="ImportListDG" localSheetId="1">#REF!</definedName>
    <definedName name="ImportListDG">#REF!</definedName>
    <definedName name="INDEXDATA">'[4]Index-Data'!$A$2:$CG$68</definedName>
    <definedName name="INFLAT" localSheetId="1">#REF!</definedName>
    <definedName name="INFLAT">#REF!</definedName>
    <definedName name="LayoutXC" localSheetId="1">#REF!</definedName>
    <definedName name="LayoutXC">#REF!</definedName>
    <definedName name="Messages" localSheetId="1">[5]_UnregulatedCurves_!#REF!</definedName>
    <definedName name="Messages">[5]_UnregulatedCurves_!#REF!</definedName>
    <definedName name="MessagesDG" localSheetId="1">#REF!</definedName>
    <definedName name="MessagesDG">#REF!</definedName>
    <definedName name="MessagesDW" localSheetId="1">[5]_UnregulatedCurves_!#REF!</definedName>
    <definedName name="MessagesDW">[5]_UnregulatedCurves_!#REF!</definedName>
    <definedName name="MONTH" localSheetId="1">#REF!</definedName>
    <definedName name="MONTH">#REF!</definedName>
    <definedName name="MONTH1" localSheetId="1">#REF!</definedName>
    <definedName name="MONTH1">#REF!</definedName>
    <definedName name="MONTHID">'[4]Misc-Data'!$A$2:$F$85</definedName>
    <definedName name="MONTHS2" localSheetId="1">#REF!</definedName>
    <definedName name="MONTHS2">#REF!</definedName>
    <definedName name="MONTHS3" localSheetId="1">#REF!</definedName>
    <definedName name="MONTHS3">#REF!</definedName>
    <definedName name="MONTHS4" localSheetId="1">#REF!</definedName>
    <definedName name="MONTHS4">#REF!</definedName>
    <definedName name="MONTHS5" localSheetId="1">#REF!</definedName>
    <definedName name="MONTHS5">#REF!</definedName>
    <definedName name="MONTHS6" localSheetId="1">#REF!</definedName>
    <definedName name="MONTHS6">#REF!</definedName>
    <definedName name="MONTHS7" localSheetId="1">#REF!</definedName>
    <definedName name="MONTHS7">#REF!</definedName>
    <definedName name="OIPBBL" localSheetId="1">#REF!</definedName>
    <definedName name="OIPBBL">#REF!</definedName>
    <definedName name="OIPBBL1" localSheetId="1">#REF!</definedName>
    <definedName name="OIPBBL1">#REF!</definedName>
    <definedName name="PasswordCopy" localSheetId="1">#REF!</definedName>
    <definedName name="PasswordCopy">#REF!</definedName>
    <definedName name="PasswordDG" localSheetId="1">#REF!</definedName>
    <definedName name="PasswordDG">#REF!</definedName>
    <definedName name="PHASEII" localSheetId="1">#REF!</definedName>
    <definedName name="PHASEII">#REF!</definedName>
    <definedName name="PHASEII1" localSheetId="1">#REF!</definedName>
    <definedName name="PHASEII1">#REF!</definedName>
    <definedName name="PHASEIII" localSheetId="1">#REF!</definedName>
    <definedName name="PHASEIII">#REF!</definedName>
    <definedName name="PHASEIII1" localSheetId="1">#REF!</definedName>
    <definedName name="PHASEIII1">#REF!</definedName>
    <definedName name="pipedes">'[4]Misc-Data'!$D$2:$F$69</definedName>
    <definedName name="PRINT">#N/A</definedName>
    <definedName name="_xlnm.Print_Area" localSheetId="1">'RAP TEMPLATE-GAS AVAILABILITY'!$A$17:$J$1136</definedName>
    <definedName name="_xlnm.Print_Area" localSheetId="2">'RAP-HEAVY &amp; LIGHT OIL &amp; WTI'!$A$17:$I$1136</definedName>
    <definedName name="_xlnm.Print_Area" localSheetId="0">'RAP-NATURAL GAS PRICES'!$A$17:$S$1136</definedName>
    <definedName name="_xlnm.Print_Area" localSheetId="3">'RAP-SOLID FUEL PRICES'!$A$17:$K$1132</definedName>
    <definedName name="_xlnm.Print_Titles" localSheetId="1">'RAP TEMPLATE-GAS AVAILABILITY'!$1:$16</definedName>
    <definedName name="_xlnm.Print_Titles" localSheetId="2">'RAP-HEAVY &amp; LIGHT OIL &amp; WTI'!$1:$16</definedName>
    <definedName name="_xlnm.Print_Titles" localSheetId="0">'RAP-NATURAL GAS PRICES'!$1:$16</definedName>
    <definedName name="_xlnm.Print_Titles" localSheetId="3">'RAP-SOLID FUEL PRICES'!$1:$16</definedName>
    <definedName name="RESULTS" localSheetId="1">#REF!</definedName>
    <definedName name="RESULTS">#REF!</definedName>
    <definedName name="RESULTS1" localSheetId="1">#REF!</definedName>
    <definedName name="RESULTS1">#REF!</definedName>
    <definedName name="RESULTS2" localSheetId="1">#REF!</definedName>
    <definedName name="RESULTS2">#REF!</definedName>
    <definedName name="RESULTS3" localSheetId="1">#REF!</definedName>
    <definedName name="RESULTS3">#REF!</definedName>
    <definedName name="RESULTS4" localSheetId="1">#REF!</definedName>
    <definedName name="RESULTS4">#REF!</definedName>
    <definedName name="RESULTSA" localSheetId="1">#REF!</definedName>
    <definedName name="RESULTSA">#REF!</definedName>
    <definedName name="RowStart" localSheetId="1">[3]_Setup_!#REF!</definedName>
    <definedName name="RowStart">[3]_Setup_!#REF!</definedName>
    <definedName name="SelectListCopy" localSheetId="1">#REF!</definedName>
    <definedName name="SelectListCopy">#REF!</definedName>
    <definedName name="SFOR" localSheetId="1">#REF!</definedName>
    <definedName name="SFOR">#REF!</definedName>
    <definedName name="SFOR1" localSheetId="1">#REF!</definedName>
    <definedName name="SFOR1">#REF!</definedName>
    <definedName name="SourceDBname" localSheetId="1">#REF!</definedName>
    <definedName name="SourceDBname">#REF!</definedName>
    <definedName name="SourceStudyName" localSheetId="1">#REF!</definedName>
    <definedName name="SourceStudyName">#REF!</definedName>
    <definedName name="SourceStudyNameCopy" localSheetId="1">#REF!</definedName>
    <definedName name="SourceStudyNameCopy">#REF!</definedName>
    <definedName name="SourceUserName" localSheetId="1">#REF!</definedName>
    <definedName name="SourceUserName">#REF!</definedName>
    <definedName name="SrcColRowXC" localSheetId="1">#REF!</definedName>
    <definedName name="SrcColRowXC">#REF!</definedName>
    <definedName name="SrcFileXC" localSheetId="1">#REF!</definedName>
    <definedName name="SrcFileXC">#REF!</definedName>
    <definedName name="SrcStartRowColXC" localSheetId="1">#REF!</definedName>
    <definedName name="SrcStartRowColXC">#REF!</definedName>
    <definedName name="SrcWorksheetXC" localSheetId="1">#REF!</definedName>
    <definedName name="SrcWorksheetXC">#REF!</definedName>
    <definedName name="StatusCopy" localSheetId="1">#REF!</definedName>
    <definedName name="StatusCopy">#REF!</definedName>
    <definedName name="StatusDG" localSheetId="1">#REF!</definedName>
    <definedName name="StatusDG">#REF!</definedName>
    <definedName name="StatusXC" localSheetId="1">#REF!</definedName>
    <definedName name="StatusXC">#REF!</definedName>
    <definedName name="StudyNameDG" localSheetId="1">#REF!</definedName>
    <definedName name="StudyNameDG">#REF!</definedName>
    <definedName name="SYP" localSheetId="1">#REF!</definedName>
    <definedName name="SYP">#REF!</definedName>
    <definedName name="SYSGAS" localSheetId="1">#REF!</definedName>
    <definedName name="SYSGAS">#REF!</definedName>
    <definedName name="test" hidden="1">'[2]FPL MOST LIKELY GAS BACKUP 1'!#REF!</definedName>
    <definedName name="TITLES" localSheetId="1">#REF!</definedName>
    <definedName name="TITLES">#REF!</definedName>
    <definedName name="TOBBL" localSheetId="1">#REF!</definedName>
    <definedName name="TOBBL">#REF!</definedName>
    <definedName name="TotalRowColXC" localSheetId="1">#REF!</definedName>
    <definedName name="TotalRowColXC">#REF!</definedName>
    <definedName name="TransferListDG" localSheetId="1">#REF!</definedName>
    <definedName name="TransferListDG">#REF!</definedName>
    <definedName name="TTG" localSheetId="1">#REF!</definedName>
    <definedName name="TTG">#REF!</definedName>
    <definedName name="UserNameCopy" localSheetId="1">#REF!</definedName>
    <definedName name="UserNameCopy">#REF!</definedName>
    <definedName name="UserNameDG" localSheetId="1">#REF!</definedName>
    <definedName name="UserNameDG">#REF!</definedName>
    <definedName name="VOLUMES" localSheetId="1">#REF!</definedName>
    <definedName name="VOLUMES">#REF!</definedName>
    <definedName name="VOLUMES1" localSheetId="1">#REF!</definedName>
    <definedName name="VOLUMES1">#REF!</definedName>
    <definedName name="YEAR" localSheetId="1">#REF!</definedName>
    <definedName name="YEAR">#REF!</definedName>
    <definedName name="YEARS" localSheetId="1">#REF!</definedName>
    <definedName name="YEARS">#REF!</definedName>
  </definedNames>
  <calcPr calcId="145621" calcMode="manual"/>
</workbook>
</file>

<file path=xl/calcChain.xml><?xml version="1.0" encoding="utf-8"?>
<calcChain xmlns="http://schemas.openxmlformats.org/spreadsheetml/2006/main">
  <c r="C13" i="4" l="1"/>
  <c r="E13" i="4"/>
  <c r="B17" i="4"/>
  <c r="C17" i="4"/>
  <c r="D17" i="4"/>
  <c r="E17" i="4"/>
  <c r="F17" i="4"/>
  <c r="G17" i="4"/>
  <c r="H17" i="4"/>
  <c r="I17" i="4"/>
  <c r="J17" i="4"/>
  <c r="K17" i="4"/>
  <c r="B18" i="4"/>
  <c r="C18" i="4"/>
  <c r="D18" i="4"/>
  <c r="E18" i="4"/>
  <c r="F18" i="4"/>
  <c r="G18" i="4"/>
  <c r="H18" i="4"/>
  <c r="I18" i="4"/>
  <c r="J18" i="4"/>
  <c r="K18" i="4"/>
  <c r="B19" i="4"/>
  <c r="C19" i="4"/>
  <c r="D19" i="4"/>
  <c r="E19" i="4"/>
  <c r="F19" i="4"/>
  <c r="G19" i="4"/>
  <c r="H19" i="4"/>
  <c r="I19" i="4"/>
  <c r="J19" i="4"/>
  <c r="K19" i="4"/>
  <c r="B20" i="4"/>
  <c r="C20" i="4"/>
  <c r="D20" i="4"/>
  <c r="E20" i="4"/>
  <c r="F20" i="4"/>
  <c r="G20" i="4"/>
  <c r="H20" i="4"/>
  <c r="I20" i="4"/>
  <c r="J20" i="4"/>
  <c r="K20" i="4"/>
  <c r="B21" i="4"/>
  <c r="C21" i="4"/>
  <c r="D21" i="4"/>
  <c r="E21" i="4"/>
  <c r="F21" i="4"/>
  <c r="G21" i="4"/>
  <c r="H21" i="4"/>
  <c r="I21" i="4"/>
  <c r="J21" i="4"/>
  <c r="K21" i="4"/>
  <c r="B22" i="4"/>
  <c r="C22" i="4"/>
  <c r="D22" i="4"/>
  <c r="E22" i="4"/>
  <c r="F22" i="4"/>
  <c r="G22" i="4"/>
  <c r="H22" i="4"/>
  <c r="I22" i="4"/>
  <c r="J22" i="4"/>
  <c r="K22" i="4"/>
  <c r="B23" i="4"/>
  <c r="C23" i="4"/>
  <c r="D23" i="4"/>
  <c r="E23" i="4"/>
  <c r="F23" i="4"/>
  <c r="G23" i="4"/>
  <c r="H23" i="4"/>
  <c r="I23" i="4"/>
  <c r="J23" i="4"/>
  <c r="K23" i="4"/>
  <c r="B24" i="4"/>
  <c r="C24" i="4"/>
  <c r="D24" i="4"/>
  <c r="E24" i="4"/>
  <c r="F24" i="4"/>
  <c r="G24" i="4"/>
  <c r="H24" i="4"/>
  <c r="I24" i="4"/>
  <c r="J24" i="4"/>
  <c r="K24" i="4"/>
  <c r="B25" i="4"/>
  <c r="C25" i="4"/>
  <c r="D25" i="4"/>
  <c r="E25" i="4"/>
  <c r="F25" i="4"/>
  <c r="G25" i="4"/>
  <c r="H25" i="4"/>
  <c r="I25" i="4"/>
  <c r="J25" i="4"/>
  <c r="K25" i="4"/>
  <c r="B26" i="4"/>
  <c r="C26" i="4"/>
  <c r="D26" i="4"/>
  <c r="E26" i="4"/>
  <c r="F26" i="4"/>
  <c r="G26" i="4"/>
  <c r="H26" i="4"/>
  <c r="I26" i="4"/>
  <c r="J26" i="4"/>
  <c r="K26" i="4"/>
  <c r="B27" i="4"/>
  <c r="C27" i="4"/>
  <c r="D27" i="4"/>
  <c r="E27" i="4"/>
  <c r="F27" i="4"/>
  <c r="G27" i="4"/>
  <c r="H27" i="4"/>
  <c r="I27" i="4"/>
  <c r="J27" i="4"/>
  <c r="K27" i="4"/>
  <c r="B28" i="4"/>
  <c r="C28" i="4"/>
  <c r="D28" i="4"/>
  <c r="E28" i="4"/>
  <c r="F28" i="4"/>
  <c r="G28" i="4"/>
  <c r="H28" i="4"/>
  <c r="I28" i="4"/>
  <c r="J28" i="4"/>
  <c r="K28" i="4"/>
  <c r="B29" i="4"/>
  <c r="C29" i="4"/>
  <c r="D29" i="4"/>
  <c r="E29" i="4"/>
  <c r="F29" i="4"/>
  <c r="G29" i="4"/>
  <c r="H29" i="4"/>
  <c r="I29" i="4"/>
  <c r="J29" i="4"/>
  <c r="K29" i="4"/>
  <c r="B30" i="4"/>
  <c r="C30" i="4"/>
  <c r="D30" i="4"/>
  <c r="E30" i="4"/>
  <c r="F30" i="4"/>
  <c r="G30" i="4"/>
  <c r="H30" i="4"/>
  <c r="I30" i="4"/>
  <c r="J30" i="4"/>
  <c r="K30" i="4"/>
  <c r="B31" i="4"/>
  <c r="C31" i="4"/>
  <c r="D31" i="4"/>
  <c r="E31" i="4"/>
  <c r="F31" i="4"/>
  <c r="G31" i="4"/>
  <c r="H31" i="4"/>
  <c r="I31" i="4"/>
  <c r="J31" i="4"/>
  <c r="K31" i="4"/>
  <c r="B32" i="4"/>
  <c r="C32" i="4"/>
  <c r="D32" i="4"/>
  <c r="E32" i="4"/>
  <c r="F32" i="4"/>
  <c r="G32" i="4"/>
  <c r="H32" i="4"/>
  <c r="I32" i="4"/>
  <c r="J32" i="4"/>
  <c r="K32" i="4"/>
  <c r="B33" i="4"/>
  <c r="C33" i="4"/>
  <c r="D33" i="4"/>
  <c r="E33" i="4"/>
  <c r="F33" i="4"/>
  <c r="G33" i="4"/>
  <c r="H33" i="4"/>
  <c r="I33" i="4"/>
  <c r="J33" i="4"/>
  <c r="K33" i="4"/>
  <c r="B34" i="4"/>
  <c r="C34" i="4"/>
  <c r="D34" i="4"/>
  <c r="E34" i="4"/>
  <c r="F34" i="4"/>
  <c r="G34" i="4"/>
  <c r="H34" i="4"/>
  <c r="I34" i="4"/>
  <c r="J34" i="4"/>
  <c r="K34" i="4"/>
  <c r="B35" i="4"/>
  <c r="C35" i="4"/>
  <c r="D35" i="4"/>
  <c r="E35" i="4"/>
  <c r="F35" i="4"/>
  <c r="G35" i="4"/>
  <c r="H35" i="4"/>
  <c r="I35" i="4"/>
  <c r="J35" i="4"/>
  <c r="K35" i="4"/>
  <c r="B36" i="4"/>
  <c r="C36" i="4"/>
  <c r="D36" i="4"/>
  <c r="E36" i="4"/>
  <c r="F36" i="4"/>
  <c r="G36" i="4"/>
  <c r="H36" i="4"/>
  <c r="I36" i="4"/>
  <c r="J36" i="4"/>
  <c r="K36" i="4"/>
  <c r="B37" i="4"/>
  <c r="C37" i="4"/>
  <c r="D37" i="4"/>
  <c r="E37" i="4"/>
  <c r="F37" i="4"/>
  <c r="G37" i="4"/>
  <c r="H37" i="4"/>
  <c r="I37" i="4"/>
  <c r="J37" i="4"/>
  <c r="K37" i="4"/>
  <c r="B38" i="4"/>
  <c r="C38" i="4"/>
  <c r="D38" i="4"/>
  <c r="E38" i="4"/>
  <c r="F38" i="4"/>
  <c r="G38" i="4"/>
  <c r="H38" i="4"/>
  <c r="I38" i="4"/>
  <c r="J38" i="4"/>
  <c r="K38" i="4"/>
  <c r="B39" i="4"/>
  <c r="C39" i="4"/>
  <c r="D39" i="4"/>
  <c r="E39" i="4"/>
  <c r="F39" i="4"/>
  <c r="G39" i="4"/>
  <c r="H39" i="4"/>
  <c r="I39" i="4"/>
  <c r="J39" i="4"/>
  <c r="K39" i="4"/>
  <c r="B40" i="4"/>
  <c r="C40" i="4"/>
  <c r="D40" i="4"/>
  <c r="E40" i="4"/>
  <c r="F40" i="4"/>
  <c r="G40" i="4"/>
  <c r="H40" i="4"/>
  <c r="I40" i="4"/>
  <c r="J40" i="4"/>
  <c r="K40" i="4"/>
  <c r="B41" i="4"/>
  <c r="C41" i="4"/>
  <c r="D41" i="4"/>
  <c r="E41" i="4"/>
  <c r="F41" i="4"/>
  <c r="G41" i="4"/>
  <c r="H41" i="4"/>
  <c r="I41" i="4"/>
  <c r="J41" i="4"/>
  <c r="K41" i="4"/>
  <c r="B42" i="4"/>
  <c r="C42" i="4"/>
  <c r="D42" i="4"/>
  <c r="E42" i="4"/>
  <c r="F42" i="4"/>
  <c r="G42" i="4"/>
  <c r="H42" i="4"/>
  <c r="I42" i="4"/>
  <c r="J42" i="4"/>
  <c r="K42" i="4"/>
  <c r="B43" i="4"/>
  <c r="C43" i="4"/>
  <c r="D43" i="4"/>
  <c r="E43" i="4"/>
  <c r="F43" i="4"/>
  <c r="G43" i="4"/>
  <c r="H43" i="4"/>
  <c r="I43" i="4"/>
  <c r="J43" i="4"/>
  <c r="K43" i="4"/>
  <c r="B44" i="4"/>
  <c r="C44" i="4"/>
  <c r="D44" i="4"/>
  <c r="E44" i="4"/>
  <c r="F44" i="4"/>
  <c r="G44" i="4"/>
  <c r="H44" i="4"/>
  <c r="I44" i="4"/>
  <c r="J44" i="4"/>
  <c r="K44" i="4"/>
  <c r="B45" i="4"/>
  <c r="C45" i="4"/>
  <c r="D45" i="4"/>
  <c r="E45" i="4"/>
  <c r="F45" i="4"/>
  <c r="G45" i="4"/>
  <c r="H45" i="4"/>
  <c r="I45" i="4"/>
  <c r="J45" i="4"/>
  <c r="K45" i="4"/>
  <c r="B46" i="4"/>
  <c r="C46" i="4"/>
  <c r="D46" i="4"/>
  <c r="E46" i="4"/>
  <c r="F46" i="4"/>
  <c r="G46" i="4"/>
  <c r="H46" i="4"/>
  <c r="I46" i="4"/>
  <c r="J46" i="4"/>
  <c r="K46" i="4"/>
  <c r="B47" i="4"/>
  <c r="C47" i="4"/>
  <c r="D47" i="4"/>
  <c r="E47" i="4"/>
  <c r="F47" i="4"/>
  <c r="G47" i="4"/>
  <c r="H47" i="4"/>
  <c r="I47" i="4"/>
  <c r="J47" i="4"/>
  <c r="K47" i="4"/>
  <c r="B48" i="4"/>
  <c r="C48" i="4"/>
  <c r="D48" i="4"/>
  <c r="E48" i="4"/>
  <c r="F48" i="4"/>
  <c r="G48" i="4"/>
  <c r="H48" i="4"/>
  <c r="I48" i="4"/>
  <c r="J48" i="4"/>
  <c r="K48" i="4"/>
  <c r="B49" i="4"/>
  <c r="C49" i="4"/>
  <c r="D49" i="4"/>
  <c r="E49" i="4"/>
  <c r="F49" i="4"/>
  <c r="G49" i="4"/>
  <c r="H49" i="4"/>
  <c r="I49" i="4"/>
  <c r="J49" i="4"/>
  <c r="K49" i="4"/>
  <c r="B50" i="4"/>
  <c r="C50" i="4"/>
  <c r="D50" i="4"/>
  <c r="E50" i="4"/>
  <c r="F50" i="4"/>
  <c r="G50" i="4"/>
  <c r="H50" i="4"/>
  <c r="I50" i="4"/>
  <c r="J50" i="4"/>
  <c r="K50" i="4"/>
  <c r="B51" i="4"/>
  <c r="C51" i="4"/>
  <c r="D51" i="4"/>
  <c r="E51" i="4"/>
  <c r="F51" i="4"/>
  <c r="G51" i="4"/>
  <c r="H51" i="4"/>
  <c r="I51" i="4"/>
  <c r="J51" i="4"/>
  <c r="K51" i="4"/>
  <c r="B52" i="4"/>
  <c r="C52" i="4"/>
  <c r="D52" i="4"/>
  <c r="E52" i="4"/>
  <c r="F52" i="4"/>
  <c r="G52" i="4"/>
  <c r="H52" i="4"/>
  <c r="I52" i="4"/>
  <c r="J52" i="4"/>
  <c r="K52" i="4"/>
  <c r="B53" i="4"/>
  <c r="C53" i="4"/>
  <c r="D53" i="4"/>
  <c r="E53" i="4"/>
  <c r="F53" i="4"/>
  <c r="G53" i="4"/>
  <c r="H53" i="4"/>
  <c r="I53" i="4"/>
  <c r="J53" i="4"/>
  <c r="K53" i="4"/>
  <c r="B54" i="4"/>
  <c r="C54" i="4"/>
  <c r="D54" i="4"/>
  <c r="E54" i="4"/>
  <c r="F54" i="4"/>
  <c r="G54" i="4"/>
  <c r="H54" i="4"/>
  <c r="I54" i="4"/>
  <c r="J54" i="4"/>
  <c r="K54" i="4"/>
  <c r="B55" i="4"/>
  <c r="C55" i="4"/>
  <c r="D55" i="4"/>
  <c r="E55" i="4"/>
  <c r="F55" i="4"/>
  <c r="G55" i="4"/>
  <c r="H55" i="4"/>
  <c r="I55" i="4"/>
  <c r="J55" i="4"/>
  <c r="K55" i="4"/>
  <c r="B56" i="4"/>
  <c r="C56" i="4"/>
  <c r="D56" i="4"/>
  <c r="E56" i="4"/>
  <c r="F56" i="4"/>
  <c r="G56" i="4"/>
  <c r="H56" i="4"/>
  <c r="I56" i="4"/>
  <c r="J56" i="4"/>
  <c r="K56" i="4"/>
  <c r="B57" i="4"/>
  <c r="C57" i="4"/>
  <c r="D57" i="4"/>
  <c r="E57" i="4"/>
  <c r="F57" i="4"/>
  <c r="G57" i="4"/>
  <c r="H57" i="4"/>
  <c r="I57" i="4"/>
  <c r="J57" i="4"/>
  <c r="K57" i="4"/>
  <c r="B58" i="4"/>
  <c r="C58" i="4"/>
  <c r="D58" i="4"/>
  <c r="E58" i="4"/>
  <c r="F58" i="4"/>
  <c r="G58" i="4"/>
  <c r="H58" i="4"/>
  <c r="I58" i="4"/>
  <c r="J58" i="4"/>
  <c r="K58" i="4"/>
  <c r="B59" i="4"/>
  <c r="C59" i="4"/>
  <c r="D59" i="4"/>
  <c r="E59" i="4"/>
  <c r="F59" i="4"/>
  <c r="G59" i="4"/>
  <c r="H59" i="4"/>
  <c r="I59" i="4"/>
  <c r="J59" i="4"/>
  <c r="K59" i="4"/>
  <c r="B60" i="4"/>
  <c r="C60" i="4"/>
  <c r="D60" i="4"/>
  <c r="E60" i="4"/>
  <c r="F60" i="4"/>
  <c r="G60" i="4"/>
  <c r="H60" i="4"/>
  <c r="I60" i="4"/>
  <c r="J60" i="4"/>
  <c r="K60" i="4"/>
  <c r="B61" i="4"/>
  <c r="C61" i="4"/>
  <c r="D61" i="4"/>
  <c r="E61" i="4"/>
  <c r="F61" i="4"/>
  <c r="G61" i="4"/>
  <c r="H61" i="4"/>
  <c r="I61" i="4"/>
  <c r="J61" i="4"/>
  <c r="K61" i="4"/>
  <c r="B62" i="4"/>
  <c r="C62" i="4"/>
  <c r="D62" i="4"/>
  <c r="E62" i="4"/>
  <c r="F62" i="4"/>
  <c r="G62" i="4"/>
  <c r="H62" i="4"/>
  <c r="I62" i="4"/>
  <c r="J62" i="4"/>
  <c r="K62" i="4"/>
  <c r="B63" i="4"/>
  <c r="C63" i="4"/>
  <c r="D63" i="4"/>
  <c r="E63" i="4"/>
  <c r="F63" i="4"/>
  <c r="G63" i="4"/>
  <c r="H63" i="4"/>
  <c r="I63" i="4"/>
  <c r="J63" i="4"/>
  <c r="K63" i="4"/>
  <c r="B64" i="4"/>
  <c r="C64" i="4"/>
  <c r="D64" i="4"/>
  <c r="E64" i="4"/>
  <c r="F64" i="4"/>
  <c r="G64" i="4"/>
  <c r="H64" i="4"/>
  <c r="I64" i="4"/>
  <c r="J64" i="4"/>
  <c r="K64" i="4"/>
  <c r="B65" i="4"/>
  <c r="C65" i="4"/>
  <c r="D65" i="4"/>
  <c r="E65" i="4"/>
  <c r="F65" i="4"/>
  <c r="G65" i="4"/>
  <c r="H65" i="4"/>
  <c r="I65" i="4"/>
  <c r="J65" i="4"/>
  <c r="K65" i="4"/>
  <c r="B66" i="4"/>
  <c r="C66" i="4"/>
  <c r="D66" i="4"/>
  <c r="E66" i="4"/>
  <c r="F66" i="4"/>
  <c r="G66" i="4"/>
  <c r="H66" i="4"/>
  <c r="I66" i="4"/>
  <c r="J66" i="4"/>
  <c r="K66" i="4"/>
  <c r="B67" i="4"/>
  <c r="C67" i="4"/>
  <c r="D67" i="4"/>
  <c r="E67" i="4"/>
  <c r="F67" i="4"/>
  <c r="G67" i="4"/>
  <c r="H67" i="4"/>
  <c r="I67" i="4"/>
  <c r="J67" i="4"/>
  <c r="K67" i="4"/>
  <c r="B68" i="4"/>
  <c r="C68" i="4"/>
  <c r="D68" i="4"/>
  <c r="E68" i="4"/>
  <c r="F68" i="4"/>
  <c r="G68" i="4"/>
  <c r="H68" i="4"/>
  <c r="I68" i="4"/>
  <c r="J68" i="4"/>
  <c r="K68" i="4"/>
  <c r="B69" i="4"/>
  <c r="C69" i="4"/>
  <c r="D69" i="4"/>
  <c r="E69" i="4"/>
  <c r="F69" i="4"/>
  <c r="G69" i="4"/>
  <c r="H69" i="4"/>
  <c r="I69" i="4"/>
  <c r="J69" i="4"/>
  <c r="K69" i="4"/>
  <c r="B70" i="4"/>
  <c r="C70" i="4"/>
  <c r="D70" i="4"/>
  <c r="E70" i="4"/>
  <c r="F70" i="4"/>
  <c r="G70" i="4"/>
  <c r="H70" i="4"/>
  <c r="I70" i="4"/>
  <c r="J70" i="4"/>
  <c r="K70" i="4"/>
  <c r="B71" i="4"/>
  <c r="C71" i="4"/>
  <c r="D71" i="4"/>
  <c r="E71" i="4"/>
  <c r="F71" i="4"/>
  <c r="G71" i="4"/>
  <c r="H71" i="4"/>
  <c r="I71" i="4"/>
  <c r="J71" i="4"/>
  <c r="K71" i="4"/>
  <c r="B72" i="4"/>
  <c r="C72" i="4"/>
  <c r="D72" i="4"/>
  <c r="E72" i="4"/>
  <c r="F72" i="4"/>
  <c r="G72" i="4"/>
  <c r="H72" i="4"/>
  <c r="I72" i="4"/>
  <c r="J72" i="4"/>
  <c r="K72" i="4"/>
  <c r="B73" i="4"/>
  <c r="C73" i="4"/>
  <c r="D73" i="4"/>
  <c r="E73" i="4"/>
  <c r="F73" i="4"/>
  <c r="G73" i="4"/>
  <c r="H73" i="4"/>
  <c r="I73" i="4"/>
  <c r="J73" i="4"/>
  <c r="K73" i="4"/>
  <c r="B74" i="4"/>
  <c r="C74" i="4"/>
  <c r="D74" i="4"/>
  <c r="E74" i="4"/>
  <c r="F74" i="4"/>
  <c r="G74" i="4"/>
  <c r="H74" i="4"/>
  <c r="I74" i="4"/>
  <c r="J74" i="4"/>
  <c r="K74" i="4"/>
  <c r="B75" i="4"/>
  <c r="C75" i="4"/>
  <c r="D75" i="4"/>
  <c r="E75" i="4"/>
  <c r="F75" i="4"/>
  <c r="G75" i="4"/>
  <c r="H75" i="4"/>
  <c r="I75" i="4"/>
  <c r="J75" i="4"/>
  <c r="K75" i="4"/>
  <c r="B76" i="4"/>
  <c r="C76" i="4"/>
  <c r="D76" i="4"/>
  <c r="E76" i="4"/>
  <c r="F76" i="4"/>
  <c r="G76" i="4"/>
  <c r="H76" i="4"/>
  <c r="I76" i="4"/>
  <c r="J76" i="4"/>
  <c r="K76" i="4"/>
  <c r="B77" i="4"/>
  <c r="C77" i="4"/>
  <c r="D77" i="4"/>
  <c r="E77" i="4"/>
  <c r="F77" i="4"/>
  <c r="G77" i="4"/>
  <c r="H77" i="4"/>
  <c r="I77" i="4"/>
  <c r="J77" i="4"/>
  <c r="K77" i="4"/>
  <c r="B78" i="4"/>
  <c r="C78" i="4"/>
  <c r="D78" i="4"/>
  <c r="E78" i="4"/>
  <c r="F78" i="4"/>
  <c r="G78" i="4"/>
  <c r="H78" i="4"/>
  <c r="I78" i="4"/>
  <c r="J78" i="4"/>
  <c r="K78" i="4"/>
  <c r="B79" i="4"/>
  <c r="C79" i="4"/>
  <c r="D79" i="4"/>
  <c r="E79" i="4"/>
  <c r="F79" i="4"/>
  <c r="G79" i="4"/>
  <c r="H79" i="4"/>
  <c r="I79" i="4"/>
  <c r="J79" i="4"/>
  <c r="K79" i="4"/>
  <c r="B80" i="4"/>
  <c r="C80" i="4"/>
  <c r="D80" i="4"/>
  <c r="E80" i="4"/>
  <c r="F80" i="4"/>
  <c r="G80" i="4"/>
  <c r="H80" i="4"/>
  <c r="I80" i="4"/>
  <c r="J80" i="4"/>
  <c r="K80" i="4"/>
  <c r="B81" i="4"/>
  <c r="C81" i="4"/>
  <c r="D81" i="4"/>
  <c r="E81" i="4"/>
  <c r="F81" i="4"/>
  <c r="G81" i="4"/>
  <c r="H81" i="4"/>
  <c r="I81" i="4"/>
  <c r="J81" i="4"/>
  <c r="K81" i="4"/>
  <c r="B82" i="4"/>
  <c r="C82" i="4"/>
  <c r="D82" i="4"/>
  <c r="E82" i="4"/>
  <c r="F82" i="4"/>
  <c r="G82" i="4"/>
  <c r="H82" i="4"/>
  <c r="I82" i="4"/>
  <c r="J82" i="4"/>
  <c r="K82" i="4"/>
  <c r="B83" i="4"/>
  <c r="C83" i="4"/>
  <c r="D83" i="4"/>
  <c r="E83" i="4"/>
  <c r="F83" i="4"/>
  <c r="G83" i="4"/>
  <c r="H83" i="4"/>
  <c r="I83" i="4"/>
  <c r="J83" i="4"/>
  <c r="K83" i="4"/>
  <c r="B84" i="4"/>
  <c r="C84" i="4"/>
  <c r="D84" i="4"/>
  <c r="E84" i="4"/>
  <c r="F84" i="4"/>
  <c r="G84" i="4"/>
  <c r="H84" i="4"/>
  <c r="I84" i="4"/>
  <c r="J84" i="4"/>
  <c r="K84" i="4"/>
  <c r="B85" i="4"/>
  <c r="C85" i="4"/>
  <c r="D85" i="4"/>
  <c r="E85" i="4"/>
  <c r="F85" i="4"/>
  <c r="G85" i="4"/>
  <c r="H85" i="4"/>
  <c r="I85" i="4"/>
  <c r="J85" i="4"/>
  <c r="K85" i="4"/>
  <c r="B86" i="4"/>
  <c r="C86" i="4"/>
  <c r="D86" i="4"/>
  <c r="E86" i="4"/>
  <c r="F86" i="4"/>
  <c r="G86" i="4"/>
  <c r="H86" i="4"/>
  <c r="I86" i="4"/>
  <c r="J86" i="4"/>
  <c r="K86" i="4"/>
  <c r="B87" i="4"/>
  <c r="C87" i="4"/>
  <c r="D87" i="4"/>
  <c r="E87" i="4"/>
  <c r="F87" i="4"/>
  <c r="G87" i="4"/>
  <c r="H87" i="4"/>
  <c r="I87" i="4"/>
  <c r="J87" i="4"/>
  <c r="K87" i="4"/>
  <c r="B88" i="4"/>
  <c r="C88" i="4"/>
  <c r="D88" i="4"/>
  <c r="E88" i="4"/>
  <c r="F88" i="4"/>
  <c r="G88" i="4"/>
  <c r="H88" i="4"/>
  <c r="I88" i="4"/>
  <c r="J88" i="4"/>
  <c r="K88" i="4"/>
  <c r="B89" i="4"/>
  <c r="C89" i="4"/>
  <c r="D89" i="4"/>
  <c r="E89" i="4"/>
  <c r="F89" i="4"/>
  <c r="G89" i="4"/>
  <c r="H89" i="4"/>
  <c r="I89" i="4"/>
  <c r="J89" i="4"/>
  <c r="K89" i="4"/>
  <c r="B90" i="4"/>
  <c r="C90" i="4"/>
  <c r="D90" i="4"/>
  <c r="E90" i="4"/>
  <c r="F90" i="4"/>
  <c r="G90" i="4"/>
  <c r="H90" i="4"/>
  <c r="I90" i="4"/>
  <c r="J90" i="4"/>
  <c r="K90" i="4"/>
  <c r="B91" i="4"/>
  <c r="C91" i="4"/>
  <c r="D91" i="4"/>
  <c r="E91" i="4"/>
  <c r="F91" i="4"/>
  <c r="G91" i="4"/>
  <c r="H91" i="4"/>
  <c r="I91" i="4"/>
  <c r="J91" i="4"/>
  <c r="K91" i="4"/>
  <c r="B92" i="4"/>
  <c r="C92" i="4"/>
  <c r="D92" i="4"/>
  <c r="E92" i="4"/>
  <c r="F92" i="4"/>
  <c r="G92" i="4"/>
  <c r="H92" i="4"/>
  <c r="I92" i="4"/>
  <c r="J92" i="4"/>
  <c r="K92" i="4"/>
  <c r="B93" i="4"/>
  <c r="C93" i="4"/>
  <c r="D93" i="4"/>
  <c r="E93" i="4"/>
  <c r="F93" i="4"/>
  <c r="G93" i="4"/>
  <c r="H93" i="4"/>
  <c r="I93" i="4"/>
  <c r="J93" i="4"/>
  <c r="K93" i="4"/>
  <c r="B94" i="4"/>
  <c r="C94" i="4"/>
  <c r="D94" i="4"/>
  <c r="E94" i="4"/>
  <c r="F94" i="4"/>
  <c r="G94" i="4"/>
  <c r="H94" i="4"/>
  <c r="I94" i="4"/>
  <c r="J94" i="4"/>
  <c r="K94" i="4"/>
  <c r="B95" i="4"/>
  <c r="C95" i="4"/>
  <c r="D95" i="4"/>
  <c r="E95" i="4"/>
  <c r="F95" i="4"/>
  <c r="G95" i="4"/>
  <c r="H95" i="4"/>
  <c r="I95" i="4"/>
  <c r="J95" i="4"/>
  <c r="K95" i="4"/>
  <c r="B96" i="4"/>
  <c r="C96" i="4"/>
  <c r="D96" i="4"/>
  <c r="E96" i="4"/>
  <c r="F96" i="4"/>
  <c r="G96" i="4"/>
  <c r="H96" i="4"/>
  <c r="I96" i="4"/>
  <c r="J96" i="4"/>
  <c r="K96" i="4"/>
  <c r="B97" i="4"/>
  <c r="C97" i="4"/>
  <c r="D97" i="4"/>
  <c r="E97" i="4"/>
  <c r="F97" i="4"/>
  <c r="G97" i="4"/>
  <c r="H97" i="4"/>
  <c r="I97" i="4"/>
  <c r="J97" i="4"/>
  <c r="K97" i="4"/>
  <c r="B98" i="4"/>
  <c r="C98" i="4"/>
  <c r="D98" i="4"/>
  <c r="E98" i="4"/>
  <c r="F98" i="4"/>
  <c r="G98" i="4"/>
  <c r="H98" i="4"/>
  <c r="I98" i="4"/>
  <c r="J98" i="4"/>
  <c r="K98" i="4"/>
  <c r="B99" i="4"/>
  <c r="C99" i="4"/>
  <c r="D99" i="4"/>
  <c r="E99" i="4"/>
  <c r="F99" i="4"/>
  <c r="G99" i="4"/>
  <c r="H99" i="4"/>
  <c r="I99" i="4"/>
  <c r="J99" i="4"/>
  <c r="K99" i="4"/>
  <c r="B100" i="4"/>
  <c r="C100" i="4"/>
  <c r="D100" i="4"/>
  <c r="E100" i="4"/>
  <c r="F100" i="4"/>
  <c r="G100" i="4"/>
  <c r="H100" i="4"/>
  <c r="I100" i="4"/>
  <c r="J100" i="4"/>
  <c r="K100" i="4"/>
  <c r="B101" i="4"/>
  <c r="C101" i="4"/>
  <c r="D101" i="4"/>
  <c r="E101" i="4"/>
  <c r="F101" i="4"/>
  <c r="G101" i="4"/>
  <c r="H101" i="4"/>
  <c r="I101" i="4"/>
  <c r="J101" i="4"/>
  <c r="K101" i="4"/>
  <c r="B102" i="4"/>
  <c r="C102" i="4"/>
  <c r="D102" i="4"/>
  <c r="E102" i="4"/>
  <c r="F102" i="4"/>
  <c r="G102" i="4"/>
  <c r="H102" i="4"/>
  <c r="I102" i="4"/>
  <c r="J102" i="4"/>
  <c r="K102" i="4"/>
  <c r="B103" i="4"/>
  <c r="C103" i="4"/>
  <c r="D103" i="4"/>
  <c r="E103" i="4"/>
  <c r="F103" i="4"/>
  <c r="G103" i="4"/>
  <c r="H103" i="4"/>
  <c r="I103" i="4"/>
  <c r="J103" i="4"/>
  <c r="K103" i="4"/>
  <c r="B104" i="4"/>
  <c r="C104" i="4"/>
  <c r="D104" i="4"/>
  <c r="E104" i="4"/>
  <c r="F104" i="4"/>
  <c r="G104" i="4"/>
  <c r="H104" i="4"/>
  <c r="I104" i="4"/>
  <c r="J104" i="4"/>
  <c r="K104" i="4"/>
  <c r="B105" i="4"/>
  <c r="C105" i="4"/>
  <c r="D105" i="4"/>
  <c r="E105" i="4"/>
  <c r="F105" i="4"/>
  <c r="G105" i="4"/>
  <c r="H105" i="4"/>
  <c r="I105" i="4"/>
  <c r="J105" i="4"/>
  <c r="K105" i="4"/>
  <c r="B106" i="4"/>
  <c r="C106" i="4"/>
  <c r="D106" i="4"/>
  <c r="E106" i="4"/>
  <c r="F106" i="4"/>
  <c r="G106" i="4"/>
  <c r="H106" i="4"/>
  <c r="I106" i="4"/>
  <c r="J106" i="4"/>
  <c r="K106" i="4"/>
  <c r="B107" i="4"/>
  <c r="C107" i="4"/>
  <c r="D107" i="4"/>
  <c r="E107" i="4"/>
  <c r="F107" i="4"/>
  <c r="G107" i="4"/>
  <c r="H107" i="4"/>
  <c r="I107" i="4"/>
  <c r="J107" i="4"/>
  <c r="K107" i="4"/>
  <c r="B108" i="4"/>
  <c r="C108" i="4"/>
  <c r="D108" i="4"/>
  <c r="E108" i="4"/>
  <c r="F108" i="4"/>
  <c r="G108" i="4"/>
  <c r="H108" i="4"/>
  <c r="I108" i="4"/>
  <c r="J108" i="4"/>
  <c r="K108" i="4"/>
  <c r="B109" i="4"/>
  <c r="C109" i="4"/>
  <c r="D109" i="4"/>
  <c r="E109" i="4"/>
  <c r="F109" i="4"/>
  <c r="G109" i="4"/>
  <c r="H109" i="4"/>
  <c r="I109" i="4"/>
  <c r="J109" i="4"/>
  <c r="K109" i="4"/>
  <c r="B110" i="4"/>
  <c r="C110" i="4"/>
  <c r="D110" i="4"/>
  <c r="E110" i="4"/>
  <c r="F110" i="4"/>
  <c r="G110" i="4"/>
  <c r="H110" i="4"/>
  <c r="I110" i="4"/>
  <c r="J110" i="4"/>
  <c r="K110" i="4"/>
  <c r="B111" i="4"/>
  <c r="C111" i="4"/>
  <c r="D111" i="4"/>
  <c r="E111" i="4"/>
  <c r="F111" i="4"/>
  <c r="G111" i="4"/>
  <c r="H111" i="4"/>
  <c r="I111" i="4"/>
  <c r="J111" i="4"/>
  <c r="K111" i="4"/>
  <c r="B112" i="4"/>
  <c r="C112" i="4"/>
  <c r="D112" i="4"/>
  <c r="E112" i="4"/>
  <c r="F112" i="4"/>
  <c r="G112" i="4"/>
  <c r="H112" i="4"/>
  <c r="I112" i="4"/>
  <c r="J112" i="4"/>
  <c r="K112" i="4"/>
  <c r="B113" i="4"/>
  <c r="C113" i="4"/>
  <c r="D113" i="4"/>
  <c r="E113" i="4"/>
  <c r="F113" i="4"/>
  <c r="G113" i="4"/>
  <c r="H113" i="4"/>
  <c r="I113" i="4"/>
  <c r="J113" i="4"/>
  <c r="K113" i="4"/>
  <c r="B114" i="4"/>
  <c r="C114" i="4"/>
  <c r="D114" i="4"/>
  <c r="E114" i="4"/>
  <c r="F114" i="4"/>
  <c r="G114" i="4"/>
  <c r="H114" i="4"/>
  <c r="I114" i="4"/>
  <c r="J114" i="4"/>
  <c r="K114" i="4"/>
  <c r="B115" i="4"/>
  <c r="C115" i="4"/>
  <c r="D115" i="4"/>
  <c r="E115" i="4"/>
  <c r="F115" i="4"/>
  <c r="G115" i="4"/>
  <c r="H115" i="4"/>
  <c r="I115" i="4"/>
  <c r="J115" i="4"/>
  <c r="K115" i="4"/>
  <c r="B116" i="4"/>
  <c r="C116" i="4"/>
  <c r="D116" i="4"/>
  <c r="E116" i="4"/>
  <c r="F116" i="4"/>
  <c r="G116" i="4"/>
  <c r="H116" i="4"/>
  <c r="I116" i="4"/>
  <c r="J116" i="4"/>
  <c r="K116" i="4"/>
  <c r="B117" i="4"/>
  <c r="C117" i="4"/>
  <c r="D117" i="4"/>
  <c r="E117" i="4"/>
  <c r="F117" i="4"/>
  <c r="G117" i="4"/>
  <c r="H117" i="4"/>
  <c r="I117" i="4"/>
  <c r="J117" i="4"/>
  <c r="K117" i="4"/>
  <c r="B118" i="4"/>
  <c r="C118" i="4"/>
  <c r="D118" i="4"/>
  <c r="E118" i="4"/>
  <c r="F118" i="4"/>
  <c r="G118" i="4"/>
  <c r="H118" i="4"/>
  <c r="I118" i="4"/>
  <c r="J118" i="4"/>
  <c r="K118" i="4"/>
  <c r="B119" i="4"/>
  <c r="C119" i="4"/>
  <c r="D119" i="4"/>
  <c r="E119" i="4"/>
  <c r="F119" i="4"/>
  <c r="G119" i="4"/>
  <c r="H119" i="4"/>
  <c r="I119" i="4"/>
  <c r="J119" i="4"/>
  <c r="K119" i="4"/>
  <c r="B120" i="4"/>
  <c r="C120" i="4"/>
  <c r="D120" i="4"/>
  <c r="E120" i="4"/>
  <c r="F120" i="4"/>
  <c r="G120" i="4"/>
  <c r="H120" i="4"/>
  <c r="I120" i="4"/>
  <c r="J120" i="4"/>
  <c r="K120" i="4"/>
  <c r="B121" i="4"/>
  <c r="C121" i="4"/>
  <c r="D121" i="4"/>
  <c r="E121" i="4"/>
  <c r="F121" i="4"/>
  <c r="G121" i="4"/>
  <c r="H121" i="4"/>
  <c r="I121" i="4"/>
  <c r="J121" i="4"/>
  <c r="K121" i="4"/>
  <c r="B122" i="4"/>
  <c r="C122" i="4"/>
  <c r="D122" i="4"/>
  <c r="E122" i="4"/>
  <c r="F122" i="4"/>
  <c r="G122" i="4"/>
  <c r="H122" i="4"/>
  <c r="I122" i="4"/>
  <c r="J122" i="4"/>
  <c r="K122" i="4"/>
  <c r="B123" i="4"/>
  <c r="C123" i="4"/>
  <c r="D123" i="4"/>
  <c r="E123" i="4"/>
  <c r="F123" i="4"/>
  <c r="G123" i="4"/>
  <c r="H123" i="4"/>
  <c r="I123" i="4"/>
  <c r="J123" i="4"/>
  <c r="K123" i="4"/>
  <c r="B124" i="4"/>
  <c r="C124" i="4"/>
  <c r="D124" i="4"/>
  <c r="E124" i="4"/>
  <c r="F124" i="4"/>
  <c r="G124" i="4"/>
  <c r="H124" i="4"/>
  <c r="I124" i="4"/>
  <c r="J124" i="4"/>
  <c r="K124" i="4"/>
  <c r="B125" i="4"/>
  <c r="C125" i="4"/>
  <c r="D125" i="4"/>
  <c r="E125" i="4"/>
  <c r="F125" i="4"/>
  <c r="G125" i="4"/>
  <c r="H125" i="4"/>
  <c r="I125" i="4"/>
  <c r="J125" i="4"/>
  <c r="K125" i="4"/>
  <c r="B126" i="4"/>
  <c r="C126" i="4"/>
  <c r="D126" i="4"/>
  <c r="E126" i="4"/>
  <c r="F126" i="4"/>
  <c r="G126" i="4"/>
  <c r="H126" i="4"/>
  <c r="I126" i="4"/>
  <c r="J126" i="4"/>
  <c r="K126" i="4"/>
  <c r="B127" i="4"/>
  <c r="C127" i="4"/>
  <c r="D127" i="4"/>
  <c r="E127" i="4"/>
  <c r="F127" i="4"/>
  <c r="G127" i="4"/>
  <c r="H127" i="4"/>
  <c r="I127" i="4"/>
  <c r="J127" i="4"/>
  <c r="K127" i="4"/>
  <c r="B128" i="4"/>
  <c r="C128" i="4"/>
  <c r="D128" i="4"/>
  <c r="E128" i="4"/>
  <c r="F128" i="4"/>
  <c r="G128" i="4"/>
  <c r="H128" i="4"/>
  <c r="I128" i="4"/>
  <c r="J128" i="4"/>
  <c r="K128" i="4"/>
  <c r="B129" i="4"/>
  <c r="C129" i="4"/>
  <c r="D129" i="4"/>
  <c r="E129" i="4"/>
  <c r="F129" i="4"/>
  <c r="G129" i="4"/>
  <c r="H129" i="4"/>
  <c r="I129" i="4"/>
  <c r="J129" i="4"/>
  <c r="K129" i="4"/>
  <c r="B130" i="4"/>
  <c r="C130" i="4"/>
  <c r="D130" i="4"/>
  <c r="E130" i="4"/>
  <c r="F130" i="4"/>
  <c r="G130" i="4"/>
  <c r="H130" i="4"/>
  <c r="I130" i="4"/>
  <c r="J130" i="4"/>
  <c r="K130" i="4"/>
  <c r="B131" i="4"/>
  <c r="C131" i="4"/>
  <c r="D131" i="4"/>
  <c r="E131" i="4"/>
  <c r="F131" i="4"/>
  <c r="G131" i="4"/>
  <c r="H131" i="4"/>
  <c r="I131" i="4"/>
  <c r="J131" i="4"/>
  <c r="K131" i="4"/>
  <c r="B132" i="4"/>
  <c r="C132" i="4"/>
  <c r="D132" i="4"/>
  <c r="E132" i="4"/>
  <c r="F132" i="4"/>
  <c r="G132" i="4"/>
  <c r="H132" i="4"/>
  <c r="I132" i="4"/>
  <c r="J132" i="4"/>
  <c r="K132" i="4"/>
  <c r="B133" i="4"/>
  <c r="C133" i="4"/>
  <c r="D133" i="4"/>
  <c r="E133" i="4"/>
  <c r="F133" i="4"/>
  <c r="G133" i="4"/>
  <c r="H133" i="4"/>
  <c r="I133" i="4"/>
  <c r="J133" i="4"/>
  <c r="K133" i="4"/>
  <c r="B134" i="4"/>
  <c r="C134" i="4"/>
  <c r="D134" i="4"/>
  <c r="E134" i="4"/>
  <c r="F134" i="4"/>
  <c r="G134" i="4"/>
  <c r="H134" i="4"/>
  <c r="I134" i="4"/>
  <c r="J134" i="4"/>
  <c r="K134" i="4"/>
  <c r="B135" i="4"/>
  <c r="C135" i="4"/>
  <c r="D135" i="4"/>
  <c r="E135" i="4"/>
  <c r="F135" i="4"/>
  <c r="G135" i="4"/>
  <c r="H135" i="4"/>
  <c r="I135" i="4"/>
  <c r="J135" i="4"/>
  <c r="K135" i="4"/>
  <c r="B136" i="4"/>
  <c r="C136" i="4"/>
  <c r="D136" i="4"/>
  <c r="E136" i="4"/>
  <c r="F136" i="4"/>
  <c r="G136" i="4"/>
  <c r="H136" i="4"/>
  <c r="I136" i="4"/>
  <c r="J136" i="4"/>
  <c r="K136" i="4"/>
  <c r="B137" i="4"/>
  <c r="C137" i="4"/>
  <c r="D137" i="4"/>
  <c r="E137" i="4"/>
  <c r="F137" i="4"/>
  <c r="G137" i="4"/>
  <c r="H137" i="4"/>
  <c r="I137" i="4"/>
  <c r="J137" i="4"/>
  <c r="K137" i="4"/>
  <c r="B138" i="4"/>
  <c r="C138" i="4"/>
  <c r="D138" i="4"/>
  <c r="E138" i="4"/>
  <c r="F138" i="4"/>
  <c r="G138" i="4"/>
  <c r="H138" i="4"/>
  <c r="I138" i="4"/>
  <c r="J138" i="4"/>
  <c r="K138" i="4"/>
  <c r="B139" i="4"/>
  <c r="C139" i="4"/>
  <c r="D139" i="4"/>
  <c r="E139" i="4"/>
  <c r="F139" i="4"/>
  <c r="G139" i="4"/>
  <c r="H139" i="4"/>
  <c r="I139" i="4"/>
  <c r="J139" i="4"/>
  <c r="K139" i="4"/>
  <c r="B140" i="4"/>
  <c r="C140" i="4"/>
  <c r="D140" i="4"/>
  <c r="E140" i="4"/>
  <c r="F140" i="4"/>
  <c r="G140" i="4"/>
  <c r="H140" i="4"/>
  <c r="I140" i="4"/>
  <c r="J140" i="4"/>
  <c r="K140" i="4"/>
  <c r="B141" i="4"/>
  <c r="C141" i="4"/>
  <c r="D141" i="4"/>
  <c r="E141" i="4"/>
  <c r="F141" i="4"/>
  <c r="G141" i="4"/>
  <c r="H141" i="4"/>
  <c r="I141" i="4"/>
  <c r="J141" i="4"/>
  <c r="K141" i="4"/>
  <c r="B142" i="4"/>
  <c r="C142" i="4"/>
  <c r="D142" i="4"/>
  <c r="E142" i="4"/>
  <c r="F142" i="4"/>
  <c r="G142" i="4"/>
  <c r="H142" i="4"/>
  <c r="I142" i="4"/>
  <c r="J142" i="4"/>
  <c r="K142" i="4"/>
  <c r="B143" i="4"/>
  <c r="C143" i="4"/>
  <c r="D143" i="4"/>
  <c r="E143" i="4"/>
  <c r="F143" i="4"/>
  <c r="G143" i="4"/>
  <c r="H143" i="4"/>
  <c r="I143" i="4"/>
  <c r="J143" i="4"/>
  <c r="K143" i="4"/>
  <c r="B144" i="4"/>
  <c r="C144" i="4"/>
  <c r="D144" i="4"/>
  <c r="E144" i="4"/>
  <c r="F144" i="4"/>
  <c r="G144" i="4"/>
  <c r="H144" i="4"/>
  <c r="I144" i="4"/>
  <c r="J144" i="4"/>
  <c r="K144" i="4"/>
  <c r="B145" i="4"/>
  <c r="C145" i="4"/>
  <c r="D145" i="4"/>
  <c r="E145" i="4"/>
  <c r="F145" i="4"/>
  <c r="G145" i="4"/>
  <c r="H145" i="4"/>
  <c r="I145" i="4"/>
  <c r="J145" i="4"/>
  <c r="K145" i="4"/>
  <c r="B146" i="4"/>
  <c r="C146" i="4"/>
  <c r="D146" i="4"/>
  <c r="E146" i="4"/>
  <c r="F146" i="4"/>
  <c r="G146" i="4"/>
  <c r="H146" i="4"/>
  <c r="I146" i="4"/>
  <c r="J146" i="4"/>
  <c r="K146" i="4"/>
  <c r="B147" i="4"/>
  <c r="C147" i="4"/>
  <c r="D147" i="4"/>
  <c r="E147" i="4"/>
  <c r="F147" i="4"/>
  <c r="G147" i="4"/>
  <c r="H147" i="4"/>
  <c r="I147" i="4"/>
  <c r="J147" i="4"/>
  <c r="K147" i="4"/>
  <c r="B148" i="4"/>
  <c r="C148" i="4"/>
  <c r="D148" i="4"/>
  <c r="E148" i="4"/>
  <c r="F148" i="4"/>
  <c r="G148" i="4"/>
  <c r="H148" i="4"/>
  <c r="I148" i="4"/>
  <c r="J148" i="4"/>
  <c r="K148" i="4"/>
  <c r="B149" i="4"/>
  <c r="C149" i="4"/>
  <c r="D149" i="4"/>
  <c r="E149" i="4"/>
  <c r="F149" i="4"/>
  <c r="G149" i="4"/>
  <c r="H149" i="4"/>
  <c r="I149" i="4"/>
  <c r="J149" i="4"/>
  <c r="K149" i="4"/>
  <c r="B150" i="4"/>
  <c r="C150" i="4"/>
  <c r="D150" i="4"/>
  <c r="E150" i="4"/>
  <c r="F150" i="4"/>
  <c r="G150" i="4"/>
  <c r="H150" i="4"/>
  <c r="I150" i="4"/>
  <c r="J150" i="4"/>
  <c r="K150" i="4"/>
  <c r="B151" i="4"/>
  <c r="C151" i="4"/>
  <c r="D151" i="4"/>
  <c r="E151" i="4"/>
  <c r="F151" i="4"/>
  <c r="G151" i="4"/>
  <c r="H151" i="4"/>
  <c r="I151" i="4"/>
  <c r="J151" i="4"/>
  <c r="K151" i="4"/>
  <c r="B152" i="4"/>
  <c r="C152" i="4"/>
  <c r="D152" i="4"/>
  <c r="E152" i="4"/>
  <c r="F152" i="4"/>
  <c r="G152" i="4"/>
  <c r="H152" i="4"/>
  <c r="I152" i="4"/>
  <c r="J152" i="4"/>
  <c r="K152" i="4"/>
  <c r="B153" i="4"/>
  <c r="C153" i="4"/>
  <c r="D153" i="4"/>
  <c r="E153" i="4"/>
  <c r="F153" i="4"/>
  <c r="G153" i="4"/>
  <c r="H153" i="4"/>
  <c r="I153" i="4"/>
  <c r="J153" i="4"/>
  <c r="K153" i="4"/>
  <c r="B154" i="4"/>
  <c r="C154" i="4"/>
  <c r="D154" i="4"/>
  <c r="E154" i="4"/>
  <c r="F154" i="4"/>
  <c r="G154" i="4"/>
  <c r="H154" i="4"/>
  <c r="I154" i="4"/>
  <c r="J154" i="4"/>
  <c r="K154" i="4"/>
  <c r="B155" i="4"/>
  <c r="C155" i="4"/>
  <c r="D155" i="4"/>
  <c r="E155" i="4"/>
  <c r="F155" i="4"/>
  <c r="G155" i="4"/>
  <c r="H155" i="4"/>
  <c r="I155" i="4"/>
  <c r="J155" i="4"/>
  <c r="K155" i="4"/>
  <c r="B156" i="4"/>
  <c r="C156" i="4"/>
  <c r="D156" i="4"/>
  <c r="E156" i="4"/>
  <c r="F156" i="4"/>
  <c r="G156" i="4"/>
  <c r="H156" i="4"/>
  <c r="I156" i="4"/>
  <c r="J156" i="4"/>
  <c r="K156" i="4"/>
  <c r="B157" i="4"/>
  <c r="C157" i="4"/>
  <c r="D157" i="4"/>
  <c r="E157" i="4"/>
  <c r="F157" i="4"/>
  <c r="G157" i="4"/>
  <c r="H157" i="4"/>
  <c r="I157" i="4"/>
  <c r="J157" i="4"/>
  <c r="K157" i="4"/>
  <c r="B158" i="4"/>
  <c r="C158" i="4"/>
  <c r="D158" i="4"/>
  <c r="E158" i="4"/>
  <c r="F158" i="4"/>
  <c r="G158" i="4"/>
  <c r="H158" i="4"/>
  <c r="I158" i="4"/>
  <c r="J158" i="4"/>
  <c r="K158" i="4"/>
  <c r="B159" i="4"/>
  <c r="C159" i="4"/>
  <c r="D159" i="4"/>
  <c r="E159" i="4"/>
  <c r="F159" i="4"/>
  <c r="G159" i="4"/>
  <c r="H159" i="4"/>
  <c r="I159" i="4"/>
  <c r="J159" i="4"/>
  <c r="K159" i="4"/>
  <c r="B160" i="4"/>
  <c r="C160" i="4"/>
  <c r="D160" i="4"/>
  <c r="E160" i="4"/>
  <c r="F160" i="4"/>
  <c r="G160" i="4"/>
  <c r="H160" i="4"/>
  <c r="I160" i="4"/>
  <c r="J160" i="4"/>
  <c r="K160" i="4"/>
  <c r="B161" i="4"/>
  <c r="C161" i="4"/>
  <c r="D161" i="4"/>
  <c r="E161" i="4"/>
  <c r="F161" i="4"/>
  <c r="G161" i="4"/>
  <c r="H161" i="4"/>
  <c r="I161" i="4"/>
  <c r="J161" i="4"/>
  <c r="K161" i="4"/>
  <c r="B162" i="4"/>
  <c r="C162" i="4"/>
  <c r="D162" i="4"/>
  <c r="E162" i="4"/>
  <c r="F162" i="4"/>
  <c r="G162" i="4"/>
  <c r="H162" i="4"/>
  <c r="I162" i="4"/>
  <c r="J162" i="4"/>
  <c r="K162" i="4"/>
  <c r="B163" i="4"/>
  <c r="C163" i="4"/>
  <c r="D163" i="4"/>
  <c r="E163" i="4"/>
  <c r="F163" i="4"/>
  <c r="G163" i="4"/>
  <c r="H163" i="4"/>
  <c r="I163" i="4"/>
  <c r="J163" i="4"/>
  <c r="K163" i="4"/>
  <c r="B164" i="4"/>
  <c r="C164" i="4"/>
  <c r="D164" i="4"/>
  <c r="E164" i="4"/>
  <c r="F164" i="4"/>
  <c r="G164" i="4"/>
  <c r="H164" i="4"/>
  <c r="I164" i="4"/>
  <c r="J164" i="4"/>
  <c r="K164" i="4"/>
  <c r="B165" i="4"/>
  <c r="C165" i="4"/>
  <c r="D165" i="4"/>
  <c r="E165" i="4"/>
  <c r="F165" i="4"/>
  <c r="G165" i="4"/>
  <c r="H165" i="4"/>
  <c r="I165" i="4"/>
  <c r="J165" i="4"/>
  <c r="K165" i="4"/>
  <c r="B166" i="4"/>
  <c r="C166" i="4"/>
  <c r="D166" i="4"/>
  <c r="E166" i="4"/>
  <c r="F166" i="4"/>
  <c r="G166" i="4"/>
  <c r="H166" i="4"/>
  <c r="I166" i="4"/>
  <c r="J166" i="4"/>
  <c r="K166" i="4"/>
  <c r="B167" i="4"/>
  <c r="C167" i="4"/>
  <c r="D167" i="4"/>
  <c r="E167" i="4"/>
  <c r="F167" i="4"/>
  <c r="G167" i="4"/>
  <c r="H167" i="4"/>
  <c r="I167" i="4"/>
  <c r="J167" i="4"/>
  <c r="K167" i="4"/>
  <c r="B168" i="4"/>
  <c r="C168" i="4"/>
  <c r="D168" i="4"/>
  <c r="E168" i="4"/>
  <c r="F168" i="4"/>
  <c r="G168" i="4"/>
  <c r="H168" i="4"/>
  <c r="I168" i="4"/>
  <c r="J168" i="4"/>
  <c r="K168" i="4"/>
  <c r="B169" i="4"/>
  <c r="C169" i="4"/>
  <c r="D169" i="4"/>
  <c r="E169" i="4"/>
  <c r="F169" i="4"/>
  <c r="G169" i="4"/>
  <c r="H169" i="4"/>
  <c r="I169" i="4"/>
  <c r="J169" i="4"/>
  <c r="K169" i="4"/>
  <c r="B170" i="4"/>
  <c r="C170" i="4"/>
  <c r="D170" i="4"/>
  <c r="E170" i="4"/>
  <c r="F170" i="4"/>
  <c r="G170" i="4"/>
  <c r="H170" i="4"/>
  <c r="I170" i="4"/>
  <c r="J170" i="4"/>
  <c r="K170" i="4"/>
  <c r="B171" i="4"/>
  <c r="C171" i="4"/>
  <c r="D171" i="4"/>
  <c r="E171" i="4"/>
  <c r="F171" i="4"/>
  <c r="G171" i="4"/>
  <c r="H171" i="4"/>
  <c r="I171" i="4"/>
  <c r="J171" i="4"/>
  <c r="K171" i="4"/>
  <c r="B172" i="4"/>
  <c r="C172" i="4"/>
  <c r="D172" i="4"/>
  <c r="E172" i="4"/>
  <c r="F172" i="4"/>
  <c r="G172" i="4"/>
  <c r="H172" i="4"/>
  <c r="I172" i="4"/>
  <c r="J172" i="4"/>
  <c r="K172" i="4"/>
  <c r="B173" i="4"/>
  <c r="C173" i="4"/>
  <c r="D173" i="4"/>
  <c r="E173" i="4"/>
  <c r="F173" i="4"/>
  <c r="G173" i="4"/>
  <c r="H173" i="4"/>
  <c r="I173" i="4"/>
  <c r="J173" i="4"/>
  <c r="K173" i="4"/>
  <c r="B174" i="4"/>
  <c r="C174" i="4"/>
  <c r="D174" i="4"/>
  <c r="E174" i="4"/>
  <c r="F174" i="4"/>
  <c r="G174" i="4"/>
  <c r="H174" i="4"/>
  <c r="I174" i="4"/>
  <c r="J174" i="4"/>
  <c r="K174" i="4"/>
  <c r="B175" i="4"/>
  <c r="C175" i="4"/>
  <c r="D175" i="4"/>
  <c r="E175" i="4"/>
  <c r="F175" i="4"/>
  <c r="G175" i="4"/>
  <c r="H175" i="4"/>
  <c r="I175" i="4"/>
  <c r="J175" i="4"/>
  <c r="K175" i="4"/>
  <c r="B176" i="4"/>
  <c r="C176" i="4"/>
  <c r="D176" i="4"/>
  <c r="E176" i="4"/>
  <c r="F176" i="4"/>
  <c r="G176" i="4"/>
  <c r="H176" i="4"/>
  <c r="I176" i="4"/>
  <c r="J176" i="4"/>
  <c r="K176" i="4"/>
  <c r="B177" i="4"/>
  <c r="C177" i="4"/>
  <c r="D177" i="4"/>
  <c r="E177" i="4"/>
  <c r="F177" i="4"/>
  <c r="G177" i="4"/>
  <c r="H177" i="4"/>
  <c r="I177" i="4"/>
  <c r="J177" i="4"/>
  <c r="K177" i="4"/>
  <c r="B178" i="4"/>
  <c r="C178" i="4"/>
  <c r="D178" i="4"/>
  <c r="E178" i="4"/>
  <c r="F178" i="4"/>
  <c r="G178" i="4"/>
  <c r="H178" i="4"/>
  <c r="I178" i="4"/>
  <c r="J178" i="4"/>
  <c r="K178" i="4"/>
  <c r="B179" i="4"/>
  <c r="C179" i="4"/>
  <c r="D179" i="4"/>
  <c r="E179" i="4"/>
  <c r="F179" i="4"/>
  <c r="G179" i="4"/>
  <c r="H179" i="4"/>
  <c r="I179" i="4"/>
  <c r="J179" i="4"/>
  <c r="K179" i="4"/>
  <c r="B180" i="4"/>
  <c r="C180" i="4"/>
  <c r="D180" i="4"/>
  <c r="E180" i="4"/>
  <c r="F180" i="4"/>
  <c r="G180" i="4"/>
  <c r="H180" i="4"/>
  <c r="I180" i="4"/>
  <c r="J180" i="4"/>
  <c r="K180" i="4"/>
  <c r="B181" i="4"/>
  <c r="C181" i="4"/>
  <c r="D181" i="4"/>
  <c r="E181" i="4"/>
  <c r="F181" i="4"/>
  <c r="G181" i="4"/>
  <c r="H181" i="4"/>
  <c r="I181" i="4"/>
  <c r="J181" i="4"/>
  <c r="K181" i="4"/>
  <c r="B182" i="4"/>
  <c r="C182" i="4"/>
  <c r="D182" i="4"/>
  <c r="E182" i="4"/>
  <c r="F182" i="4"/>
  <c r="G182" i="4"/>
  <c r="H182" i="4"/>
  <c r="I182" i="4"/>
  <c r="J182" i="4"/>
  <c r="K182" i="4"/>
  <c r="B183" i="4"/>
  <c r="C183" i="4"/>
  <c r="D183" i="4"/>
  <c r="E183" i="4"/>
  <c r="F183" i="4"/>
  <c r="G183" i="4"/>
  <c r="H183" i="4"/>
  <c r="I183" i="4"/>
  <c r="J183" i="4"/>
  <c r="K183" i="4"/>
  <c r="B184" i="4"/>
  <c r="C184" i="4"/>
  <c r="D184" i="4"/>
  <c r="E184" i="4"/>
  <c r="F184" i="4"/>
  <c r="G184" i="4"/>
  <c r="H184" i="4"/>
  <c r="I184" i="4"/>
  <c r="J184" i="4"/>
  <c r="K184" i="4"/>
  <c r="B185" i="4"/>
  <c r="C185" i="4"/>
  <c r="D185" i="4"/>
  <c r="E185" i="4"/>
  <c r="F185" i="4"/>
  <c r="G185" i="4"/>
  <c r="H185" i="4"/>
  <c r="I185" i="4"/>
  <c r="J185" i="4"/>
  <c r="K185" i="4"/>
  <c r="B186" i="4"/>
  <c r="C186" i="4"/>
  <c r="D186" i="4"/>
  <c r="E186" i="4"/>
  <c r="F186" i="4"/>
  <c r="G186" i="4"/>
  <c r="H186" i="4"/>
  <c r="I186" i="4"/>
  <c r="J186" i="4"/>
  <c r="K186" i="4"/>
  <c r="B187" i="4"/>
  <c r="C187" i="4"/>
  <c r="D187" i="4"/>
  <c r="E187" i="4"/>
  <c r="F187" i="4"/>
  <c r="G187" i="4"/>
  <c r="H187" i="4"/>
  <c r="I187" i="4"/>
  <c r="J187" i="4"/>
  <c r="K187" i="4"/>
  <c r="B188" i="4"/>
  <c r="C188" i="4"/>
  <c r="D188" i="4"/>
  <c r="E188" i="4"/>
  <c r="F188" i="4"/>
  <c r="G188" i="4"/>
  <c r="H188" i="4"/>
  <c r="I188" i="4"/>
  <c r="J188" i="4"/>
  <c r="K188" i="4"/>
  <c r="B189" i="4"/>
  <c r="C189" i="4"/>
  <c r="D189" i="4"/>
  <c r="E189" i="4"/>
  <c r="F189" i="4"/>
  <c r="G189" i="4"/>
  <c r="H189" i="4"/>
  <c r="I189" i="4"/>
  <c r="J189" i="4"/>
  <c r="K189" i="4"/>
  <c r="B190" i="4"/>
  <c r="C190" i="4"/>
  <c r="D190" i="4"/>
  <c r="E190" i="4"/>
  <c r="F190" i="4"/>
  <c r="G190" i="4"/>
  <c r="H190" i="4"/>
  <c r="I190" i="4"/>
  <c r="J190" i="4"/>
  <c r="K190" i="4"/>
  <c r="B191" i="4"/>
  <c r="C191" i="4"/>
  <c r="D191" i="4"/>
  <c r="E191" i="4"/>
  <c r="F191" i="4"/>
  <c r="G191" i="4"/>
  <c r="H191" i="4"/>
  <c r="I191" i="4"/>
  <c r="J191" i="4"/>
  <c r="K191" i="4"/>
  <c r="B192" i="4"/>
  <c r="C192" i="4"/>
  <c r="D192" i="4"/>
  <c r="E192" i="4"/>
  <c r="F192" i="4"/>
  <c r="G192" i="4"/>
  <c r="H192" i="4"/>
  <c r="I192" i="4"/>
  <c r="J192" i="4"/>
  <c r="K192" i="4"/>
  <c r="B193" i="4"/>
  <c r="C193" i="4"/>
  <c r="D193" i="4"/>
  <c r="E193" i="4"/>
  <c r="F193" i="4"/>
  <c r="G193" i="4"/>
  <c r="H193" i="4"/>
  <c r="I193" i="4"/>
  <c r="J193" i="4"/>
  <c r="K193" i="4"/>
  <c r="B194" i="4"/>
  <c r="C194" i="4"/>
  <c r="D194" i="4"/>
  <c r="E194" i="4"/>
  <c r="F194" i="4"/>
  <c r="G194" i="4"/>
  <c r="H194" i="4"/>
  <c r="I194" i="4"/>
  <c r="J194" i="4"/>
  <c r="K194" i="4"/>
  <c r="B195" i="4"/>
  <c r="C195" i="4"/>
  <c r="D195" i="4"/>
  <c r="E195" i="4"/>
  <c r="F195" i="4"/>
  <c r="G195" i="4"/>
  <c r="H195" i="4"/>
  <c r="I195" i="4"/>
  <c r="J195" i="4"/>
  <c r="K195" i="4"/>
  <c r="B196" i="4"/>
  <c r="C196" i="4"/>
  <c r="D196" i="4"/>
  <c r="E196" i="4"/>
  <c r="F196" i="4"/>
  <c r="G196" i="4"/>
  <c r="H196" i="4"/>
  <c r="I196" i="4"/>
  <c r="J196" i="4"/>
  <c r="K196" i="4"/>
  <c r="B197" i="4"/>
  <c r="C197" i="4"/>
  <c r="D197" i="4"/>
  <c r="E197" i="4"/>
  <c r="F197" i="4"/>
  <c r="G197" i="4"/>
  <c r="H197" i="4"/>
  <c r="I197" i="4"/>
  <c r="J197" i="4"/>
  <c r="K197" i="4"/>
  <c r="B198" i="4"/>
  <c r="C198" i="4"/>
  <c r="D198" i="4"/>
  <c r="E198" i="4"/>
  <c r="F198" i="4"/>
  <c r="G198" i="4"/>
  <c r="H198" i="4"/>
  <c r="I198" i="4"/>
  <c r="J198" i="4"/>
  <c r="K198" i="4"/>
  <c r="B199" i="4"/>
  <c r="C199" i="4"/>
  <c r="D199" i="4"/>
  <c r="E199" i="4"/>
  <c r="F199" i="4"/>
  <c r="G199" i="4"/>
  <c r="H199" i="4"/>
  <c r="I199" i="4"/>
  <c r="J199" i="4"/>
  <c r="K199" i="4"/>
  <c r="B200" i="4"/>
  <c r="C200" i="4"/>
  <c r="D200" i="4"/>
  <c r="E200" i="4"/>
  <c r="F200" i="4"/>
  <c r="G200" i="4"/>
  <c r="H200" i="4"/>
  <c r="I200" i="4"/>
  <c r="J200" i="4"/>
  <c r="K200" i="4"/>
  <c r="B201" i="4"/>
  <c r="C201" i="4"/>
  <c r="D201" i="4"/>
  <c r="E201" i="4"/>
  <c r="F201" i="4"/>
  <c r="G201" i="4"/>
  <c r="H201" i="4"/>
  <c r="I201" i="4"/>
  <c r="J201" i="4"/>
  <c r="K201" i="4"/>
  <c r="B202" i="4"/>
  <c r="C202" i="4"/>
  <c r="D202" i="4"/>
  <c r="E202" i="4"/>
  <c r="F202" i="4"/>
  <c r="G202" i="4"/>
  <c r="H202" i="4"/>
  <c r="I202" i="4"/>
  <c r="J202" i="4"/>
  <c r="K202" i="4"/>
  <c r="B203" i="4"/>
  <c r="C203" i="4"/>
  <c r="D203" i="4"/>
  <c r="E203" i="4"/>
  <c r="F203" i="4"/>
  <c r="G203" i="4"/>
  <c r="H203" i="4"/>
  <c r="I203" i="4"/>
  <c r="J203" i="4"/>
  <c r="K203" i="4"/>
  <c r="B204" i="4"/>
  <c r="C204" i="4"/>
  <c r="D204" i="4"/>
  <c r="E204" i="4"/>
  <c r="F204" i="4"/>
  <c r="G204" i="4"/>
  <c r="H204" i="4"/>
  <c r="I204" i="4"/>
  <c r="J204" i="4"/>
  <c r="K204" i="4"/>
  <c r="B205" i="4"/>
  <c r="C205" i="4"/>
  <c r="D205" i="4"/>
  <c r="E205" i="4"/>
  <c r="F205" i="4"/>
  <c r="G205" i="4"/>
  <c r="H205" i="4"/>
  <c r="I205" i="4"/>
  <c r="J205" i="4"/>
  <c r="K205" i="4"/>
  <c r="B206" i="4"/>
  <c r="C206" i="4"/>
  <c r="D206" i="4"/>
  <c r="E206" i="4"/>
  <c r="F206" i="4"/>
  <c r="G206" i="4"/>
  <c r="H206" i="4"/>
  <c r="I206" i="4"/>
  <c r="J206" i="4"/>
  <c r="K206" i="4"/>
  <c r="B207" i="4"/>
  <c r="C207" i="4"/>
  <c r="D207" i="4"/>
  <c r="E207" i="4"/>
  <c r="F207" i="4"/>
  <c r="G207" i="4"/>
  <c r="H207" i="4"/>
  <c r="I207" i="4"/>
  <c r="J207" i="4"/>
  <c r="K207" i="4"/>
  <c r="B208" i="4"/>
  <c r="C208" i="4"/>
  <c r="D208" i="4"/>
  <c r="E208" i="4"/>
  <c r="F208" i="4"/>
  <c r="G208" i="4"/>
  <c r="H208" i="4"/>
  <c r="I208" i="4"/>
  <c r="J208" i="4"/>
  <c r="K208" i="4"/>
  <c r="B209" i="4"/>
  <c r="C209" i="4"/>
  <c r="D209" i="4"/>
  <c r="E209" i="4"/>
  <c r="F209" i="4"/>
  <c r="G209" i="4"/>
  <c r="H209" i="4"/>
  <c r="I209" i="4"/>
  <c r="J209" i="4"/>
  <c r="K209" i="4"/>
  <c r="B210" i="4"/>
  <c r="C210" i="4"/>
  <c r="D210" i="4"/>
  <c r="E210" i="4"/>
  <c r="F210" i="4"/>
  <c r="G210" i="4"/>
  <c r="H210" i="4"/>
  <c r="I210" i="4"/>
  <c r="J210" i="4"/>
  <c r="K210" i="4"/>
  <c r="B211" i="4"/>
  <c r="C211" i="4"/>
  <c r="D211" i="4"/>
  <c r="E211" i="4"/>
  <c r="F211" i="4"/>
  <c r="G211" i="4"/>
  <c r="H211" i="4"/>
  <c r="I211" i="4"/>
  <c r="J211" i="4"/>
  <c r="K211" i="4"/>
  <c r="B212" i="4"/>
  <c r="C212" i="4"/>
  <c r="D212" i="4"/>
  <c r="E212" i="4"/>
  <c r="F212" i="4"/>
  <c r="G212" i="4"/>
  <c r="H212" i="4"/>
  <c r="I212" i="4"/>
  <c r="J212" i="4"/>
  <c r="K212" i="4"/>
  <c r="B213" i="4"/>
  <c r="C213" i="4"/>
  <c r="D213" i="4"/>
  <c r="E213" i="4"/>
  <c r="F213" i="4"/>
  <c r="G213" i="4"/>
  <c r="H213" i="4"/>
  <c r="I213" i="4"/>
  <c r="J213" i="4"/>
  <c r="K213" i="4"/>
  <c r="B214" i="4"/>
  <c r="C214" i="4"/>
  <c r="D214" i="4"/>
  <c r="E214" i="4"/>
  <c r="F214" i="4"/>
  <c r="G214" i="4"/>
  <c r="H214" i="4"/>
  <c r="I214" i="4"/>
  <c r="J214" i="4"/>
  <c r="K214" i="4"/>
  <c r="B215" i="4"/>
  <c r="C215" i="4"/>
  <c r="D215" i="4"/>
  <c r="E215" i="4"/>
  <c r="F215" i="4"/>
  <c r="G215" i="4"/>
  <c r="H215" i="4"/>
  <c r="I215" i="4"/>
  <c r="J215" i="4"/>
  <c r="K215" i="4"/>
  <c r="B216" i="4"/>
  <c r="C216" i="4"/>
  <c r="D216" i="4"/>
  <c r="E216" i="4"/>
  <c r="F216" i="4"/>
  <c r="G216" i="4"/>
  <c r="H216" i="4"/>
  <c r="I216" i="4"/>
  <c r="J216" i="4"/>
  <c r="K216" i="4"/>
  <c r="B217" i="4"/>
  <c r="C217" i="4"/>
  <c r="D217" i="4"/>
  <c r="E217" i="4"/>
  <c r="F217" i="4"/>
  <c r="G217" i="4"/>
  <c r="H217" i="4"/>
  <c r="I217" i="4"/>
  <c r="J217" i="4"/>
  <c r="K217" i="4"/>
  <c r="B218" i="4"/>
  <c r="C218" i="4"/>
  <c r="D218" i="4"/>
  <c r="E218" i="4"/>
  <c r="F218" i="4"/>
  <c r="G218" i="4"/>
  <c r="H218" i="4"/>
  <c r="I218" i="4"/>
  <c r="J218" i="4"/>
  <c r="K218" i="4"/>
  <c r="B219" i="4"/>
  <c r="C219" i="4"/>
  <c r="D219" i="4"/>
  <c r="E219" i="4"/>
  <c r="F219" i="4"/>
  <c r="G219" i="4"/>
  <c r="H219" i="4"/>
  <c r="I219" i="4"/>
  <c r="J219" i="4"/>
  <c r="K219" i="4"/>
  <c r="B220" i="4"/>
  <c r="C220" i="4"/>
  <c r="D220" i="4"/>
  <c r="E220" i="4"/>
  <c r="F220" i="4"/>
  <c r="G220" i="4"/>
  <c r="H220" i="4"/>
  <c r="I220" i="4"/>
  <c r="J220" i="4"/>
  <c r="K220" i="4"/>
  <c r="B221" i="4"/>
  <c r="C221" i="4"/>
  <c r="D221" i="4"/>
  <c r="E221" i="4"/>
  <c r="F221" i="4"/>
  <c r="G221" i="4"/>
  <c r="H221" i="4"/>
  <c r="I221" i="4"/>
  <c r="J221" i="4"/>
  <c r="K221" i="4"/>
  <c r="B222" i="4"/>
  <c r="C222" i="4"/>
  <c r="D222" i="4"/>
  <c r="E222" i="4"/>
  <c r="F222" i="4"/>
  <c r="G222" i="4"/>
  <c r="H222" i="4"/>
  <c r="I222" i="4"/>
  <c r="J222" i="4"/>
  <c r="K222" i="4"/>
  <c r="B223" i="4"/>
  <c r="C223" i="4"/>
  <c r="D223" i="4"/>
  <c r="E223" i="4"/>
  <c r="F223" i="4"/>
  <c r="G223" i="4"/>
  <c r="H223" i="4"/>
  <c r="I223" i="4"/>
  <c r="J223" i="4"/>
  <c r="K223" i="4"/>
  <c r="B224" i="4"/>
  <c r="C224" i="4"/>
  <c r="D224" i="4"/>
  <c r="E224" i="4"/>
  <c r="F224" i="4"/>
  <c r="G224" i="4"/>
  <c r="H224" i="4"/>
  <c r="I224" i="4"/>
  <c r="J224" i="4"/>
  <c r="K224" i="4"/>
  <c r="B225" i="4"/>
  <c r="C225" i="4"/>
  <c r="D225" i="4"/>
  <c r="E225" i="4"/>
  <c r="F225" i="4"/>
  <c r="G225" i="4"/>
  <c r="H225" i="4"/>
  <c r="I225" i="4"/>
  <c r="J225" i="4"/>
  <c r="K225" i="4"/>
  <c r="B226" i="4"/>
  <c r="C226" i="4"/>
  <c r="D226" i="4"/>
  <c r="E226" i="4"/>
  <c r="F226" i="4"/>
  <c r="G226" i="4"/>
  <c r="H226" i="4"/>
  <c r="I226" i="4"/>
  <c r="J226" i="4"/>
  <c r="K226" i="4"/>
  <c r="B227" i="4"/>
  <c r="C227" i="4"/>
  <c r="D227" i="4"/>
  <c r="E227" i="4"/>
  <c r="F227" i="4"/>
  <c r="G227" i="4"/>
  <c r="H227" i="4"/>
  <c r="I227" i="4"/>
  <c r="J227" i="4"/>
  <c r="K227" i="4"/>
  <c r="B228" i="4"/>
  <c r="C228" i="4"/>
  <c r="D228" i="4"/>
  <c r="E228" i="4"/>
  <c r="F228" i="4"/>
  <c r="G228" i="4"/>
  <c r="H228" i="4"/>
  <c r="I228" i="4"/>
  <c r="J228" i="4"/>
  <c r="K228" i="4"/>
  <c r="B229" i="4"/>
  <c r="C229" i="4"/>
  <c r="D229" i="4"/>
  <c r="E229" i="4"/>
  <c r="F229" i="4"/>
  <c r="G229" i="4"/>
  <c r="H229" i="4"/>
  <c r="I229" i="4"/>
  <c r="J229" i="4"/>
  <c r="K229" i="4"/>
  <c r="B230" i="4"/>
  <c r="C230" i="4"/>
  <c r="D230" i="4"/>
  <c r="E230" i="4"/>
  <c r="F230" i="4"/>
  <c r="G230" i="4"/>
  <c r="H230" i="4"/>
  <c r="I230" i="4"/>
  <c r="J230" i="4"/>
  <c r="K230" i="4"/>
  <c r="B231" i="4"/>
  <c r="C231" i="4"/>
  <c r="D231" i="4"/>
  <c r="E231" i="4"/>
  <c r="F231" i="4"/>
  <c r="G231" i="4"/>
  <c r="H231" i="4"/>
  <c r="I231" i="4"/>
  <c r="J231" i="4"/>
  <c r="K231" i="4"/>
  <c r="B232" i="4"/>
  <c r="C232" i="4"/>
  <c r="D232" i="4"/>
  <c r="E232" i="4"/>
  <c r="F232" i="4"/>
  <c r="G232" i="4"/>
  <c r="H232" i="4"/>
  <c r="I232" i="4"/>
  <c r="J232" i="4"/>
  <c r="K232" i="4"/>
  <c r="B233" i="4"/>
  <c r="C233" i="4"/>
  <c r="D233" i="4"/>
  <c r="E233" i="4"/>
  <c r="F233" i="4"/>
  <c r="G233" i="4"/>
  <c r="H233" i="4"/>
  <c r="I233" i="4"/>
  <c r="J233" i="4"/>
  <c r="K233" i="4"/>
  <c r="B234" i="4"/>
  <c r="C234" i="4"/>
  <c r="D234" i="4"/>
  <c r="E234" i="4"/>
  <c r="F234" i="4"/>
  <c r="G234" i="4"/>
  <c r="H234" i="4"/>
  <c r="I234" i="4"/>
  <c r="J234" i="4"/>
  <c r="K234" i="4"/>
  <c r="B235" i="4"/>
  <c r="C235" i="4"/>
  <c r="D235" i="4"/>
  <c r="E235" i="4"/>
  <c r="F235" i="4"/>
  <c r="G235" i="4"/>
  <c r="H235" i="4"/>
  <c r="I235" i="4"/>
  <c r="J235" i="4"/>
  <c r="K235" i="4"/>
  <c r="B236" i="4"/>
  <c r="C236" i="4"/>
  <c r="D236" i="4"/>
  <c r="E236" i="4"/>
  <c r="F236" i="4"/>
  <c r="G236" i="4"/>
  <c r="H236" i="4"/>
  <c r="I236" i="4"/>
  <c r="J236" i="4"/>
  <c r="K236" i="4"/>
  <c r="B237" i="4"/>
  <c r="C237" i="4"/>
  <c r="D237" i="4"/>
  <c r="E237" i="4"/>
  <c r="F237" i="4"/>
  <c r="G237" i="4"/>
  <c r="H237" i="4"/>
  <c r="I237" i="4"/>
  <c r="J237" i="4"/>
  <c r="K237" i="4"/>
  <c r="B238" i="4"/>
  <c r="C238" i="4"/>
  <c r="D238" i="4"/>
  <c r="E238" i="4"/>
  <c r="F238" i="4"/>
  <c r="G238" i="4"/>
  <c r="H238" i="4"/>
  <c r="I238" i="4"/>
  <c r="J238" i="4"/>
  <c r="K238" i="4"/>
  <c r="B239" i="4"/>
  <c r="C239" i="4"/>
  <c r="D239" i="4"/>
  <c r="E239" i="4"/>
  <c r="F239" i="4"/>
  <c r="G239" i="4"/>
  <c r="H239" i="4"/>
  <c r="I239" i="4"/>
  <c r="J239" i="4"/>
  <c r="K239" i="4"/>
  <c r="B240" i="4"/>
  <c r="C240" i="4"/>
  <c r="D240" i="4"/>
  <c r="E240" i="4"/>
  <c r="F240" i="4"/>
  <c r="G240" i="4"/>
  <c r="H240" i="4"/>
  <c r="I240" i="4"/>
  <c r="J240" i="4"/>
  <c r="K240" i="4"/>
  <c r="B241" i="4"/>
  <c r="C241" i="4"/>
  <c r="D241" i="4"/>
  <c r="E241" i="4"/>
  <c r="F241" i="4"/>
  <c r="G241" i="4"/>
  <c r="H241" i="4"/>
  <c r="I241" i="4"/>
  <c r="J241" i="4"/>
  <c r="K241" i="4"/>
  <c r="B242" i="4"/>
  <c r="C242" i="4"/>
  <c r="D242" i="4"/>
  <c r="E242" i="4"/>
  <c r="F242" i="4"/>
  <c r="G242" i="4"/>
  <c r="H242" i="4"/>
  <c r="I242" i="4"/>
  <c r="J242" i="4"/>
  <c r="K242" i="4"/>
  <c r="B243" i="4"/>
  <c r="C243" i="4"/>
  <c r="D243" i="4"/>
  <c r="E243" i="4"/>
  <c r="F243" i="4"/>
  <c r="G243" i="4"/>
  <c r="H243" i="4"/>
  <c r="I243" i="4"/>
  <c r="J243" i="4"/>
  <c r="K243" i="4"/>
  <c r="B244" i="4"/>
  <c r="C244" i="4"/>
  <c r="D244" i="4"/>
  <c r="E244" i="4"/>
  <c r="F244" i="4"/>
  <c r="G244" i="4"/>
  <c r="H244" i="4"/>
  <c r="I244" i="4"/>
  <c r="J244" i="4"/>
  <c r="K244" i="4"/>
  <c r="B245" i="4"/>
  <c r="C245" i="4"/>
  <c r="D245" i="4"/>
  <c r="E245" i="4"/>
  <c r="F245" i="4"/>
  <c r="G245" i="4"/>
  <c r="H245" i="4"/>
  <c r="I245" i="4"/>
  <c r="J245" i="4"/>
  <c r="K245" i="4"/>
  <c r="B246" i="4"/>
  <c r="C246" i="4"/>
  <c r="D246" i="4"/>
  <c r="E246" i="4"/>
  <c r="F246" i="4"/>
  <c r="G246" i="4"/>
  <c r="H246" i="4"/>
  <c r="I246" i="4"/>
  <c r="J246" i="4"/>
  <c r="K246" i="4"/>
  <c r="B247" i="4"/>
  <c r="C247" i="4"/>
  <c r="D247" i="4"/>
  <c r="E247" i="4"/>
  <c r="F247" i="4"/>
  <c r="G247" i="4"/>
  <c r="H247" i="4"/>
  <c r="I247" i="4"/>
  <c r="J247" i="4"/>
  <c r="K247" i="4"/>
  <c r="B248" i="4"/>
  <c r="C248" i="4"/>
  <c r="D248" i="4"/>
  <c r="E248" i="4"/>
  <c r="F248" i="4"/>
  <c r="G248" i="4"/>
  <c r="H248" i="4"/>
  <c r="I248" i="4"/>
  <c r="J248" i="4"/>
  <c r="K248" i="4"/>
  <c r="B249" i="4"/>
  <c r="C249" i="4"/>
  <c r="D249" i="4"/>
  <c r="E249" i="4"/>
  <c r="F249" i="4"/>
  <c r="G249" i="4"/>
  <c r="H249" i="4"/>
  <c r="I249" i="4"/>
  <c r="J249" i="4"/>
  <c r="K249" i="4"/>
  <c r="B250" i="4"/>
  <c r="C250" i="4"/>
  <c r="D250" i="4"/>
  <c r="E250" i="4"/>
  <c r="F250" i="4"/>
  <c r="G250" i="4"/>
  <c r="H250" i="4"/>
  <c r="I250" i="4"/>
  <c r="J250" i="4"/>
  <c r="K250" i="4"/>
  <c r="B251" i="4"/>
  <c r="C251" i="4"/>
  <c r="D251" i="4"/>
  <c r="E251" i="4"/>
  <c r="F251" i="4"/>
  <c r="G251" i="4"/>
  <c r="H251" i="4"/>
  <c r="I251" i="4"/>
  <c r="J251" i="4"/>
  <c r="K251" i="4"/>
  <c r="B252" i="4"/>
  <c r="C252" i="4"/>
  <c r="D252" i="4"/>
  <c r="E252" i="4"/>
  <c r="F252" i="4"/>
  <c r="G252" i="4"/>
  <c r="H252" i="4"/>
  <c r="I252" i="4"/>
  <c r="J252" i="4"/>
  <c r="K252" i="4"/>
  <c r="B253" i="4"/>
  <c r="C253" i="4"/>
  <c r="D253" i="4"/>
  <c r="E253" i="4"/>
  <c r="F253" i="4"/>
  <c r="G253" i="4"/>
  <c r="H253" i="4"/>
  <c r="I253" i="4"/>
  <c r="J253" i="4"/>
  <c r="K253" i="4"/>
  <c r="B254" i="4"/>
  <c r="C254" i="4"/>
  <c r="D254" i="4"/>
  <c r="E254" i="4"/>
  <c r="F254" i="4"/>
  <c r="G254" i="4"/>
  <c r="H254" i="4"/>
  <c r="I254" i="4"/>
  <c r="J254" i="4"/>
  <c r="K254" i="4"/>
  <c r="B255" i="4"/>
  <c r="C255" i="4"/>
  <c r="D255" i="4"/>
  <c r="E255" i="4"/>
  <c r="F255" i="4"/>
  <c r="G255" i="4"/>
  <c r="H255" i="4"/>
  <c r="I255" i="4"/>
  <c r="J255" i="4"/>
  <c r="K255" i="4"/>
  <c r="B256" i="4"/>
  <c r="C256" i="4"/>
  <c r="D256" i="4"/>
  <c r="E256" i="4"/>
  <c r="F256" i="4"/>
  <c r="G256" i="4"/>
  <c r="H256" i="4"/>
  <c r="I256" i="4"/>
  <c r="J256" i="4"/>
  <c r="K256" i="4"/>
  <c r="B257" i="4"/>
  <c r="C257" i="4"/>
  <c r="D257" i="4"/>
  <c r="E257" i="4"/>
  <c r="F257" i="4"/>
  <c r="G257" i="4"/>
  <c r="H257" i="4"/>
  <c r="I257" i="4"/>
  <c r="J257" i="4"/>
  <c r="K257" i="4"/>
  <c r="B258" i="4"/>
  <c r="C258" i="4"/>
  <c r="D258" i="4"/>
  <c r="E258" i="4"/>
  <c r="F258" i="4"/>
  <c r="G258" i="4"/>
  <c r="H258" i="4"/>
  <c r="I258" i="4"/>
  <c r="J258" i="4"/>
  <c r="K258" i="4"/>
  <c r="B259" i="4"/>
  <c r="C259" i="4"/>
  <c r="D259" i="4"/>
  <c r="E259" i="4"/>
  <c r="F259" i="4"/>
  <c r="G259" i="4"/>
  <c r="H259" i="4"/>
  <c r="I259" i="4"/>
  <c r="J259" i="4"/>
  <c r="K259" i="4"/>
  <c r="B260" i="4"/>
  <c r="C260" i="4"/>
  <c r="D260" i="4"/>
  <c r="E260" i="4"/>
  <c r="F260" i="4"/>
  <c r="G260" i="4"/>
  <c r="H260" i="4"/>
  <c r="I260" i="4"/>
  <c r="J260" i="4"/>
  <c r="K260" i="4"/>
  <c r="B261" i="4"/>
  <c r="C261" i="4"/>
  <c r="D261" i="4"/>
  <c r="E261" i="4"/>
  <c r="F261" i="4"/>
  <c r="G261" i="4"/>
  <c r="H261" i="4"/>
  <c r="I261" i="4"/>
  <c r="J261" i="4"/>
  <c r="K261" i="4"/>
  <c r="B262" i="4"/>
  <c r="C262" i="4"/>
  <c r="D262" i="4"/>
  <c r="E262" i="4"/>
  <c r="F262" i="4"/>
  <c r="G262" i="4"/>
  <c r="H262" i="4"/>
  <c r="I262" i="4"/>
  <c r="J262" i="4"/>
  <c r="K262" i="4"/>
  <c r="B263" i="4"/>
  <c r="C263" i="4"/>
  <c r="D263" i="4"/>
  <c r="E263" i="4"/>
  <c r="F263" i="4"/>
  <c r="G263" i="4"/>
  <c r="H263" i="4"/>
  <c r="I263" i="4"/>
  <c r="J263" i="4"/>
  <c r="K263" i="4"/>
  <c r="B264" i="4"/>
  <c r="C264" i="4"/>
  <c r="D264" i="4"/>
  <c r="E264" i="4"/>
  <c r="F264" i="4"/>
  <c r="G264" i="4"/>
  <c r="H264" i="4"/>
  <c r="I264" i="4"/>
  <c r="J264" i="4"/>
  <c r="K264" i="4"/>
  <c r="B265" i="4"/>
  <c r="C265" i="4"/>
  <c r="D265" i="4"/>
  <c r="E265" i="4"/>
  <c r="F265" i="4"/>
  <c r="G265" i="4"/>
  <c r="H265" i="4"/>
  <c r="I265" i="4"/>
  <c r="J265" i="4"/>
  <c r="K265" i="4"/>
  <c r="B266" i="4"/>
  <c r="C266" i="4"/>
  <c r="D266" i="4"/>
  <c r="E266" i="4"/>
  <c r="F266" i="4"/>
  <c r="G266" i="4"/>
  <c r="H266" i="4"/>
  <c r="I266" i="4"/>
  <c r="J266" i="4"/>
  <c r="K266" i="4"/>
  <c r="B267" i="4"/>
  <c r="C267" i="4"/>
  <c r="D267" i="4"/>
  <c r="E267" i="4"/>
  <c r="F267" i="4"/>
  <c r="G267" i="4"/>
  <c r="H267" i="4"/>
  <c r="I267" i="4"/>
  <c r="J267" i="4"/>
  <c r="K267" i="4"/>
  <c r="B268" i="4"/>
  <c r="C268" i="4"/>
  <c r="D268" i="4"/>
  <c r="E268" i="4"/>
  <c r="F268" i="4"/>
  <c r="G268" i="4"/>
  <c r="H268" i="4"/>
  <c r="I268" i="4"/>
  <c r="J268" i="4"/>
  <c r="K268" i="4"/>
  <c r="B269" i="4"/>
  <c r="C269" i="4"/>
  <c r="D269" i="4"/>
  <c r="E269" i="4"/>
  <c r="F269" i="4"/>
  <c r="G269" i="4"/>
  <c r="H269" i="4"/>
  <c r="I269" i="4"/>
  <c r="J269" i="4"/>
  <c r="K269" i="4"/>
  <c r="B270" i="4"/>
  <c r="C270" i="4"/>
  <c r="D270" i="4"/>
  <c r="E270" i="4"/>
  <c r="F270" i="4"/>
  <c r="G270" i="4"/>
  <c r="H270" i="4"/>
  <c r="I270" i="4"/>
  <c r="J270" i="4"/>
  <c r="K270" i="4"/>
  <c r="B271" i="4"/>
  <c r="C271" i="4"/>
  <c r="D271" i="4"/>
  <c r="E271" i="4"/>
  <c r="F271" i="4"/>
  <c r="G271" i="4"/>
  <c r="H271" i="4"/>
  <c r="I271" i="4"/>
  <c r="J271" i="4"/>
  <c r="K271" i="4"/>
  <c r="B272" i="4"/>
  <c r="C272" i="4"/>
  <c r="D272" i="4"/>
  <c r="E272" i="4"/>
  <c r="F272" i="4"/>
  <c r="G272" i="4"/>
  <c r="H272" i="4"/>
  <c r="I272" i="4"/>
  <c r="J272" i="4"/>
  <c r="K272" i="4"/>
  <c r="B273" i="4"/>
  <c r="C273" i="4"/>
  <c r="D273" i="4"/>
  <c r="E273" i="4"/>
  <c r="F273" i="4"/>
  <c r="G273" i="4"/>
  <c r="H273" i="4"/>
  <c r="I273" i="4"/>
  <c r="J273" i="4"/>
  <c r="K273" i="4"/>
  <c r="B274" i="4"/>
  <c r="C274" i="4"/>
  <c r="D274" i="4"/>
  <c r="E274" i="4"/>
  <c r="F274" i="4"/>
  <c r="G274" i="4"/>
  <c r="H274" i="4"/>
  <c r="I274" i="4"/>
  <c r="J274" i="4"/>
  <c r="K274" i="4"/>
  <c r="B275" i="4"/>
  <c r="C275" i="4"/>
  <c r="D275" i="4"/>
  <c r="E275" i="4"/>
  <c r="F275" i="4"/>
  <c r="G275" i="4"/>
  <c r="H275" i="4"/>
  <c r="I275" i="4"/>
  <c r="J275" i="4"/>
  <c r="K275" i="4"/>
  <c r="B276" i="4"/>
  <c r="C276" i="4"/>
  <c r="D276" i="4"/>
  <c r="E276" i="4"/>
  <c r="F276" i="4"/>
  <c r="G276" i="4"/>
  <c r="H276" i="4"/>
  <c r="I276" i="4"/>
  <c r="J276" i="4"/>
  <c r="K276" i="4"/>
  <c r="B277" i="4"/>
  <c r="C277" i="4"/>
  <c r="D277" i="4"/>
  <c r="E277" i="4"/>
  <c r="F277" i="4"/>
  <c r="G277" i="4"/>
  <c r="H277" i="4"/>
  <c r="I277" i="4"/>
  <c r="J277" i="4"/>
  <c r="K277" i="4"/>
  <c r="B278" i="4"/>
  <c r="C278" i="4"/>
  <c r="D278" i="4"/>
  <c r="E278" i="4"/>
  <c r="F278" i="4"/>
  <c r="G278" i="4"/>
  <c r="H278" i="4"/>
  <c r="I278" i="4"/>
  <c r="J278" i="4"/>
  <c r="K278" i="4"/>
  <c r="B279" i="4"/>
  <c r="C279" i="4"/>
  <c r="D279" i="4"/>
  <c r="E279" i="4"/>
  <c r="F279" i="4"/>
  <c r="G279" i="4"/>
  <c r="H279" i="4"/>
  <c r="I279" i="4"/>
  <c r="J279" i="4"/>
  <c r="K279" i="4"/>
  <c r="B280" i="4"/>
  <c r="C280" i="4"/>
  <c r="D280" i="4"/>
  <c r="E280" i="4"/>
  <c r="F280" i="4"/>
  <c r="G280" i="4"/>
  <c r="H280" i="4"/>
  <c r="I280" i="4"/>
  <c r="J280" i="4"/>
  <c r="K280" i="4"/>
  <c r="B281" i="4"/>
  <c r="C281" i="4"/>
  <c r="D281" i="4"/>
  <c r="E281" i="4"/>
  <c r="F281" i="4"/>
  <c r="G281" i="4"/>
  <c r="H281" i="4"/>
  <c r="I281" i="4"/>
  <c r="J281" i="4"/>
  <c r="K281" i="4"/>
  <c r="B282" i="4"/>
  <c r="C282" i="4"/>
  <c r="D282" i="4"/>
  <c r="E282" i="4"/>
  <c r="F282" i="4"/>
  <c r="G282" i="4"/>
  <c r="H282" i="4"/>
  <c r="I282" i="4"/>
  <c r="J282" i="4"/>
  <c r="K282" i="4"/>
  <c r="B283" i="4"/>
  <c r="C283" i="4"/>
  <c r="D283" i="4"/>
  <c r="E283" i="4"/>
  <c r="F283" i="4"/>
  <c r="G283" i="4"/>
  <c r="H283" i="4"/>
  <c r="I283" i="4"/>
  <c r="J283" i="4"/>
  <c r="K283" i="4"/>
  <c r="B284" i="4"/>
  <c r="C284" i="4"/>
  <c r="D284" i="4"/>
  <c r="E284" i="4"/>
  <c r="F284" i="4"/>
  <c r="G284" i="4"/>
  <c r="H284" i="4"/>
  <c r="I284" i="4"/>
  <c r="J284" i="4"/>
  <c r="K284" i="4"/>
  <c r="B285" i="4"/>
  <c r="C285" i="4"/>
  <c r="D285" i="4"/>
  <c r="E285" i="4"/>
  <c r="F285" i="4"/>
  <c r="G285" i="4"/>
  <c r="H285" i="4"/>
  <c r="I285" i="4"/>
  <c r="J285" i="4"/>
  <c r="K285" i="4"/>
  <c r="B286" i="4"/>
  <c r="C286" i="4"/>
  <c r="D286" i="4"/>
  <c r="E286" i="4"/>
  <c r="F286" i="4"/>
  <c r="G286" i="4"/>
  <c r="H286" i="4"/>
  <c r="I286" i="4"/>
  <c r="J286" i="4"/>
  <c r="K286" i="4"/>
  <c r="B287" i="4"/>
  <c r="C287" i="4"/>
  <c r="D287" i="4"/>
  <c r="E287" i="4"/>
  <c r="F287" i="4"/>
  <c r="G287" i="4"/>
  <c r="H287" i="4"/>
  <c r="I287" i="4"/>
  <c r="J287" i="4"/>
  <c r="K287" i="4"/>
  <c r="B288" i="4"/>
  <c r="C288" i="4"/>
  <c r="D288" i="4"/>
  <c r="E288" i="4"/>
  <c r="F288" i="4"/>
  <c r="G288" i="4"/>
  <c r="H288" i="4"/>
  <c r="I288" i="4"/>
  <c r="J288" i="4"/>
  <c r="K288" i="4"/>
  <c r="B289" i="4"/>
  <c r="C289" i="4"/>
  <c r="D289" i="4"/>
  <c r="E289" i="4"/>
  <c r="F289" i="4"/>
  <c r="G289" i="4"/>
  <c r="H289" i="4"/>
  <c r="I289" i="4"/>
  <c r="J289" i="4"/>
  <c r="K289" i="4"/>
  <c r="B290" i="4"/>
  <c r="C290" i="4"/>
  <c r="D290" i="4"/>
  <c r="E290" i="4"/>
  <c r="F290" i="4"/>
  <c r="G290" i="4"/>
  <c r="H290" i="4"/>
  <c r="I290" i="4"/>
  <c r="J290" i="4"/>
  <c r="K290" i="4"/>
  <c r="B291" i="4"/>
  <c r="C291" i="4"/>
  <c r="D291" i="4"/>
  <c r="E291" i="4"/>
  <c r="F291" i="4"/>
  <c r="G291" i="4"/>
  <c r="H291" i="4"/>
  <c r="I291" i="4"/>
  <c r="J291" i="4"/>
  <c r="K291" i="4"/>
  <c r="B292" i="4"/>
  <c r="C292" i="4"/>
  <c r="D292" i="4"/>
  <c r="E292" i="4"/>
  <c r="F292" i="4"/>
  <c r="G292" i="4"/>
  <c r="H292" i="4"/>
  <c r="I292" i="4"/>
  <c r="J292" i="4"/>
  <c r="K292" i="4"/>
  <c r="B293" i="4"/>
  <c r="C293" i="4"/>
  <c r="D293" i="4"/>
  <c r="E293" i="4"/>
  <c r="F293" i="4"/>
  <c r="G293" i="4"/>
  <c r="H293" i="4"/>
  <c r="I293" i="4"/>
  <c r="J293" i="4"/>
  <c r="K293" i="4"/>
  <c r="B294" i="4"/>
  <c r="C294" i="4"/>
  <c r="D294" i="4"/>
  <c r="E294" i="4"/>
  <c r="F294" i="4"/>
  <c r="G294" i="4"/>
  <c r="H294" i="4"/>
  <c r="I294" i="4"/>
  <c r="J294" i="4"/>
  <c r="K294" i="4"/>
  <c r="B295" i="4"/>
  <c r="C295" i="4"/>
  <c r="D295" i="4"/>
  <c r="E295" i="4"/>
  <c r="F295" i="4"/>
  <c r="G295" i="4"/>
  <c r="H295" i="4"/>
  <c r="I295" i="4"/>
  <c r="J295" i="4"/>
  <c r="K295" i="4"/>
  <c r="B296" i="4"/>
  <c r="C296" i="4"/>
  <c r="D296" i="4"/>
  <c r="E296" i="4"/>
  <c r="F296" i="4"/>
  <c r="G296" i="4"/>
  <c r="H296" i="4"/>
  <c r="I296" i="4"/>
  <c r="J296" i="4"/>
  <c r="K296" i="4"/>
  <c r="B297" i="4"/>
  <c r="C297" i="4"/>
  <c r="D297" i="4"/>
  <c r="E297" i="4"/>
  <c r="F297" i="4"/>
  <c r="G297" i="4"/>
  <c r="H297" i="4"/>
  <c r="I297" i="4"/>
  <c r="J297" i="4"/>
  <c r="K297" i="4"/>
  <c r="B298" i="4"/>
  <c r="C298" i="4"/>
  <c r="D298" i="4"/>
  <c r="E298" i="4"/>
  <c r="F298" i="4"/>
  <c r="G298" i="4"/>
  <c r="H298" i="4"/>
  <c r="I298" i="4"/>
  <c r="J298" i="4"/>
  <c r="K298" i="4"/>
  <c r="B299" i="4"/>
  <c r="C299" i="4"/>
  <c r="D299" i="4"/>
  <c r="E299" i="4"/>
  <c r="F299" i="4"/>
  <c r="G299" i="4"/>
  <c r="H299" i="4"/>
  <c r="I299" i="4"/>
  <c r="J299" i="4"/>
  <c r="K299" i="4"/>
  <c r="B300" i="4"/>
  <c r="C300" i="4"/>
  <c r="D300" i="4"/>
  <c r="E300" i="4"/>
  <c r="F300" i="4"/>
  <c r="G300" i="4"/>
  <c r="H300" i="4"/>
  <c r="I300" i="4"/>
  <c r="J300" i="4"/>
  <c r="K300" i="4"/>
  <c r="B301" i="4"/>
  <c r="C301" i="4"/>
  <c r="D301" i="4"/>
  <c r="E301" i="4"/>
  <c r="F301" i="4"/>
  <c r="G301" i="4"/>
  <c r="H301" i="4"/>
  <c r="I301" i="4"/>
  <c r="J301" i="4"/>
  <c r="K301" i="4"/>
  <c r="B302" i="4"/>
  <c r="C302" i="4"/>
  <c r="D302" i="4"/>
  <c r="E302" i="4"/>
  <c r="F302" i="4"/>
  <c r="G302" i="4"/>
  <c r="H302" i="4"/>
  <c r="I302" i="4"/>
  <c r="J302" i="4"/>
  <c r="K302" i="4"/>
  <c r="B303" i="4"/>
  <c r="C303" i="4"/>
  <c r="D303" i="4"/>
  <c r="E303" i="4"/>
  <c r="F303" i="4"/>
  <c r="G303" i="4"/>
  <c r="H303" i="4"/>
  <c r="I303" i="4"/>
  <c r="J303" i="4"/>
  <c r="K303" i="4"/>
  <c r="B304" i="4"/>
  <c r="C304" i="4"/>
  <c r="D304" i="4"/>
  <c r="E304" i="4"/>
  <c r="F304" i="4"/>
  <c r="G304" i="4"/>
  <c r="H304" i="4"/>
  <c r="I304" i="4"/>
  <c r="J304" i="4"/>
  <c r="K304" i="4"/>
  <c r="B305" i="4"/>
  <c r="C305" i="4"/>
  <c r="D305" i="4"/>
  <c r="E305" i="4"/>
  <c r="F305" i="4"/>
  <c r="G305" i="4"/>
  <c r="H305" i="4"/>
  <c r="I305" i="4"/>
  <c r="J305" i="4"/>
  <c r="K305" i="4"/>
  <c r="B306" i="4"/>
  <c r="C306" i="4"/>
  <c r="D306" i="4"/>
  <c r="E306" i="4"/>
  <c r="F306" i="4"/>
  <c r="G306" i="4"/>
  <c r="H306" i="4"/>
  <c r="I306" i="4"/>
  <c r="J306" i="4"/>
  <c r="K306" i="4"/>
  <c r="B307" i="4"/>
  <c r="C307" i="4"/>
  <c r="D307" i="4"/>
  <c r="E307" i="4"/>
  <c r="F307" i="4"/>
  <c r="G307" i="4"/>
  <c r="H307" i="4"/>
  <c r="I307" i="4"/>
  <c r="J307" i="4"/>
  <c r="K307" i="4"/>
  <c r="B308" i="4"/>
  <c r="C308" i="4"/>
  <c r="D308" i="4"/>
  <c r="E308" i="4"/>
  <c r="F308" i="4"/>
  <c r="G308" i="4"/>
  <c r="H308" i="4"/>
  <c r="I308" i="4"/>
  <c r="J308" i="4"/>
  <c r="K308" i="4"/>
  <c r="B309" i="4"/>
  <c r="C309" i="4"/>
  <c r="D309" i="4"/>
  <c r="E309" i="4"/>
  <c r="F309" i="4"/>
  <c r="G309" i="4"/>
  <c r="H309" i="4"/>
  <c r="I309" i="4"/>
  <c r="J309" i="4"/>
  <c r="K309" i="4"/>
  <c r="B310" i="4"/>
  <c r="C310" i="4"/>
  <c r="D310" i="4"/>
  <c r="E310" i="4"/>
  <c r="F310" i="4"/>
  <c r="G310" i="4"/>
  <c r="H310" i="4"/>
  <c r="I310" i="4"/>
  <c r="J310" i="4"/>
  <c r="K310" i="4"/>
  <c r="B311" i="4"/>
  <c r="C311" i="4"/>
  <c r="D311" i="4"/>
  <c r="E311" i="4"/>
  <c r="F311" i="4"/>
  <c r="G311" i="4"/>
  <c r="H311" i="4"/>
  <c r="I311" i="4"/>
  <c r="J311" i="4"/>
  <c r="K311" i="4"/>
  <c r="B312" i="4"/>
  <c r="C312" i="4"/>
  <c r="D312" i="4"/>
  <c r="E312" i="4"/>
  <c r="F312" i="4"/>
  <c r="G312" i="4"/>
  <c r="H312" i="4"/>
  <c r="I312" i="4"/>
  <c r="J312" i="4"/>
  <c r="K312" i="4"/>
  <c r="B313" i="4"/>
  <c r="C313" i="4"/>
  <c r="D313" i="4"/>
  <c r="E313" i="4"/>
  <c r="F313" i="4"/>
  <c r="G313" i="4"/>
  <c r="H313" i="4"/>
  <c r="I313" i="4"/>
  <c r="J313" i="4"/>
  <c r="K313" i="4"/>
  <c r="B314" i="4"/>
  <c r="C314" i="4"/>
  <c r="D314" i="4"/>
  <c r="E314" i="4"/>
  <c r="F314" i="4"/>
  <c r="G314" i="4"/>
  <c r="H314" i="4"/>
  <c r="I314" i="4"/>
  <c r="J314" i="4"/>
  <c r="K314" i="4"/>
  <c r="B315" i="4"/>
  <c r="C315" i="4"/>
  <c r="D315" i="4"/>
  <c r="E315" i="4"/>
  <c r="F315" i="4"/>
  <c r="G315" i="4"/>
  <c r="H315" i="4"/>
  <c r="I315" i="4"/>
  <c r="J315" i="4"/>
  <c r="K315" i="4"/>
  <c r="B316" i="4"/>
  <c r="C316" i="4"/>
  <c r="D316" i="4"/>
  <c r="E316" i="4"/>
  <c r="F316" i="4"/>
  <c r="G316" i="4"/>
  <c r="H316" i="4"/>
  <c r="I316" i="4"/>
  <c r="J316" i="4"/>
  <c r="K316" i="4"/>
  <c r="B317" i="4"/>
  <c r="C317" i="4"/>
  <c r="D317" i="4"/>
  <c r="E317" i="4"/>
  <c r="F317" i="4"/>
  <c r="G317" i="4"/>
  <c r="H317" i="4"/>
  <c r="I317" i="4"/>
  <c r="J317" i="4"/>
  <c r="K317" i="4"/>
  <c r="B318" i="4"/>
  <c r="C318" i="4"/>
  <c r="D318" i="4"/>
  <c r="E318" i="4"/>
  <c r="F318" i="4"/>
  <c r="G318" i="4"/>
  <c r="H318" i="4"/>
  <c r="I318" i="4"/>
  <c r="J318" i="4"/>
  <c r="K318" i="4"/>
  <c r="B319" i="4"/>
  <c r="C319" i="4"/>
  <c r="D319" i="4"/>
  <c r="E319" i="4"/>
  <c r="F319" i="4"/>
  <c r="G319" i="4"/>
  <c r="H319" i="4"/>
  <c r="I319" i="4"/>
  <c r="J319" i="4"/>
  <c r="K319" i="4"/>
  <c r="B320" i="4"/>
  <c r="C320" i="4"/>
  <c r="D320" i="4"/>
  <c r="E320" i="4"/>
  <c r="F320" i="4"/>
  <c r="G320" i="4"/>
  <c r="H320" i="4"/>
  <c r="I320" i="4"/>
  <c r="J320" i="4"/>
  <c r="K320" i="4"/>
  <c r="B321" i="4"/>
  <c r="C321" i="4"/>
  <c r="D321" i="4"/>
  <c r="E321" i="4"/>
  <c r="F321" i="4"/>
  <c r="G321" i="4"/>
  <c r="H321" i="4"/>
  <c r="I321" i="4"/>
  <c r="J321" i="4"/>
  <c r="K321" i="4"/>
  <c r="B322" i="4"/>
  <c r="C322" i="4"/>
  <c r="D322" i="4"/>
  <c r="E322" i="4"/>
  <c r="F322" i="4"/>
  <c r="G322" i="4"/>
  <c r="H322" i="4"/>
  <c r="I322" i="4"/>
  <c r="J322" i="4"/>
  <c r="K322" i="4"/>
  <c r="B323" i="4"/>
  <c r="C323" i="4"/>
  <c r="D323" i="4"/>
  <c r="E323" i="4"/>
  <c r="F323" i="4"/>
  <c r="G323" i="4"/>
  <c r="H323" i="4"/>
  <c r="I323" i="4"/>
  <c r="J323" i="4"/>
  <c r="K323" i="4"/>
  <c r="B324" i="4"/>
  <c r="C324" i="4"/>
  <c r="D324" i="4"/>
  <c r="E324" i="4"/>
  <c r="F324" i="4"/>
  <c r="G324" i="4"/>
  <c r="H324" i="4"/>
  <c r="I324" i="4"/>
  <c r="J324" i="4"/>
  <c r="K324" i="4"/>
  <c r="B325" i="4"/>
  <c r="C325" i="4"/>
  <c r="D325" i="4"/>
  <c r="E325" i="4"/>
  <c r="F325" i="4"/>
  <c r="G325" i="4"/>
  <c r="H325" i="4"/>
  <c r="I325" i="4"/>
  <c r="J325" i="4"/>
  <c r="K325" i="4"/>
  <c r="B326" i="4"/>
  <c r="C326" i="4"/>
  <c r="D326" i="4"/>
  <c r="E326" i="4"/>
  <c r="F326" i="4"/>
  <c r="G326" i="4"/>
  <c r="H326" i="4"/>
  <c r="I326" i="4"/>
  <c r="J326" i="4"/>
  <c r="K326" i="4"/>
  <c r="B327" i="4"/>
  <c r="C327" i="4"/>
  <c r="D327" i="4"/>
  <c r="E327" i="4"/>
  <c r="F327" i="4"/>
  <c r="G327" i="4"/>
  <c r="H327" i="4"/>
  <c r="I327" i="4"/>
  <c r="J327" i="4"/>
  <c r="K327" i="4"/>
  <c r="B328" i="4"/>
  <c r="C328" i="4"/>
  <c r="D328" i="4"/>
  <c r="E328" i="4"/>
  <c r="F328" i="4"/>
  <c r="G328" i="4"/>
  <c r="H328" i="4"/>
  <c r="I328" i="4"/>
  <c r="J328" i="4"/>
  <c r="K328" i="4"/>
  <c r="B329" i="4"/>
  <c r="C329" i="4"/>
  <c r="D329" i="4"/>
  <c r="E329" i="4"/>
  <c r="F329" i="4"/>
  <c r="G329" i="4"/>
  <c r="H329" i="4"/>
  <c r="I329" i="4"/>
  <c r="J329" i="4"/>
  <c r="K329" i="4"/>
  <c r="B330" i="4"/>
  <c r="C330" i="4"/>
  <c r="D330" i="4"/>
  <c r="E330" i="4"/>
  <c r="F330" i="4"/>
  <c r="G330" i="4"/>
  <c r="H330" i="4"/>
  <c r="I330" i="4"/>
  <c r="J330" i="4"/>
  <c r="K330" i="4"/>
  <c r="B331" i="4"/>
  <c r="C331" i="4"/>
  <c r="D331" i="4"/>
  <c r="E331" i="4"/>
  <c r="F331" i="4"/>
  <c r="G331" i="4"/>
  <c r="H331" i="4"/>
  <c r="I331" i="4"/>
  <c r="J331" i="4"/>
  <c r="K331" i="4"/>
  <c r="B332" i="4"/>
  <c r="C332" i="4"/>
  <c r="D332" i="4"/>
  <c r="E332" i="4"/>
  <c r="F332" i="4"/>
  <c r="G332" i="4"/>
  <c r="H332" i="4"/>
  <c r="I332" i="4"/>
  <c r="J332" i="4"/>
  <c r="K332" i="4"/>
  <c r="B333" i="4"/>
  <c r="C333" i="4"/>
  <c r="D333" i="4"/>
  <c r="E333" i="4"/>
  <c r="F333" i="4"/>
  <c r="G333" i="4"/>
  <c r="H333" i="4"/>
  <c r="I333" i="4"/>
  <c r="J333" i="4"/>
  <c r="K333" i="4"/>
  <c r="B334" i="4"/>
  <c r="C334" i="4"/>
  <c r="D334" i="4"/>
  <c r="E334" i="4"/>
  <c r="F334" i="4"/>
  <c r="G334" i="4"/>
  <c r="H334" i="4"/>
  <c r="I334" i="4"/>
  <c r="J334" i="4"/>
  <c r="K334" i="4"/>
  <c r="B335" i="4"/>
  <c r="C335" i="4"/>
  <c r="D335" i="4"/>
  <c r="E335" i="4"/>
  <c r="F335" i="4"/>
  <c r="G335" i="4"/>
  <c r="H335" i="4"/>
  <c r="I335" i="4"/>
  <c r="J335" i="4"/>
  <c r="K335" i="4"/>
  <c r="B336" i="4"/>
  <c r="C336" i="4"/>
  <c r="D336" i="4"/>
  <c r="E336" i="4"/>
  <c r="F336" i="4"/>
  <c r="G336" i="4"/>
  <c r="H336" i="4"/>
  <c r="I336" i="4"/>
  <c r="J336" i="4"/>
  <c r="K336" i="4"/>
  <c r="B337" i="4"/>
  <c r="C337" i="4"/>
  <c r="D337" i="4"/>
  <c r="E337" i="4"/>
  <c r="F337" i="4"/>
  <c r="G337" i="4"/>
  <c r="H337" i="4"/>
  <c r="I337" i="4"/>
  <c r="J337" i="4"/>
  <c r="K337" i="4"/>
  <c r="B338" i="4"/>
  <c r="C338" i="4"/>
  <c r="D338" i="4"/>
  <c r="E338" i="4"/>
  <c r="F338" i="4"/>
  <c r="G338" i="4"/>
  <c r="H338" i="4"/>
  <c r="I338" i="4"/>
  <c r="J338" i="4"/>
  <c r="K338" i="4"/>
  <c r="B339" i="4"/>
  <c r="C339" i="4"/>
  <c r="D339" i="4"/>
  <c r="E339" i="4"/>
  <c r="F339" i="4"/>
  <c r="G339" i="4"/>
  <c r="H339" i="4"/>
  <c r="I339" i="4"/>
  <c r="J339" i="4"/>
  <c r="K339" i="4"/>
  <c r="B340" i="4"/>
  <c r="C340" i="4"/>
  <c r="D340" i="4"/>
  <c r="E340" i="4"/>
  <c r="F340" i="4"/>
  <c r="G340" i="4"/>
  <c r="H340" i="4"/>
  <c r="I340" i="4"/>
  <c r="J340" i="4"/>
  <c r="K340" i="4"/>
  <c r="B341" i="4"/>
  <c r="C341" i="4"/>
  <c r="D341" i="4"/>
  <c r="E341" i="4"/>
  <c r="F341" i="4"/>
  <c r="G341" i="4"/>
  <c r="H341" i="4"/>
  <c r="I341" i="4"/>
  <c r="J341" i="4"/>
  <c r="K341" i="4"/>
  <c r="B342" i="4"/>
  <c r="C342" i="4"/>
  <c r="D342" i="4"/>
  <c r="E342" i="4"/>
  <c r="F342" i="4"/>
  <c r="G342" i="4"/>
  <c r="H342" i="4"/>
  <c r="I342" i="4"/>
  <c r="J342" i="4"/>
  <c r="K342" i="4"/>
  <c r="B343" i="4"/>
  <c r="C343" i="4"/>
  <c r="D343" i="4"/>
  <c r="E343" i="4"/>
  <c r="F343" i="4"/>
  <c r="G343" i="4"/>
  <c r="H343" i="4"/>
  <c r="I343" i="4"/>
  <c r="J343" i="4"/>
  <c r="K343" i="4"/>
  <c r="B344" i="4"/>
  <c r="C344" i="4"/>
  <c r="D344" i="4"/>
  <c r="E344" i="4"/>
  <c r="F344" i="4"/>
  <c r="G344" i="4"/>
  <c r="H344" i="4"/>
  <c r="I344" i="4"/>
  <c r="J344" i="4"/>
  <c r="K344" i="4"/>
  <c r="B345" i="4"/>
  <c r="C345" i="4"/>
  <c r="D345" i="4"/>
  <c r="E345" i="4"/>
  <c r="F345" i="4"/>
  <c r="G345" i="4"/>
  <c r="H345" i="4"/>
  <c r="I345" i="4"/>
  <c r="J345" i="4"/>
  <c r="K345" i="4"/>
  <c r="B346" i="4"/>
  <c r="C346" i="4"/>
  <c r="D346" i="4"/>
  <c r="E346" i="4"/>
  <c r="F346" i="4"/>
  <c r="G346" i="4"/>
  <c r="H346" i="4"/>
  <c r="I346" i="4"/>
  <c r="J346" i="4"/>
  <c r="K346" i="4"/>
  <c r="B347" i="4"/>
  <c r="C347" i="4"/>
  <c r="D347" i="4"/>
  <c r="E347" i="4"/>
  <c r="F347" i="4"/>
  <c r="G347" i="4"/>
  <c r="H347" i="4"/>
  <c r="I347" i="4"/>
  <c r="J347" i="4"/>
  <c r="K347" i="4"/>
  <c r="B348" i="4"/>
  <c r="C348" i="4"/>
  <c r="D348" i="4"/>
  <c r="E348" i="4"/>
  <c r="F348" i="4"/>
  <c r="G348" i="4"/>
  <c r="H348" i="4"/>
  <c r="I348" i="4"/>
  <c r="J348" i="4"/>
  <c r="K348" i="4"/>
  <c r="B349" i="4"/>
  <c r="C349" i="4"/>
  <c r="D349" i="4"/>
  <c r="E349" i="4"/>
  <c r="F349" i="4"/>
  <c r="G349" i="4"/>
  <c r="H349" i="4"/>
  <c r="I349" i="4"/>
  <c r="J349" i="4"/>
  <c r="K349" i="4"/>
  <c r="B350" i="4"/>
  <c r="C350" i="4"/>
  <c r="D350" i="4"/>
  <c r="E350" i="4"/>
  <c r="F350" i="4"/>
  <c r="G350" i="4"/>
  <c r="H350" i="4"/>
  <c r="I350" i="4"/>
  <c r="J350" i="4"/>
  <c r="K350" i="4"/>
  <c r="B351" i="4"/>
  <c r="C351" i="4"/>
  <c r="D351" i="4"/>
  <c r="E351" i="4"/>
  <c r="F351" i="4"/>
  <c r="G351" i="4"/>
  <c r="H351" i="4"/>
  <c r="I351" i="4"/>
  <c r="J351" i="4"/>
  <c r="K351" i="4"/>
  <c r="B352" i="4"/>
  <c r="C352" i="4"/>
  <c r="D352" i="4"/>
  <c r="E352" i="4"/>
  <c r="F352" i="4"/>
  <c r="G352" i="4"/>
  <c r="H352" i="4"/>
  <c r="I352" i="4"/>
  <c r="J352" i="4"/>
  <c r="K352" i="4"/>
  <c r="B353" i="4"/>
  <c r="C353" i="4"/>
  <c r="D353" i="4"/>
  <c r="E353" i="4"/>
  <c r="F353" i="4"/>
  <c r="G353" i="4"/>
  <c r="H353" i="4"/>
  <c r="I353" i="4"/>
  <c r="J353" i="4"/>
  <c r="K353" i="4"/>
  <c r="B354" i="4"/>
  <c r="C354" i="4"/>
  <c r="D354" i="4"/>
  <c r="E354" i="4"/>
  <c r="F354" i="4"/>
  <c r="G354" i="4"/>
  <c r="H354" i="4"/>
  <c r="I354" i="4"/>
  <c r="J354" i="4"/>
  <c r="K354" i="4"/>
  <c r="B355" i="4"/>
  <c r="C355" i="4"/>
  <c r="D355" i="4"/>
  <c r="E355" i="4"/>
  <c r="F355" i="4"/>
  <c r="G355" i="4"/>
  <c r="H355" i="4"/>
  <c r="I355" i="4"/>
  <c r="J355" i="4"/>
  <c r="K355" i="4"/>
  <c r="B356" i="4"/>
  <c r="C356" i="4"/>
  <c r="D356" i="4"/>
  <c r="E356" i="4"/>
  <c r="F356" i="4"/>
  <c r="G356" i="4"/>
  <c r="H356" i="4"/>
  <c r="I356" i="4"/>
  <c r="J356" i="4"/>
  <c r="K356" i="4"/>
  <c r="B357" i="4"/>
  <c r="C357" i="4"/>
  <c r="D357" i="4"/>
  <c r="E357" i="4"/>
  <c r="F357" i="4"/>
  <c r="G357" i="4"/>
  <c r="H357" i="4"/>
  <c r="I357" i="4"/>
  <c r="J357" i="4"/>
  <c r="K357" i="4"/>
  <c r="B358" i="4"/>
  <c r="C358" i="4"/>
  <c r="D358" i="4"/>
  <c r="E358" i="4"/>
  <c r="F358" i="4"/>
  <c r="G358" i="4"/>
  <c r="H358" i="4"/>
  <c r="I358" i="4"/>
  <c r="J358" i="4"/>
  <c r="K358" i="4"/>
  <c r="B359" i="4"/>
  <c r="C359" i="4"/>
  <c r="D359" i="4"/>
  <c r="E359" i="4"/>
  <c r="F359" i="4"/>
  <c r="G359" i="4"/>
  <c r="H359" i="4"/>
  <c r="I359" i="4"/>
  <c r="J359" i="4"/>
  <c r="K359" i="4"/>
  <c r="B360" i="4"/>
  <c r="C360" i="4"/>
  <c r="D360" i="4"/>
  <c r="E360" i="4"/>
  <c r="F360" i="4"/>
  <c r="G360" i="4"/>
  <c r="H360" i="4"/>
  <c r="I360" i="4"/>
  <c r="J360" i="4"/>
  <c r="K360" i="4"/>
  <c r="B361" i="4"/>
  <c r="C361" i="4"/>
  <c r="D361" i="4"/>
  <c r="E361" i="4"/>
  <c r="F361" i="4"/>
  <c r="G361" i="4"/>
  <c r="H361" i="4"/>
  <c r="I361" i="4"/>
  <c r="J361" i="4"/>
  <c r="K361" i="4"/>
  <c r="B362" i="4"/>
  <c r="C362" i="4"/>
  <c r="D362" i="4"/>
  <c r="E362" i="4"/>
  <c r="F362" i="4"/>
  <c r="G362" i="4"/>
  <c r="H362" i="4"/>
  <c r="I362" i="4"/>
  <c r="J362" i="4"/>
  <c r="K362" i="4"/>
  <c r="B363" i="4"/>
  <c r="C363" i="4"/>
  <c r="D363" i="4"/>
  <c r="E363" i="4"/>
  <c r="F363" i="4"/>
  <c r="G363" i="4"/>
  <c r="H363" i="4"/>
  <c r="I363" i="4"/>
  <c r="J363" i="4"/>
  <c r="K363" i="4"/>
  <c r="B364" i="4"/>
  <c r="C364" i="4"/>
  <c r="D364" i="4"/>
  <c r="E364" i="4"/>
  <c r="F364" i="4"/>
  <c r="G364" i="4"/>
  <c r="H364" i="4"/>
  <c r="I364" i="4"/>
  <c r="J364" i="4"/>
  <c r="K364" i="4"/>
  <c r="B365" i="4"/>
  <c r="C365" i="4"/>
  <c r="D365" i="4"/>
  <c r="E365" i="4"/>
  <c r="F365" i="4"/>
  <c r="G365" i="4"/>
  <c r="H365" i="4"/>
  <c r="I365" i="4"/>
  <c r="J365" i="4"/>
  <c r="K365" i="4"/>
  <c r="B366" i="4"/>
  <c r="C366" i="4"/>
  <c r="D366" i="4"/>
  <c r="E366" i="4"/>
  <c r="F366" i="4"/>
  <c r="G366" i="4"/>
  <c r="H366" i="4"/>
  <c r="I366" i="4"/>
  <c r="J366" i="4"/>
  <c r="K366" i="4"/>
  <c r="B367" i="4"/>
  <c r="C367" i="4"/>
  <c r="D367" i="4"/>
  <c r="E367" i="4"/>
  <c r="F367" i="4"/>
  <c r="G367" i="4"/>
  <c r="H367" i="4"/>
  <c r="I367" i="4"/>
  <c r="J367" i="4"/>
  <c r="K367" i="4"/>
  <c r="B368" i="4"/>
  <c r="C368" i="4"/>
  <c r="D368" i="4"/>
  <c r="E368" i="4"/>
  <c r="F368" i="4"/>
  <c r="G368" i="4"/>
  <c r="H368" i="4"/>
  <c r="I368" i="4"/>
  <c r="J368" i="4"/>
  <c r="K368" i="4"/>
  <c r="B369" i="4"/>
  <c r="C369" i="4"/>
  <c r="D369" i="4"/>
  <c r="E369" i="4"/>
  <c r="F369" i="4"/>
  <c r="G369" i="4"/>
  <c r="H369" i="4"/>
  <c r="I369" i="4"/>
  <c r="J369" i="4"/>
  <c r="K369" i="4"/>
  <c r="B370" i="4"/>
  <c r="C370" i="4"/>
  <c r="D370" i="4"/>
  <c r="E370" i="4"/>
  <c r="F370" i="4"/>
  <c r="G370" i="4"/>
  <c r="H370" i="4"/>
  <c r="I370" i="4"/>
  <c r="J370" i="4"/>
  <c r="K370" i="4"/>
  <c r="B371" i="4"/>
  <c r="C371" i="4"/>
  <c r="D371" i="4"/>
  <c r="E371" i="4"/>
  <c r="F371" i="4"/>
  <c r="G371" i="4"/>
  <c r="H371" i="4"/>
  <c r="I371" i="4"/>
  <c r="J371" i="4"/>
  <c r="K371" i="4"/>
  <c r="B372" i="4"/>
  <c r="C372" i="4"/>
  <c r="D372" i="4"/>
  <c r="E372" i="4"/>
  <c r="F372" i="4"/>
  <c r="G372" i="4"/>
  <c r="H372" i="4"/>
  <c r="I372" i="4"/>
  <c r="J372" i="4"/>
  <c r="K372" i="4"/>
  <c r="B373" i="4"/>
  <c r="C373" i="4"/>
  <c r="D373" i="4"/>
  <c r="E373" i="4"/>
  <c r="F373" i="4"/>
  <c r="G373" i="4"/>
  <c r="H373" i="4"/>
  <c r="I373" i="4"/>
  <c r="J373" i="4"/>
  <c r="K373" i="4"/>
  <c r="B374" i="4"/>
  <c r="C374" i="4"/>
  <c r="D374" i="4"/>
  <c r="E374" i="4"/>
  <c r="F374" i="4"/>
  <c r="G374" i="4"/>
  <c r="H374" i="4"/>
  <c r="I374" i="4"/>
  <c r="J374" i="4"/>
  <c r="K374" i="4"/>
  <c r="B375" i="4"/>
  <c r="C375" i="4"/>
  <c r="D375" i="4"/>
  <c r="E375" i="4"/>
  <c r="F375" i="4"/>
  <c r="G375" i="4"/>
  <c r="H375" i="4"/>
  <c r="I375" i="4"/>
  <c r="J375" i="4"/>
  <c r="K375" i="4"/>
  <c r="B376" i="4"/>
  <c r="C376" i="4"/>
  <c r="D376" i="4"/>
  <c r="E376" i="4"/>
  <c r="F376" i="4"/>
  <c r="G376" i="4"/>
  <c r="H376" i="4"/>
  <c r="I376" i="4"/>
  <c r="J376" i="4"/>
  <c r="K376" i="4"/>
  <c r="B377" i="4"/>
  <c r="C377" i="4"/>
  <c r="D377" i="4"/>
  <c r="E377" i="4"/>
  <c r="F377" i="4"/>
  <c r="G377" i="4"/>
  <c r="H377" i="4"/>
  <c r="I377" i="4"/>
  <c r="J377" i="4"/>
  <c r="K377" i="4"/>
  <c r="B378" i="4"/>
  <c r="C378" i="4"/>
  <c r="D378" i="4"/>
  <c r="E378" i="4"/>
  <c r="F378" i="4"/>
  <c r="G378" i="4"/>
  <c r="H378" i="4"/>
  <c r="I378" i="4"/>
  <c r="J378" i="4"/>
  <c r="K378" i="4"/>
  <c r="B379" i="4"/>
  <c r="C379" i="4"/>
  <c r="D379" i="4"/>
  <c r="E379" i="4"/>
  <c r="F379" i="4"/>
  <c r="G379" i="4"/>
  <c r="H379" i="4"/>
  <c r="I379" i="4"/>
  <c r="J379" i="4"/>
  <c r="K379" i="4"/>
  <c r="B380" i="4"/>
  <c r="C380" i="4"/>
  <c r="D380" i="4"/>
  <c r="E380" i="4"/>
  <c r="F380" i="4"/>
  <c r="G380" i="4"/>
  <c r="H380" i="4"/>
  <c r="I380" i="4"/>
  <c r="J380" i="4"/>
  <c r="K380" i="4"/>
  <c r="B381" i="4"/>
  <c r="C381" i="4"/>
  <c r="D381" i="4"/>
  <c r="E381" i="4"/>
  <c r="F381" i="4"/>
  <c r="G381" i="4"/>
  <c r="H381" i="4"/>
  <c r="I381" i="4"/>
  <c r="J381" i="4"/>
  <c r="K381" i="4"/>
  <c r="B382" i="4"/>
  <c r="C382" i="4"/>
  <c r="D382" i="4"/>
  <c r="E382" i="4"/>
  <c r="F382" i="4"/>
  <c r="G382" i="4"/>
  <c r="H382" i="4"/>
  <c r="I382" i="4"/>
  <c r="J382" i="4"/>
  <c r="K382" i="4"/>
  <c r="B383" i="4"/>
  <c r="C383" i="4"/>
  <c r="D383" i="4"/>
  <c r="E383" i="4"/>
  <c r="F383" i="4"/>
  <c r="G383" i="4"/>
  <c r="H383" i="4"/>
  <c r="I383" i="4"/>
  <c r="J383" i="4"/>
  <c r="K383" i="4"/>
  <c r="B384" i="4"/>
  <c r="C384" i="4"/>
  <c r="D384" i="4"/>
  <c r="E384" i="4"/>
  <c r="F384" i="4"/>
  <c r="G384" i="4"/>
  <c r="H384" i="4"/>
  <c r="I384" i="4"/>
  <c r="J384" i="4"/>
  <c r="K384" i="4"/>
  <c r="B385" i="4"/>
  <c r="C385" i="4"/>
  <c r="D385" i="4"/>
  <c r="E385" i="4"/>
  <c r="F385" i="4"/>
  <c r="G385" i="4"/>
  <c r="H385" i="4"/>
  <c r="I385" i="4"/>
  <c r="J385" i="4"/>
  <c r="K385" i="4"/>
  <c r="B386" i="4"/>
  <c r="C386" i="4"/>
  <c r="D386" i="4"/>
  <c r="E386" i="4"/>
  <c r="F386" i="4"/>
  <c r="G386" i="4"/>
  <c r="H386" i="4"/>
  <c r="I386" i="4"/>
  <c r="J386" i="4"/>
  <c r="K386" i="4"/>
  <c r="B387" i="4"/>
  <c r="C387" i="4"/>
  <c r="D387" i="4"/>
  <c r="E387" i="4"/>
  <c r="F387" i="4"/>
  <c r="G387" i="4"/>
  <c r="H387" i="4"/>
  <c r="I387" i="4"/>
  <c r="J387" i="4"/>
  <c r="K387" i="4"/>
  <c r="B388" i="4"/>
  <c r="C388" i="4"/>
  <c r="D388" i="4"/>
  <c r="E388" i="4"/>
  <c r="F388" i="4"/>
  <c r="G388" i="4"/>
  <c r="H388" i="4"/>
  <c r="I388" i="4"/>
  <c r="J388" i="4"/>
  <c r="K388" i="4"/>
  <c r="B389" i="4"/>
  <c r="C389" i="4"/>
  <c r="D389" i="4"/>
  <c r="E389" i="4"/>
  <c r="F389" i="4"/>
  <c r="G389" i="4"/>
  <c r="H389" i="4"/>
  <c r="I389" i="4"/>
  <c r="J389" i="4"/>
  <c r="K389" i="4"/>
  <c r="B390" i="4"/>
  <c r="C390" i="4"/>
  <c r="D390" i="4"/>
  <c r="E390" i="4"/>
  <c r="F390" i="4"/>
  <c r="G390" i="4"/>
  <c r="H390" i="4"/>
  <c r="I390" i="4"/>
  <c r="J390" i="4"/>
  <c r="K390" i="4"/>
  <c r="B391" i="4"/>
  <c r="C391" i="4"/>
  <c r="D391" i="4"/>
  <c r="E391" i="4"/>
  <c r="F391" i="4"/>
  <c r="G391" i="4"/>
  <c r="H391" i="4"/>
  <c r="I391" i="4"/>
  <c r="J391" i="4"/>
  <c r="K391" i="4"/>
  <c r="B392" i="4"/>
  <c r="C392" i="4"/>
  <c r="D392" i="4"/>
  <c r="E392" i="4"/>
  <c r="F392" i="4"/>
  <c r="G392" i="4"/>
  <c r="H392" i="4"/>
  <c r="I392" i="4"/>
  <c r="J392" i="4"/>
  <c r="K392" i="4"/>
  <c r="B393" i="4"/>
  <c r="C393" i="4"/>
  <c r="D393" i="4"/>
  <c r="E393" i="4"/>
  <c r="F393" i="4"/>
  <c r="G393" i="4"/>
  <c r="H393" i="4"/>
  <c r="I393" i="4"/>
  <c r="J393" i="4"/>
  <c r="K393" i="4"/>
  <c r="B394" i="4"/>
  <c r="C394" i="4"/>
  <c r="D394" i="4"/>
  <c r="E394" i="4"/>
  <c r="F394" i="4"/>
  <c r="G394" i="4"/>
  <c r="H394" i="4"/>
  <c r="I394" i="4"/>
  <c r="J394" i="4"/>
  <c r="K394" i="4"/>
  <c r="B395" i="4"/>
  <c r="C395" i="4"/>
  <c r="D395" i="4"/>
  <c r="E395" i="4"/>
  <c r="F395" i="4"/>
  <c r="G395" i="4"/>
  <c r="H395" i="4"/>
  <c r="I395" i="4"/>
  <c r="J395" i="4"/>
  <c r="K395" i="4"/>
  <c r="B396" i="4"/>
  <c r="C396" i="4"/>
  <c r="D396" i="4"/>
  <c r="E396" i="4"/>
  <c r="F396" i="4"/>
  <c r="G396" i="4"/>
  <c r="H396" i="4"/>
  <c r="I396" i="4"/>
  <c r="J396" i="4"/>
  <c r="K396" i="4"/>
  <c r="B397" i="4"/>
  <c r="C397" i="4"/>
  <c r="D397" i="4"/>
  <c r="E397" i="4"/>
  <c r="F397" i="4"/>
  <c r="G397" i="4"/>
  <c r="H397" i="4"/>
  <c r="I397" i="4"/>
  <c r="J397" i="4"/>
  <c r="K397" i="4"/>
  <c r="B398" i="4"/>
  <c r="C398" i="4"/>
  <c r="D398" i="4"/>
  <c r="E398" i="4"/>
  <c r="F398" i="4"/>
  <c r="G398" i="4"/>
  <c r="H398" i="4"/>
  <c r="I398" i="4"/>
  <c r="J398" i="4"/>
  <c r="K398" i="4"/>
  <c r="B399" i="4"/>
  <c r="C399" i="4"/>
  <c r="D399" i="4"/>
  <c r="E399" i="4"/>
  <c r="F399" i="4"/>
  <c r="G399" i="4"/>
  <c r="H399" i="4"/>
  <c r="I399" i="4"/>
  <c r="J399" i="4"/>
  <c r="K399" i="4"/>
  <c r="B400" i="4"/>
  <c r="C400" i="4"/>
  <c r="D400" i="4"/>
  <c r="E400" i="4"/>
  <c r="F400" i="4"/>
  <c r="G400" i="4"/>
  <c r="H400" i="4"/>
  <c r="I400" i="4"/>
  <c r="J400" i="4"/>
  <c r="K400" i="4"/>
  <c r="B401" i="4"/>
  <c r="C401" i="4"/>
  <c r="D401" i="4"/>
  <c r="E401" i="4"/>
  <c r="F401" i="4"/>
  <c r="G401" i="4"/>
  <c r="H401" i="4"/>
  <c r="I401" i="4"/>
  <c r="J401" i="4"/>
  <c r="K401" i="4"/>
  <c r="B402" i="4"/>
  <c r="C402" i="4"/>
  <c r="D402" i="4"/>
  <c r="E402" i="4"/>
  <c r="F402" i="4"/>
  <c r="G402" i="4"/>
  <c r="H402" i="4"/>
  <c r="I402" i="4"/>
  <c r="J402" i="4"/>
  <c r="K402" i="4"/>
  <c r="B403" i="4"/>
  <c r="C403" i="4"/>
  <c r="D403" i="4"/>
  <c r="E403" i="4"/>
  <c r="F403" i="4"/>
  <c r="G403" i="4"/>
  <c r="H403" i="4"/>
  <c r="I403" i="4"/>
  <c r="J403" i="4"/>
  <c r="K403" i="4"/>
  <c r="B404" i="4"/>
  <c r="C404" i="4"/>
  <c r="D404" i="4"/>
  <c r="E404" i="4"/>
  <c r="F404" i="4"/>
  <c r="G404" i="4"/>
  <c r="H404" i="4"/>
  <c r="I404" i="4"/>
  <c r="J404" i="4"/>
  <c r="K404" i="4"/>
  <c r="B405" i="4"/>
  <c r="C405" i="4"/>
  <c r="D405" i="4"/>
  <c r="E405" i="4"/>
  <c r="F405" i="4"/>
  <c r="G405" i="4"/>
  <c r="H405" i="4"/>
  <c r="I405" i="4"/>
  <c r="J405" i="4"/>
  <c r="K405" i="4"/>
  <c r="B406" i="4"/>
  <c r="C406" i="4"/>
  <c r="D406" i="4"/>
  <c r="E406" i="4"/>
  <c r="F406" i="4"/>
  <c r="G406" i="4"/>
  <c r="H406" i="4"/>
  <c r="I406" i="4"/>
  <c r="J406" i="4"/>
  <c r="K406" i="4"/>
  <c r="B407" i="4"/>
  <c r="C407" i="4"/>
  <c r="D407" i="4"/>
  <c r="E407" i="4"/>
  <c r="F407" i="4"/>
  <c r="G407" i="4"/>
  <c r="H407" i="4"/>
  <c r="I407" i="4"/>
  <c r="J407" i="4"/>
  <c r="K407" i="4"/>
  <c r="B408" i="4"/>
  <c r="C408" i="4"/>
  <c r="D408" i="4"/>
  <c r="E408" i="4"/>
  <c r="F408" i="4"/>
  <c r="G408" i="4"/>
  <c r="H408" i="4"/>
  <c r="I408" i="4"/>
  <c r="J408" i="4"/>
  <c r="K408" i="4"/>
  <c r="B409" i="4"/>
  <c r="C409" i="4"/>
  <c r="D409" i="4"/>
  <c r="E409" i="4"/>
  <c r="F409" i="4"/>
  <c r="G409" i="4"/>
  <c r="H409" i="4"/>
  <c r="I409" i="4"/>
  <c r="J409" i="4"/>
  <c r="K409" i="4"/>
  <c r="B410" i="4"/>
  <c r="C410" i="4"/>
  <c r="D410" i="4"/>
  <c r="E410" i="4"/>
  <c r="F410" i="4"/>
  <c r="G410" i="4"/>
  <c r="H410" i="4"/>
  <c r="I410" i="4"/>
  <c r="J410" i="4"/>
  <c r="K410" i="4"/>
  <c r="B411" i="4"/>
  <c r="C411" i="4"/>
  <c r="D411" i="4"/>
  <c r="E411" i="4"/>
  <c r="F411" i="4"/>
  <c r="G411" i="4"/>
  <c r="H411" i="4"/>
  <c r="I411" i="4"/>
  <c r="J411" i="4"/>
  <c r="K411" i="4"/>
  <c r="B412" i="4"/>
  <c r="C412" i="4"/>
  <c r="D412" i="4"/>
  <c r="E412" i="4"/>
  <c r="F412" i="4"/>
  <c r="G412" i="4"/>
  <c r="H412" i="4"/>
  <c r="I412" i="4"/>
  <c r="J412" i="4"/>
  <c r="K412" i="4"/>
  <c r="B413" i="4"/>
  <c r="C413" i="4"/>
  <c r="D413" i="4"/>
  <c r="E413" i="4"/>
  <c r="F413" i="4"/>
  <c r="G413" i="4"/>
  <c r="H413" i="4"/>
  <c r="I413" i="4"/>
  <c r="J413" i="4"/>
  <c r="K413" i="4"/>
  <c r="B414" i="4"/>
  <c r="C414" i="4"/>
  <c r="D414" i="4"/>
  <c r="E414" i="4"/>
  <c r="F414" i="4"/>
  <c r="G414" i="4"/>
  <c r="H414" i="4"/>
  <c r="I414" i="4"/>
  <c r="J414" i="4"/>
  <c r="K414" i="4"/>
  <c r="B415" i="4"/>
  <c r="C415" i="4"/>
  <c r="D415" i="4"/>
  <c r="E415" i="4"/>
  <c r="F415" i="4"/>
  <c r="G415" i="4"/>
  <c r="H415" i="4"/>
  <c r="I415" i="4"/>
  <c r="J415" i="4"/>
  <c r="K415" i="4"/>
  <c r="B416" i="4"/>
  <c r="C416" i="4"/>
  <c r="D416" i="4"/>
  <c r="E416" i="4"/>
  <c r="F416" i="4"/>
  <c r="G416" i="4"/>
  <c r="H416" i="4"/>
  <c r="I416" i="4"/>
  <c r="J416" i="4"/>
  <c r="K416" i="4"/>
  <c r="B417" i="4"/>
  <c r="C417" i="4"/>
  <c r="D417" i="4"/>
  <c r="E417" i="4"/>
  <c r="F417" i="4"/>
  <c r="G417" i="4"/>
  <c r="H417" i="4"/>
  <c r="I417" i="4"/>
  <c r="J417" i="4"/>
  <c r="K417" i="4"/>
  <c r="B418" i="4"/>
  <c r="C418" i="4"/>
  <c r="D418" i="4"/>
  <c r="E418" i="4"/>
  <c r="F418" i="4"/>
  <c r="G418" i="4"/>
  <c r="H418" i="4"/>
  <c r="I418" i="4"/>
  <c r="J418" i="4"/>
  <c r="K418" i="4"/>
  <c r="B419" i="4"/>
  <c r="C419" i="4"/>
  <c r="D419" i="4"/>
  <c r="E419" i="4"/>
  <c r="F419" i="4"/>
  <c r="G419" i="4"/>
  <c r="H419" i="4"/>
  <c r="I419" i="4"/>
  <c r="J419" i="4"/>
  <c r="K419" i="4"/>
  <c r="B420" i="4"/>
  <c r="C420" i="4"/>
  <c r="D420" i="4"/>
  <c r="E420" i="4"/>
  <c r="F420" i="4"/>
  <c r="G420" i="4"/>
  <c r="H420" i="4"/>
  <c r="I420" i="4"/>
  <c r="J420" i="4"/>
  <c r="K420" i="4"/>
  <c r="B421" i="4"/>
  <c r="C421" i="4"/>
  <c r="D421" i="4"/>
  <c r="E421" i="4"/>
  <c r="F421" i="4"/>
  <c r="G421" i="4"/>
  <c r="H421" i="4"/>
  <c r="I421" i="4"/>
  <c r="J421" i="4"/>
  <c r="K421" i="4"/>
  <c r="B422" i="4"/>
  <c r="C422" i="4"/>
  <c r="D422" i="4"/>
  <c r="E422" i="4"/>
  <c r="F422" i="4"/>
  <c r="G422" i="4"/>
  <c r="H422" i="4"/>
  <c r="I422" i="4"/>
  <c r="J422" i="4"/>
  <c r="K422" i="4"/>
  <c r="B423" i="4"/>
  <c r="C423" i="4"/>
  <c r="D423" i="4"/>
  <c r="E423" i="4"/>
  <c r="F423" i="4"/>
  <c r="G423" i="4"/>
  <c r="H423" i="4"/>
  <c r="I423" i="4"/>
  <c r="J423" i="4"/>
  <c r="K423" i="4"/>
  <c r="B424" i="4"/>
  <c r="C424" i="4"/>
  <c r="D424" i="4"/>
  <c r="E424" i="4"/>
  <c r="F424" i="4"/>
  <c r="G424" i="4"/>
  <c r="H424" i="4"/>
  <c r="I424" i="4"/>
  <c r="J424" i="4"/>
  <c r="K424" i="4"/>
  <c r="B425" i="4"/>
  <c r="C425" i="4"/>
  <c r="D425" i="4"/>
  <c r="E425" i="4"/>
  <c r="F425" i="4"/>
  <c r="G425" i="4"/>
  <c r="H425" i="4"/>
  <c r="I425" i="4"/>
  <c r="J425" i="4"/>
  <c r="K425" i="4"/>
  <c r="B426" i="4"/>
  <c r="C426" i="4"/>
  <c r="D426" i="4"/>
  <c r="E426" i="4"/>
  <c r="F426" i="4"/>
  <c r="G426" i="4"/>
  <c r="H426" i="4"/>
  <c r="I426" i="4"/>
  <c r="J426" i="4"/>
  <c r="K426" i="4"/>
  <c r="B427" i="4"/>
  <c r="C427" i="4"/>
  <c r="D427" i="4"/>
  <c r="E427" i="4"/>
  <c r="F427" i="4"/>
  <c r="G427" i="4"/>
  <c r="H427" i="4"/>
  <c r="I427" i="4"/>
  <c r="J427" i="4"/>
  <c r="K427" i="4"/>
  <c r="B428" i="4"/>
  <c r="C428" i="4"/>
  <c r="D428" i="4"/>
  <c r="E428" i="4"/>
  <c r="F428" i="4"/>
  <c r="G428" i="4"/>
  <c r="H428" i="4"/>
  <c r="I428" i="4"/>
  <c r="J428" i="4"/>
  <c r="K428" i="4"/>
  <c r="B429" i="4"/>
  <c r="C429" i="4"/>
  <c r="D429" i="4"/>
  <c r="E429" i="4"/>
  <c r="F429" i="4"/>
  <c r="G429" i="4"/>
  <c r="H429" i="4"/>
  <c r="I429" i="4"/>
  <c r="J429" i="4"/>
  <c r="K429" i="4"/>
  <c r="B430" i="4"/>
  <c r="C430" i="4"/>
  <c r="D430" i="4"/>
  <c r="E430" i="4"/>
  <c r="F430" i="4"/>
  <c r="G430" i="4"/>
  <c r="H430" i="4"/>
  <c r="I430" i="4"/>
  <c r="J430" i="4"/>
  <c r="K430" i="4"/>
  <c r="B431" i="4"/>
  <c r="C431" i="4"/>
  <c r="D431" i="4"/>
  <c r="E431" i="4"/>
  <c r="F431" i="4"/>
  <c r="G431" i="4"/>
  <c r="H431" i="4"/>
  <c r="I431" i="4"/>
  <c r="J431" i="4"/>
  <c r="K431" i="4"/>
  <c r="B432" i="4"/>
  <c r="C432" i="4"/>
  <c r="D432" i="4"/>
  <c r="E432" i="4"/>
  <c r="F432" i="4"/>
  <c r="G432" i="4"/>
  <c r="H432" i="4"/>
  <c r="I432" i="4"/>
  <c r="J432" i="4"/>
  <c r="K432" i="4"/>
  <c r="B433" i="4"/>
  <c r="C433" i="4"/>
  <c r="D433" i="4"/>
  <c r="E433" i="4"/>
  <c r="F433" i="4"/>
  <c r="G433" i="4"/>
  <c r="H433" i="4"/>
  <c r="I433" i="4"/>
  <c r="J433" i="4"/>
  <c r="K433" i="4"/>
  <c r="B434" i="4"/>
  <c r="C434" i="4"/>
  <c r="D434" i="4"/>
  <c r="E434" i="4"/>
  <c r="F434" i="4"/>
  <c r="G434" i="4"/>
  <c r="H434" i="4"/>
  <c r="I434" i="4"/>
  <c r="J434" i="4"/>
  <c r="K434" i="4"/>
  <c r="B435" i="4"/>
  <c r="C435" i="4"/>
  <c r="D435" i="4"/>
  <c r="E435" i="4"/>
  <c r="F435" i="4"/>
  <c r="G435" i="4"/>
  <c r="H435" i="4"/>
  <c r="I435" i="4"/>
  <c r="J435" i="4"/>
  <c r="K435" i="4"/>
  <c r="B436" i="4"/>
  <c r="C436" i="4"/>
  <c r="D436" i="4"/>
  <c r="E436" i="4"/>
  <c r="F436" i="4"/>
  <c r="G436" i="4"/>
  <c r="H436" i="4"/>
  <c r="I436" i="4"/>
  <c r="J436" i="4"/>
  <c r="K436" i="4"/>
  <c r="B437" i="4"/>
  <c r="C437" i="4"/>
  <c r="D437" i="4"/>
  <c r="E437" i="4"/>
  <c r="F437" i="4"/>
  <c r="G437" i="4"/>
  <c r="H437" i="4"/>
  <c r="I437" i="4"/>
  <c r="J437" i="4"/>
  <c r="K437" i="4"/>
  <c r="B438" i="4"/>
  <c r="C438" i="4"/>
  <c r="D438" i="4"/>
  <c r="E438" i="4"/>
  <c r="F438" i="4"/>
  <c r="G438" i="4"/>
  <c r="H438" i="4"/>
  <c r="I438" i="4"/>
  <c r="J438" i="4"/>
  <c r="K438" i="4"/>
  <c r="B439" i="4"/>
  <c r="C439" i="4"/>
  <c r="D439" i="4"/>
  <c r="E439" i="4"/>
  <c r="F439" i="4"/>
  <c r="G439" i="4"/>
  <c r="H439" i="4"/>
  <c r="I439" i="4"/>
  <c r="J439" i="4"/>
  <c r="K439" i="4"/>
  <c r="B440" i="4"/>
  <c r="C440" i="4"/>
  <c r="D440" i="4"/>
  <c r="E440" i="4"/>
  <c r="F440" i="4"/>
  <c r="G440" i="4"/>
  <c r="H440" i="4"/>
  <c r="I440" i="4"/>
  <c r="J440" i="4"/>
  <c r="K440" i="4"/>
  <c r="B441" i="4"/>
  <c r="C441" i="4"/>
  <c r="D441" i="4"/>
  <c r="E441" i="4"/>
  <c r="F441" i="4"/>
  <c r="G441" i="4"/>
  <c r="H441" i="4"/>
  <c r="I441" i="4"/>
  <c r="J441" i="4"/>
  <c r="K441" i="4"/>
  <c r="B442" i="4"/>
  <c r="C442" i="4"/>
  <c r="D442" i="4"/>
  <c r="E442" i="4"/>
  <c r="F442" i="4"/>
  <c r="G442" i="4"/>
  <c r="H442" i="4"/>
  <c r="I442" i="4"/>
  <c r="J442" i="4"/>
  <c r="K442" i="4"/>
  <c r="B443" i="4"/>
  <c r="C443" i="4"/>
  <c r="D443" i="4"/>
  <c r="E443" i="4"/>
  <c r="F443" i="4"/>
  <c r="G443" i="4"/>
  <c r="H443" i="4"/>
  <c r="I443" i="4"/>
  <c r="J443" i="4"/>
  <c r="K443" i="4"/>
  <c r="B444" i="4"/>
  <c r="C444" i="4"/>
  <c r="D444" i="4"/>
  <c r="E444" i="4"/>
  <c r="F444" i="4"/>
  <c r="G444" i="4"/>
  <c r="H444" i="4"/>
  <c r="I444" i="4"/>
  <c r="J444" i="4"/>
  <c r="K444" i="4"/>
  <c r="B445" i="4"/>
  <c r="C445" i="4"/>
  <c r="D445" i="4"/>
  <c r="E445" i="4"/>
  <c r="F445" i="4"/>
  <c r="G445" i="4"/>
  <c r="H445" i="4"/>
  <c r="I445" i="4"/>
  <c r="J445" i="4"/>
  <c r="K445" i="4"/>
  <c r="B446" i="4"/>
  <c r="C446" i="4"/>
  <c r="D446" i="4"/>
  <c r="E446" i="4"/>
  <c r="F446" i="4"/>
  <c r="G446" i="4"/>
  <c r="H446" i="4"/>
  <c r="I446" i="4"/>
  <c r="J446" i="4"/>
  <c r="K446" i="4"/>
  <c r="B447" i="4"/>
  <c r="C447" i="4"/>
  <c r="D447" i="4"/>
  <c r="E447" i="4"/>
  <c r="F447" i="4"/>
  <c r="G447" i="4"/>
  <c r="H447" i="4"/>
  <c r="I447" i="4"/>
  <c r="J447" i="4"/>
  <c r="K447" i="4"/>
  <c r="B448" i="4"/>
  <c r="C448" i="4"/>
  <c r="D448" i="4"/>
  <c r="E448" i="4"/>
  <c r="F448" i="4"/>
  <c r="G448" i="4"/>
  <c r="H448" i="4"/>
  <c r="I448" i="4"/>
  <c r="J448" i="4"/>
  <c r="K448" i="4"/>
  <c r="B449" i="4"/>
  <c r="C449" i="4"/>
  <c r="D449" i="4"/>
  <c r="E449" i="4"/>
  <c r="F449" i="4"/>
  <c r="G449" i="4"/>
  <c r="H449" i="4"/>
  <c r="I449" i="4"/>
  <c r="J449" i="4"/>
  <c r="K449" i="4"/>
  <c r="B450" i="4"/>
  <c r="C450" i="4"/>
  <c r="D450" i="4"/>
  <c r="E450" i="4"/>
  <c r="F450" i="4"/>
  <c r="G450" i="4"/>
  <c r="H450" i="4"/>
  <c r="I450" i="4"/>
  <c r="J450" i="4"/>
  <c r="K450" i="4"/>
  <c r="B451" i="4"/>
  <c r="C451" i="4"/>
  <c r="D451" i="4"/>
  <c r="E451" i="4"/>
  <c r="F451" i="4"/>
  <c r="G451" i="4"/>
  <c r="H451" i="4"/>
  <c r="I451" i="4"/>
  <c r="J451" i="4"/>
  <c r="K451" i="4"/>
  <c r="B452" i="4"/>
  <c r="C452" i="4"/>
  <c r="D452" i="4"/>
  <c r="E452" i="4"/>
  <c r="F452" i="4"/>
  <c r="G452" i="4"/>
  <c r="H452" i="4"/>
  <c r="I452" i="4"/>
  <c r="J452" i="4"/>
  <c r="K452" i="4"/>
  <c r="B453" i="4"/>
  <c r="C453" i="4"/>
  <c r="D453" i="4"/>
  <c r="E453" i="4"/>
  <c r="F453" i="4"/>
  <c r="G453" i="4"/>
  <c r="H453" i="4"/>
  <c r="I453" i="4"/>
  <c r="J453" i="4"/>
  <c r="K453" i="4"/>
  <c r="B454" i="4"/>
  <c r="C454" i="4"/>
  <c r="D454" i="4"/>
  <c r="E454" i="4"/>
  <c r="F454" i="4"/>
  <c r="G454" i="4"/>
  <c r="H454" i="4"/>
  <c r="I454" i="4"/>
  <c r="J454" i="4"/>
  <c r="K454" i="4"/>
  <c r="B455" i="4"/>
  <c r="C455" i="4"/>
  <c r="D455" i="4"/>
  <c r="E455" i="4"/>
  <c r="F455" i="4"/>
  <c r="G455" i="4"/>
  <c r="H455" i="4"/>
  <c r="I455" i="4"/>
  <c r="J455" i="4"/>
  <c r="K455" i="4"/>
  <c r="B456" i="4"/>
  <c r="C456" i="4"/>
  <c r="D456" i="4"/>
  <c r="E456" i="4"/>
  <c r="F456" i="4"/>
  <c r="G456" i="4"/>
  <c r="H456" i="4"/>
  <c r="I456" i="4"/>
  <c r="J456" i="4"/>
  <c r="K456" i="4"/>
  <c r="B457" i="4"/>
  <c r="C457" i="4"/>
  <c r="D457" i="4"/>
  <c r="E457" i="4"/>
  <c r="F457" i="4"/>
  <c r="G457" i="4"/>
  <c r="H457" i="4"/>
  <c r="I457" i="4"/>
  <c r="J457" i="4"/>
  <c r="K457" i="4"/>
  <c r="B458" i="4"/>
  <c r="C458" i="4"/>
  <c r="D458" i="4"/>
  <c r="E458" i="4"/>
  <c r="F458" i="4"/>
  <c r="G458" i="4"/>
  <c r="H458" i="4"/>
  <c r="I458" i="4"/>
  <c r="J458" i="4"/>
  <c r="K458" i="4"/>
  <c r="B459" i="4"/>
  <c r="C459" i="4"/>
  <c r="D459" i="4"/>
  <c r="E459" i="4"/>
  <c r="F459" i="4"/>
  <c r="G459" i="4"/>
  <c r="H459" i="4"/>
  <c r="I459" i="4"/>
  <c r="J459" i="4"/>
  <c r="K459" i="4"/>
  <c r="B460" i="4"/>
  <c r="C460" i="4"/>
  <c r="D460" i="4"/>
  <c r="E460" i="4"/>
  <c r="F460" i="4"/>
  <c r="G460" i="4"/>
  <c r="H460" i="4"/>
  <c r="I460" i="4"/>
  <c r="J460" i="4"/>
  <c r="K460" i="4"/>
  <c r="B461" i="4"/>
  <c r="C461" i="4"/>
  <c r="D461" i="4"/>
  <c r="E461" i="4"/>
  <c r="F461" i="4"/>
  <c r="G461" i="4"/>
  <c r="H461" i="4"/>
  <c r="I461" i="4"/>
  <c r="J461" i="4"/>
  <c r="K461" i="4"/>
  <c r="B462" i="4"/>
  <c r="C462" i="4"/>
  <c r="D462" i="4"/>
  <c r="E462" i="4"/>
  <c r="F462" i="4"/>
  <c r="G462" i="4"/>
  <c r="H462" i="4"/>
  <c r="I462" i="4"/>
  <c r="J462" i="4"/>
  <c r="K462" i="4"/>
  <c r="B463" i="4"/>
  <c r="C463" i="4"/>
  <c r="D463" i="4"/>
  <c r="E463" i="4"/>
  <c r="F463" i="4"/>
  <c r="G463" i="4"/>
  <c r="H463" i="4"/>
  <c r="I463" i="4"/>
  <c r="J463" i="4"/>
  <c r="K463" i="4"/>
  <c r="B464" i="4"/>
  <c r="C464" i="4"/>
  <c r="D464" i="4"/>
  <c r="E464" i="4"/>
  <c r="F464" i="4"/>
  <c r="G464" i="4"/>
  <c r="H464" i="4"/>
  <c r="I464" i="4"/>
  <c r="J464" i="4"/>
  <c r="K464" i="4"/>
  <c r="B465" i="4"/>
  <c r="C465" i="4"/>
  <c r="D465" i="4"/>
  <c r="E465" i="4"/>
  <c r="F465" i="4"/>
  <c r="G465" i="4"/>
  <c r="H465" i="4"/>
  <c r="I465" i="4"/>
  <c r="J465" i="4"/>
  <c r="K465" i="4"/>
  <c r="B466" i="4"/>
  <c r="C466" i="4"/>
  <c r="D466" i="4"/>
  <c r="E466" i="4"/>
  <c r="F466" i="4"/>
  <c r="G466" i="4"/>
  <c r="H466" i="4"/>
  <c r="I466" i="4"/>
  <c r="J466" i="4"/>
  <c r="K466" i="4"/>
  <c r="B467" i="4"/>
  <c r="C467" i="4"/>
  <c r="D467" i="4"/>
  <c r="E467" i="4"/>
  <c r="F467" i="4"/>
  <c r="G467" i="4"/>
  <c r="H467" i="4"/>
  <c r="I467" i="4"/>
  <c r="J467" i="4"/>
  <c r="K467" i="4"/>
  <c r="B468" i="4"/>
  <c r="C468" i="4"/>
  <c r="D468" i="4"/>
  <c r="E468" i="4"/>
  <c r="F468" i="4"/>
  <c r="G468" i="4"/>
  <c r="H468" i="4"/>
  <c r="I468" i="4"/>
  <c r="J468" i="4"/>
  <c r="K468" i="4"/>
  <c r="B469" i="4"/>
  <c r="C469" i="4"/>
  <c r="D469" i="4"/>
  <c r="E469" i="4"/>
  <c r="F469" i="4"/>
  <c r="G469" i="4"/>
  <c r="H469" i="4"/>
  <c r="I469" i="4"/>
  <c r="J469" i="4"/>
  <c r="K469" i="4"/>
  <c r="B470" i="4"/>
  <c r="C470" i="4"/>
  <c r="D470" i="4"/>
  <c r="E470" i="4"/>
  <c r="F470" i="4"/>
  <c r="G470" i="4"/>
  <c r="H470" i="4"/>
  <c r="I470" i="4"/>
  <c r="J470" i="4"/>
  <c r="K470" i="4"/>
  <c r="B471" i="4"/>
  <c r="C471" i="4"/>
  <c r="D471" i="4"/>
  <c r="E471" i="4"/>
  <c r="F471" i="4"/>
  <c r="G471" i="4"/>
  <c r="H471" i="4"/>
  <c r="I471" i="4"/>
  <c r="J471" i="4"/>
  <c r="K471" i="4"/>
  <c r="B472" i="4"/>
  <c r="C472" i="4"/>
  <c r="D472" i="4"/>
  <c r="E472" i="4"/>
  <c r="F472" i="4"/>
  <c r="G472" i="4"/>
  <c r="H472" i="4"/>
  <c r="I472" i="4"/>
  <c r="J472" i="4"/>
  <c r="K472" i="4"/>
  <c r="B473" i="4"/>
  <c r="C473" i="4"/>
  <c r="D473" i="4"/>
  <c r="E473" i="4"/>
  <c r="F473" i="4"/>
  <c r="G473" i="4"/>
  <c r="H473" i="4"/>
  <c r="I473" i="4"/>
  <c r="J473" i="4"/>
  <c r="K473" i="4"/>
  <c r="B474" i="4"/>
  <c r="C474" i="4"/>
  <c r="D474" i="4"/>
  <c r="E474" i="4"/>
  <c r="F474" i="4"/>
  <c r="G474" i="4"/>
  <c r="H474" i="4"/>
  <c r="I474" i="4"/>
  <c r="J474" i="4"/>
  <c r="K474" i="4"/>
  <c r="B475" i="4"/>
  <c r="C475" i="4"/>
  <c r="D475" i="4"/>
  <c r="E475" i="4"/>
  <c r="F475" i="4"/>
  <c r="G475" i="4"/>
  <c r="H475" i="4"/>
  <c r="I475" i="4"/>
  <c r="J475" i="4"/>
  <c r="K475" i="4"/>
  <c r="B476" i="4"/>
  <c r="C476" i="4"/>
  <c r="D476" i="4"/>
  <c r="E476" i="4"/>
  <c r="F476" i="4"/>
  <c r="G476" i="4"/>
  <c r="H476" i="4"/>
  <c r="I476" i="4"/>
  <c r="J476" i="4"/>
  <c r="K476" i="4"/>
  <c r="B477" i="4"/>
  <c r="C477" i="4"/>
  <c r="D477" i="4"/>
  <c r="E477" i="4"/>
  <c r="F477" i="4"/>
  <c r="G477" i="4"/>
  <c r="H477" i="4"/>
  <c r="I477" i="4"/>
  <c r="J477" i="4"/>
  <c r="K477" i="4"/>
  <c r="B478" i="4"/>
  <c r="C478" i="4"/>
  <c r="D478" i="4"/>
  <c r="E478" i="4"/>
  <c r="F478" i="4"/>
  <c r="G478" i="4"/>
  <c r="H478" i="4"/>
  <c r="I478" i="4"/>
  <c r="J478" i="4"/>
  <c r="K478" i="4"/>
  <c r="B479" i="4"/>
  <c r="C479" i="4"/>
  <c r="D479" i="4"/>
  <c r="E479" i="4"/>
  <c r="F479" i="4"/>
  <c r="G479" i="4"/>
  <c r="H479" i="4"/>
  <c r="I479" i="4"/>
  <c r="J479" i="4"/>
  <c r="K479" i="4"/>
  <c r="B480" i="4"/>
  <c r="C480" i="4"/>
  <c r="D480" i="4"/>
  <c r="E480" i="4"/>
  <c r="F480" i="4"/>
  <c r="G480" i="4"/>
  <c r="H480" i="4"/>
  <c r="I480" i="4"/>
  <c r="J480" i="4"/>
  <c r="K480" i="4"/>
  <c r="B481" i="4"/>
  <c r="C481" i="4"/>
  <c r="D481" i="4"/>
  <c r="E481" i="4"/>
  <c r="F481" i="4"/>
  <c r="G481" i="4"/>
  <c r="H481" i="4"/>
  <c r="I481" i="4"/>
  <c r="J481" i="4"/>
  <c r="K481" i="4"/>
  <c r="B482" i="4"/>
  <c r="C482" i="4"/>
  <c r="D482" i="4"/>
  <c r="E482" i="4"/>
  <c r="F482" i="4"/>
  <c r="G482" i="4"/>
  <c r="H482" i="4"/>
  <c r="I482" i="4"/>
  <c r="J482" i="4"/>
  <c r="K482" i="4"/>
  <c r="B483" i="4"/>
  <c r="C483" i="4"/>
  <c r="D483" i="4"/>
  <c r="E483" i="4"/>
  <c r="F483" i="4"/>
  <c r="G483" i="4"/>
  <c r="H483" i="4"/>
  <c r="I483" i="4"/>
  <c r="J483" i="4"/>
  <c r="K483" i="4"/>
  <c r="B484" i="4"/>
  <c r="C484" i="4"/>
  <c r="D484" i="4"/>
  <c r="E484" i="4"/>
  <c r="F484" i="4"/>
  <c r="G484" i="4"/>
  <c r="H484" i="4"/>
  <c r="I484" i="4"/>
  <c r="J484" i="4"/>
  <c r="K484" i="4"/>
  <c r="B485" i="4"/>
  <c r="C485" i="4"/>
  <c r="D485" i="4"/>
  <c r="E485" i="4"/>
  <c r="F485" i="4"/>
  <c r="G485" i="4"/>
  <c r="H485" i="4"/>
  <c r="I485" i="4"/>
  <c r="J485" i="4"/>
  <c r="K485" i="4"/>
  <c r="B486" i="4"/>
  <c r="C486" i="4"/>
  <c r="D486" i="4"/>
  <c r="E486" i="4"/>
  <c r="F486" i="4"/>
  <c r="G486" i="4"/>
  <c r="H486" i="4"/>
  <c r="I486" i="4"/>
  <c r="J486" i="4"/>
  <c r="K486" i="4"/>
  <c r="B487" i="4"/>
  <c r="C487" i="4"/>
  <c r="D487" i="4"/>
  <c r="E487" i="4"/>
  <c r="F487" i="4"/>
  <c r="G487" i="4"/>
  <c r="H487" i="4"/>
  <c r="I487" i="4"/>
  <c r="J487" i="4"/>
  <c r="K487" i="4"/>
  <c r="B488" i="4"/>
  <c r="C488" i="4"/>
  <c r="D488" i="4"/>
  <c r="E488" i="4"/>
  <c r="F488" i="4"/>
  <c r="G488" i="4"/>
  <c r="H488" i="4"/>
  <c r="I488" i="4"/>
  <c r="J488" i="4"/>
  <c r="K488" i="4"/>
  <c r="B489" i="4"/>
  <c r="C489" i="4"/>
  <c r="D489" i="4"/>
  <c r="E489" i="4"/>
  <c r="F489" i="4"/>
  <c r="G489" i="4"/>
  <c r="H489" i="4"/>
  <c r="I489" i="4"/>
  <c r="J489" i="4"/>
  <c r="K489" i="4"/>
  <c r="B490" i="4"/>
  <c r="C490" i="4"/>
  <c r="D490" i="4"/>
  <c r="E490" i="4"/>
  <c r="F490" i="4"/>
  <c r="G490" i="4"/>
  <c r="H490" i="4"/>
  <c r="I490" i="4"/>
  <c r="J490" i="4"/>
  <c r="K490" i="4"/>
  <c r="B491" i="4"/>
  <c r="C491" i="4"/>
  <c r="D491" i="4"/>
  <c r="E491" i="4"/>
  <c r="F491" i="4"/>
  <c r="G491" i="4"/>
  <c r="H491" i="4"/>
  <c r="I491" i="4"/>
  <c r="J491" i="4"/>
  <c r="K491" i="4"/>
  <c r="B492" i="4"/>
  <c r="C492" i="4"/>
  <c r="D492" i="4"/>
  <c r="E492" i="4"/>
  <c r="F492" i="4"/>
  <c r="G492" i="4"/>
  <c r="H492" i="4"/>
  <c r="I492" i="4"/>
  <c r="J492" i="4"/>
  <c r="K492" i="4"/>
  <c r="B493" i="4"/>
  <c r="C493" i="4"/>
  <c r="D493" i="4"/>
  <c r="E493" i="4"/>
  <c r="F493" i="4"/>
  <c r="G493" i="4"/>
  <c r="H493" i="4"/>
  <c r="I493" i="4"/>
  <c r="J493" i="4"/>
  <c r="K493" i="4"/>
  <c r="B494" i="4"/>
  <c r="C494" i="4"/>
  <c r="D494" i="4"/>
  <c r="E494" i="4"/>
  <c r="F494" i="4"/>
  <c r="G494" i="4"/>
  <c r="H494" i="4"/>
  <c r="I494" i="4"/>
  <c r="J494" i="4"/>
  <c r="K494" i="4"/>
  <c r="B495" i="4"/>
  <c r="C495" i="4"/>
  <c r="D495" i="4"/>
  <c r="E495" i="4"/>
  <c r="F495" i="4"/>
  <c r="G495" i="4"/>
  <c r="H495" i="4"/>
  <c r="I495" i="4"/>
  <c r="J495" i="4"/>
  <c r="K495" i="4"/>
  <c r="B496" i="4"/>
  <c r="C496" i="4"/>
  <c r="D496" i="4"/>
  <c r="E496" i="4"/>
  <c r="F496" i="4"/>
  <c r="G496" i="4"/>
  <c r="H496" i="4"/>
  <c r="I496" i="4"/>
  <c r="J496" i="4"/>
  <c r="K496" i="4"/>
  <c r="B497" i="4"/>
  <c r="C497" i="4"/>
  <c r="D497" i="4"/>
  <c r="E497" i="4"/>
  <c r="F497" i="4"/>
  <c r="G497" i="4"/>
  <c r="H497" i="4"/>
  <c r="I497" i="4"/>
  <c r="J497" i="4"/>
  <c r="K497" i="4"/>
  <c r="B498" i="4"/>
  <c r="C498" i="4"/>
  <c r="D498" i="4"/>
  <c r="E498" i="4"/>
  <c r="F498" i="4"/>
  <c r="G498" i="4"/>
  <c r="H498" i="4"/>
  <c r="I498" i="4"/>
  <c r="J498" i="4"/>
  <c r="K498" i="4"/>
  <c r="B499" i="4"/>
  <c r="C499" i="4"/>
  <c r="D499" i="4"/>
  <c r="E499" i="4"/>
  <c r="F499" i="4"/>
  <c r="G499" i="4"/>
  <c r="H499" i="4"/>
  <c r="I499" i="4"/>
  <c r="J499" i="4"/>
  <c r="K499" i="4"/>
  <c r="B500" i="4"/>
  <c r="C500" i="4"/>
  <c r="D500" i="4"/>
  <c r="E500" i="4"/>
  <c r="F500" i="4"/>
  <c r="G500" i="4"/>
  <c r="H500" i="4"/>
  <c r="I500" i="4"/>
  <c r="J500" i="4"/>
  <c r="K500" i="4"/>
  <c r="B501" i="4"/>
  <c r="C501" i="4"/>
  <c r="D501" i="4"/>
  <c r="E501" i="4"/>
  <c r="F501" i="4"/>
  <c r="G501" i="4"/>
  <c r="H501" i="4"/>
  <c r="I501" i="4"/>
  <c r="J501" i="4"/>
  <c r="K501" i="4"/>
  <c r="B502" i="4"/>
  <c r="C502" i="4"/>
  <c r="D502" i="4"/>
  <c r="E502" i="4"/>
  <c r="F502" i="4"/>
  <c r="G502" i="4"/>
  <c r="H502" i="4"/>
  <c r="I502" i="4"/>
  <c r="J502" i="4"/>
  <c r="K502" i="4"/>
  <c r="B503" i="4"/>
  <c r="C503" i="4"/>
  <c r="D503" i="4"/>
  <c r="E503" i="4"/>
  <c r="F503" i="4"/>
  <c r="G503" i="4"/>
  <c r="H503" i="4"/>
  <c r="I503" i="4"/>
  <c r="J503" i="4"/>
  <c r="K503" i="4"/>
  <c r="B504" i="4"/>
  <c r="C504" i="4"/>
  <c r="D504" i="4"/>
  <c r="E504" i="4"/>
  <c r="F504" i="4"/>
  <c r="G504" i="4"/>
  <c r="H504" i="4"/>
  <c r="I504" i="4"/>
  <c r="J504" i="4"/>
  <c r="K504" i="4"/>
  <c r="B505" i="4"/>
  <c r="C505" i="4"/>
  <c r="D505" i="4"/>
  <c r="E505" i="4"/>
  <c r="F505" i="4"/>
  <c r="G505" i="4"/>
  <c r="H505" i="4"/>
  <c r="I505" i="4"/>
  <c r="J505" i="4"/>
  <c r="K505" i="4"/>
  <c r="B506" i="4"/>
  <c r="C506" i="4"/>
  <c r="D506" i="4"/>
  <c r="E506" i="4"/>
  <c r="F506" i="4"/>
  <c r="G506" i="4"/>
  <c r="H506" i="4"/>
  <c r="I506" i="4"/>
  <c r="J506" i="4"/>
  <c r="K506" i="4"/>
  <c r="B507" i="4"/>
  <c r="C507" i="4"/>
  <c r="D507" i="4"/>
  <c r="E507" i="4"/>
  <c r="F507" i="4"/>
  <c r="G507" i="4"/>
  <c r="H507" i="4"/>
  <c r="I507" i="4"/>
  <c r="J507" i="4"/>
  <c r="K507" i="4"/>
  <c r="B508" i="4"/>
  <c r="C508" i="4"/>
  <c r="D508" i="4"/>
  <c r="E508" i="4"/>
  <c r="F508" i="4"/>
  <c r="G508" i="4"/>
  <c r="H508" i="4"/>
  <c r="I508" i="4"/>
  <c r="J508" i="4"/>
  <c r="K508" i="4"/>
  <c r="B509" i="4"/>
  <c r="C509" i="4"/>
  <c r="D509" i="4"/>
  <c r="E509" i="4"/>
  <c r="F509" i="4"/>
  <c r="G509" i="4"/>
  <c r="H509" i="4"/>
  <c r="I509" i="4"/>
  <c r="J509" i="4"/>
  <c r="K509" i="4"/>
  <c r="B510" i="4"/>
  <c r="C510" i="4"/>
  <c r="D510" i="4"/>
  <c r="E510" i="4"/>
  <c r="F510" i="4"/>
  <c r="G510" i="4"/>
  <c r="H510" i="4"/>
  <c r="I510" i="4"/>
  <c r="J510" i="4"/>
  <c r="K510" i="4"/>
  <c r="B511" i="4"/>
  <c r="C511" i="4"/>
  <c r="D511" i="4"/>
  <c r="E511" i="4"/>
  <c r="F511" i="4"/>
  <c r="G511" i="4"/>
  <c r="H511" i="4"/>
  <c r="I511" i="4"/>
  <c r="J511" i="4"/>
  <c r="K511" i="4"/>
  <c r="B512" i="4"/>
  <c r="C512" i="4"/>
  <c r="D512" i="4"/>
  <c r="E512" i="4"/>
  <c r="F512" i="4"/>
  <c r="G512" i="4"/>
  <c r="H512" i="4"/>
  <c r="I512" i="4"/>
  <c r="J512" i="4"/>
  <c r="K512" i="4"/>
  <c r="B513" i="4"/>
  <c r="C513" i="4"/>
  <c r="D513" i="4"/>
  <c r="E513" i="4"/>
  <c r="F513" i="4"/>
  <c r="G513" i="4"/>
  <c r="H513" i="4"/>
  <c r="I513" i="4"/>
  <c r="J513" i="4"/>
  <c r="K513" i="4"/>
  <c r="B514" i="4"/>
  <c r="C514" i="4"/>
  <c r="D514" i="4"/>
  <c r="E514" i="4"/>
  <c r="F514" i="4"/>
  <c r="G514" i="4"/>
  <c r="H514" i="4"/>
  <c r="I514" i="4"/>
  <c r="J514" i="4"/>
  <c r="K514" i="4"/>
  <c r="B515" i="4"/>
  <c r="C515" i="4"/>
  <c r="D515" i="4"/>
  <c r="E515" i="4"/>
  <c r="F515" i="4"/>
  <c r="G515" i="4"/>
  <c r="H515" i="4"/>
  <c r="I515" i="4"/>
  <c r="J515" i="4"/>
  <c r="K515" i="4"/>
  <c r="B516" i="4"/>
  <c r="C516" i="4"/>
  <c r="D516" i="4"/>
  <c r="E516" i="4"/>
  <c r="F516" i="4"/>
  <c r="G516" i="4"/>
  <c r="H516" i="4"/>
  <c r="I516" i="4"/>
  <c r="J516" i="4"/>
  <c r="K516" i="4"/>
  <c r="B517" i="4"/>
  <c r="C517" i="4"/>
  <c r="D517" i="4"/>
  <c r="E517" i="4"/>
  <c r="F517" i="4"/>
  <c r="G517" i="4"/>
  <c r="H517" i="4"/>
  <c r="I517" i="4"/>
  <c r="J517" i="4"/>
  <c r="K517" i="4"/>
  <c r="B518" i="4"/>
  <c r="C518" i="4"/>
  <c r="D518" i="4"/>
  <c r="E518" i="4"/>
  <c r="F518" i="4"/>
  <c r="G518" i="4"/>
  <c r="H518" i="4"/>
  <c r="I518" i="4"/>
  <c r="J518" i="4"/>
  <c r="K518" i="4"/>
  <c r="B519" i="4"/>
  <c r="C519" i="4"/>
  <c r="D519" i="4"/>
  <c r="E519" i="4"/>
  <c r="F519" i="4"/>
  <c r="G519" i="4"/>
  <c r="H519" i="4"/>
  <c r="I519" i="4"/>
  <c r="J519" i="4"/>
  <c r="K519" i="4"/>
  <c r="B520" i="4"/>
  <c r="C520" i="4"/>
  <c r="D520" i="4"/>
  <c r="E520" i="4"/>
  <c r="F520" i="4"/>
  <c r="G520" i="4"/>
  <c r="H520" i="4"/>
  <c r="I520" i="4"/>
  <c r="J520" i="4"/>
  <c r="K520" i="4"/>
  <c r="B521" i="4"/>
  <c r="C521" i="4"/>
  <c r="D521" i="4"/>
  <c r="E521" i="4"/>
  <c r="F521" i="4"/>
  <c r="G521" i="4"/>
  <c r="H521" i="4"/>
  <c r="I521" i="4"/>
  <c r="J521" i="4"/>
  <c r="K521" i="4"/>
  <c r="B522" i="4"/>
  <c r="C522" i="4"/>
  <c r="D522" i="4"/>
  <c r="E522" i="4"/>
  <c r="F522" i="4"/>
  <c r="G522" i="4"/>
  <c r="H522" i="4"/>
  <c r="I522" i="4"/>
  <c r="J522" i="4"/>
  <c r="K522" i="4"/>
  <c r="B523" i="4"/>
  <c r="C523" i="4"/>
  <c r="D523" i="4"/>
  <c r="E523" i="4"/>
  <c r="F523" i="4"/>
  <c r="G523" i="4"/>
  <c r="H523" i="4"/>
  <c r="I523" i="4"/>
  <c r="J523" i="4"/>
  <c r="K523" i="4"/>
  <c r="B524" i="4"/>
  <c r="C524" i="4"/>
  <c r="D524" i="4"/>
  <c r="E524" i="4"/>
  <c r="F524" i="4"/>
  <c r="G524" i="4"/>
  <c r="H524" i="4"/>
  <c r="I524" i="4"/>
  <c r="J524" i="4"/>
  <c r="K524" i="4"/>
  <c r="B525" i="4"/>
  <c r="C525" i="4"/>
  <c r="D525" i="4"/>
  <c r="E525" i="4"/>
  <c r="F525" i="4"/>
  <c r="G525" i="4"/>
  <c r="H525" i="4"/>
  <c r="I525" i="4"/>
  <c r="J525" i="4"/>
  <c r="K525" i="4"/>
  <c r="B526" i="4"/>
  <c r="C526" i="4"/>
  <c r="D526" i="4"/>
  <c r="E526" i="4"/>
  <c r="F526" i="4"/>
  <c r="G526" i="4"/>
  <c r="H526" i="4"/>
  <c r="I526" i="4"/>
  <c r="J526" i="4"/>
  <c r="K526" i="4"/>
  <c r="B527" i="4"/>
  <c r="C527" i="4"/>
  <c r="D527" i="4"/>
  <c r="E527" i="4"/>
  <c r="F527" i="4"/>
  <c r="G527" i="4"/>
  <c r="H527" i="4"/>
  <c r="I527" i="4"/>
  <c r="J527" i="4"/>
  <c r="K527" i="4"/>
  <c r="B528" i="4"/>
  <c r="C528" i="4"/>
  <c r="D528" i="4"/>
  <c r="E528" i="4"/>
  <c r="F528" i="4"/>
  <c r="G528" i="4"/>
  <c r="H528" i="4"/>
  <c r="I528" i="4"/>
  <c r="J528" i="4"/>
  <c r="K528" i="4"/>
  <c r="B529" i="4"/>
  <c r="C529" i="4"/>
  <c r="D529" i="4"/>
  <c r="E529" i="4"/>
  <c r="F529" i="4"/>
  <c r="G529" i="4"/>
  <c r="H529" i="4"/>
  <c r="I529" i="4"/>
  <c r="J529" i="4"/>
  <c r="K529" i="4"/>
  <c r="B530" i="4"/>
  <c r="C530" i="4"/>
  <c r="D530" i="4"/>
  <c r="E530" i="4"/>
  <c r="F530" i="4"/>
  <c r="G530" i="4"/>
  <c r="H530" i="4"/>
  <c r="I530" i="4"/>
  <c r="J530" i="4"/>
  <c r="K530" i="4"/>
  <c r="B531" i="4"/>
  <c r="C531" i="4"/>
  <c r="D531" i="4"/>
  <c r="E531" i="4"/>
  <c r="F531" i="4"/>
  <c r="G531" i="4"/>
  <c r="H531" i="4"/>
  <c r="I531" i="4"/>
  <c r="J531" i="4"/>
  <c r="K531" i="4"/>
  <c r="B532" i="4"/>
  <c r="C532" i="4"/>
  <c r="D532" i="4"/>
  <c r="E532" i="4"/>
  <c r="F532" i="4"/>
  <c r="G532" i="4"/>
  <c r="H532" i="4"/>
  <c r="I532" i="4"/>
  <c r="J532" i="4"/>
  <c r="K532" i="4"/>
  <c r="B533" i="4"/>
  <c r="C533" i="4"/>
  <c r="D533" i="4"/>
  <c r="E533" i="4"/>
  <c r="F533" i="4"/>
  <c r="G533" i="4"/>
  <c r="H533" i="4"/>
  <c r="I533" i="4"/>
  <c r="J533" i="4"/>
  <c r="K533" i="4"/>
  <c r="B534" i="4"/>
  <c r="C534" i="4"/>
  <c r="D534" i="4"/>
  <c r="E534" i="4"/>
  <c r="F534" i="4"/>
  <c r="G534" i="4"/>
  <c r="H534" i="4"/>
  <c r="I534" i="4"/>
  <c r="J534" i="4"/>
  <c r="K534" i="4"/>
  <c r="B535" i="4"/>
  <c r="C535" i="4"/>
  <c r="D535" i="4"/>
  <c r="E535" i="4"/>
  <c r="F535" i="4"/>
  <c r="G535" i="4"/>
  <c r="H535" i="4"/>
  <c r="I535" i="4"/>
  <c r="J535" i="4"/>
  <c r="K535" i="4"/>
  <c r="B536" i="4"/>
  <c r="C536" i="4"/>
  <c r="D536" i="4"/>
  <c r="E536" i="4"/>
  <c r="F536" i="4"/>
  <c r="G536" i="4"/>
  <c r="H536" i="4"/>
  <c r="I536" i="4"/>
  <c r="J536" i="4"/>
  <c r="K536" i="4"/>
  <c r="B537" i="4"/>
  <c r="C537" i="4"/>
  <c r="D537" i="4"/>
  <c r="E537" i="4"/>
  <c r="F537" i="4"/>
  <c r="G537" i="4"/>
  <c r="H537" i="4"/>
  <c r="I537" i="4"/>
  <c r="J537" i="4"/>
  <c r="K537" i="4"/>
  <c r="B538" i="4"/>
  <c r="C538" i="4"/>
  <c r="D538" i="4"/>
  <c r="E538" i="4"/>
  <c r="F538" i="4"/>
  <c r="G538" i="4"/>
  <c r="H538" i="4"/>
  <c r="I538" i="4"/>
  <c r="J538" i="4"/>
  <c r="K538" i="4"/>
  <c r="B539" i="4"/>
  <c r="C539" i="4"/>
  <c r="D539" i="4"/>
  <c r="E539" i="4"/>
  <c r="F539" i="4"/>
  <c r="G539" i="4"/>
  <c r="H539" i="4"/>
  <c r="I539" i="4"/>
  <c r="J539" i="4"/>
  <c r="K539" i="4"/>
  <c r="B540" i="4"/>
  <c r="C540" i="4"/>
  <c r="D540" i="4"/>
  <c r="E540" i="4"/>
  <c r="F540" i="4"/>
  <c r="G540" i="4"/>
  <c r="H540" i="4"/>
  <c r="I540" i="4"/>
  <c r="J540" i="4"/>
  <c r="K540" i="4"/>
  <c r="B541" i="4"/>
  <c r="C541" i="4"/>
  <c r="D541" i="4"/>
  <c r="E541" i="4"/>
  <c r="F541" i="4"/>
  <c r="G541" i="4"/>
  <c r="H541" i="4"/>
  <c r="I541" i="4"/>
  <c r="J541" i="4"/>
  <c r="K541" i="4"/>
  <c r="B542" i="4"/>
  <c r="C542" i="4"/>
  <c r="D542" i="4"/>
  <c r="E542" i="4"/>
  <c r="F542" i="4"/>
  <c r="G542" i="4"/>
  <c r="H542" i="4"/>
  <c r="I542" i="4"/>
  <c r="J542" i="4"/>
  <c r="K542" i="4"/>
  <c r="B543" i="4"/>
  <c r="C543" i="4"/>
  <c r="D543" i="4"/>
  <c r="E543" i="4"/>
  <c r="F543" i="4"/>
  <c r="G543" i="4"/>
  <c r="H543" i="4"/>
  <c r="I543" i="4"/>
  <c r="J543" i="4"/>
  <c r="K543" i="4"/>
  <c r="B544" i="4"/>
  <c r="C544" i="4"/>
  <c r="D544" i="4"/>
  <c r="E544" i="4"/>
  <c r="F544" i="4"/>
  <c r="G544" i="4"/>
  <c r="H544" i="4"/>
  <c r="I544" i="4"/>
  <c r="J544" i="4"/>
  <c r="K544" i="4"/>
  <c r="B545" i="4"/>
  <c r="C545" i="4"/>
  <c r="D545" i="4"/>
  <c r="E545" i="4"/>
  <c r="F545" i="4"/>
  <c r="G545" i="4"/>
  <c r="H545" i="4"/>
  <c r="I545" i="4"/>
  <c r="J545" i="4"/>
  <c r="K545" i="4"/>
  <c r="B546" i="4"/>
  <c r="C546" i="4"/>
  <c r="D546" i="4"/>
  <c r="E546" i="4"/>
  <c r="F546" i="4"/>
  <c r="G546" i="4"/>
  <c r="H546" i="4"/>
  <c r="I546" i="4"/>
  <c r="J546" i="4"/>
  <c r="K546" i="4"/>
  <c r="B547" i="4"/>
  <c r="C547" i="4"/>
  <c r="D547" i="4"/>
  <c r="E547" i="4"/>
  <c r="F547" i="4"/>
  <c r="G547" i="4"/>
  <c r="H547" i="4"/>
  <c r="I547" i="4"/>
  <c r="J547" i="4"/>
  <c r="K547" i="4"/>
  <c r="B548" i="4"/>
  <c r="C548" i="4"/>
  <c r="D548" i="4"/>
  <c r="E548" i="4"/>
  <c r="F548" i="4"/>
  <c r="G548" i="4"/>
  <c r="H548" i="4"/>
  <c r="I548" i="4"/>
  <c r="J548" i="4"/>
  <c r="K548" i="4"/>
  <c r="B549" i="4"/>
  <c r="C549" i="4"/>
  <c r="D549" i="4"/>
  <c r="E549" i="4"/>
  <c r="F549" i="4"/>
  <c r="G549" i="4"/>
  <c r="H549" i="4"/>
  <c r="I549" i="4"/>
  <c r="J549" i="4"/>
  <c r="K549" i="4"/>
  <c r="B550" i="4"/>
  <c r="C550" i="4"/>
  <c r="D550" i="4"/>
  <c r="E550" i="4"/>
  <c r="F550" i="4"/>
  <c r="G550" i="4"/>
  <c r="H550" i="4"/>
  <c r="I550" i="4"/>
  <c r="J550" i="4"/>
  <c r="K550" i="4"/>
  <c r="B551" i="4"/>
  <c r="C551" i="4"/>
  <c r="D551" i="4"/>
  <c r="E551" i="4"/>
  <c r="F551" i="4"/>
  <c r="G551" i="4"/>
  <c r="H551" i="4"/>
  <c r="I551" i="4"/>
  <c r="J551" i="4"/>
  <c r="K551" i="4"/>
  <c r="B552" i="4"/>
  <c r="C552" i="4"/>
  <c r="D552" i="4"/>
  <c r="E552" i="4"/>
  <c r="F552" i="4"/>
  <c r="G552" i="4"/>
  <c r="H552" i="4"/>
  <c r="I552" i="4"/>
  <c r="J552" i="4"/>
  <c r="K552" i="4"/>
  <c r="B553" i="4"/>
  <c r="C553" i="4"/>
  <c r="D553" i="4"/>
  <c r="E553" i="4"/>
  <c r="F553" i="4"/>
  <c r="G553" i="4"/>
  <c r="H553" i="4"/>
  <c r="I553" i="4"/>
  <c r="J553" i="4"/>
  <c r="K553" i="4"/>
  <c r="B554" i="4"/>
  <c r="C554" i="4"/>
  <c r="D554" i="4"/>
  <c r="E554" i="4"/>
  <c r="F554" i="4"/>
  <c r="G554" i="4"/>
  <c r="H554" i="4"/>
  <c r="I554" i="4"/>
  <c r="J554" i="4"/>
  <c r="K554" i="4"/>
  <c r="B555" i="4"/>
  <c r="C555" i="4"/>
  <c r="D555" i="4"/>
  <c r="E555" i="4"/>
  <c r="F555" i="4"/>
  <c r="G555" i="4"/>
  <c r="H555" i="4"/>
  <c r="I555" i="4"/>
  <c r="J555" i="4"/>
  <c r="K555" i="4"/>
  <c r="B556" i="4"/>
  <c r="C556" i="4"/>
  <c r="D556" i="4"/>
  <c r="E556" i="4"/>
  <c r="F556" i="4"/>
  <c r="G556" i="4"/>
  <c r="H556" i="4"/>
  <c r="I556" i="4"/>
  <c r="J556" i="4"/>
  <c r="K556" i="4"/>
  <c r="B557" i="4"/>
  <c r="C557" i="4"/>
  <c r="D557" i="4"/>
  <c r="E557" i="4"/>
  <c r="F557" i="4"/>
  <c r="G557" i="4"/>
  <c r="H557" i="4"/>
  <c r="I557" i="4"/>
  <c r="J557" i="4"/>
  <c r="K557" i="4"/>
  <c r="B558" i="4"/>
  <c r="C558" i="4"/>
  <c r="D558" i="4"/>
  <c r="E558" i="4"/>
  <c r="F558" i="4"/>
  <c r="G558" i="4"/>
  <c r="H558" i="4"/>
  <c r="I558" i="4"/>
  <c r="J558" i="4"/>
  <c r="K558" i="4"/>
  <c r="B559" i="4"/>
  <c r="C559" i="4"/>
  <c r="D559" i="4"/>
  <c r="E559" i="4"/>
  <c r="F559" i="4"/>
  <c r="G559" i="4"/>
  <c r="H559" i="4"/>
  <c r="I559" i="4"/>
  <c r="J559" i="4"/>
  <c r="K559" i="4"/>
  <c r="B560" i="4"/>
  <c r="C560" i="4"/>
  <c r="D560" i="4"/>
  <c r="E560" i="4"/>
  <c r="F560" i="4"/>
  <c r="G560" i="4"/>
  <c r="H560" i="4"/>
  <c r="I560" i="4"/>
  <c r="J560" i="4"/>
  <c r="K560" i="4"/>
  <c r="B561" i="4"/>
  <c r="C561" i="4"/>
  <c r="D561" i="4"/>
  <c r="E561" i="4"/>
  <c r="F561" i="4"/>
  <c r="G561" i="4"/>
  <c r="H561" i="4"/>
  <c r="I561" i="4"/>
  <c r="J561" i="4"/>
  <c r="K561" i="4"/>
  <c r="B562" i="4"/>
  <c r="C562" i="4"/>
  <c r="D562" i="4"/>
  <c r="E562" i="4"/>
  <c r="F562" i="4"/>
  <c r="G562" i="4"/>
  <c r="H562" i="4"/>
  <c r="I562" i="4"/>
  <c r="J562" i="4"/>
  <c r="K562" i="4"/>
  <c r="B563" i="4"/>
  <c r="C563" i="4"/>
  <c r="D563" i="4"/>
  <c r="E563" i="4"/>
  <c r="F563" i="4"/>
  <c r="G563" i="4"/>
  <c r="H563" i="4"/>
  <c r="I563" i="4"/>
  <c r="J563" i="4"/>
  <c r="K563" i="4"/>
  <c r="B564" i="4"/>
  <c r="C564" i="4"/>
  <c r="D564" i="4"/>
  <c r="E564" i="4"/>
  <c r="F564" i="4"/>
  <c r="G564" i="4"/>
  <c r="H564" i="4"/>
  <c r="I564" i="4"/>
  <c r="J564" i="4"/>
  <c r="K564" i="4"/>
  <c r="B565" i="4"/>
  <c r="C565" i="4"/>
  <c r="D565" i="4"/>
  <c r="E565" i="4"/>
  <c r="F565" i="4"/>
  <c r="G565" i="4"/>
  <c r="H565" i="4"/>
  <c r="I565" i="4"/>
  <c r="J565" i="4"/>
  <c r="K565" i="4"/>
  <c r="B566" i="4"/>
  <c r="C566" i="4"/>
  <c r="D566" i="4"/>
  <c r="E566" i="4"/>
  <c r="F566" i="4"/>
  <c r="G566" i="4"/>
  <c r="H566" i="4"/>
  <c r="I566" i="4"/>
  <c r="J566" i="4"/>
  <c r="K566" i="4"/>
  <c r="B567" i="4"/>
  <c r="C567" i="4"/>
  <c r="D567" i="4"/>
  <c r="E567" i="4"/>
  <c r="F567" i="4"/>
  <c r="G567" i="4"/>
  <c r="H567" i="4"/>
  <c r="I567" i="4"/>
  <c r="J567" i="4"/>
  <c r="K567" i="4"/>
  <c r="B568" i="4"/>
  <c r="C568" i="4"/>
  <c r="D568" i="4"/>
  <c r="E568" i="4"/>
  <c r="F568" i="4"/>
  <c r="G568" i="4"/>
  <c r="H568" i="4"/>
  <c r="I568" i="4"/>
  <c r="J568" i="4"/>
  <c r="K568" i="4"/>
  <c r="B569" i="4"/>
  <c r="C569" i="4"/>
  <c r="D569" i="4"/>
  <c r="E569" i="4"/>
  <c r="F569" i="4"/>
  <c r="G569" i="4"/>
  <c r="H569" i="4"/>
  <c r="I569" i="4"/>
  <c r="J569" i="4"/>
  <c r="K569" i="4"/>
  <c r="B570" i="4"/>
  <c r="C570" i="4"/>
  <c r="D570" i="4"/>
  <c r="E570" i="4"/>
  <c r="F570" i="4"/>
  <c r="G570" i="4"/>
  <c r="H570" i="4"/>
  <c r="I570" i="4"/>
  <c r="J570" i="4"/>
  <c r="K570" i="4"/>
  <c r="B571" i="4"/>
  <c r="C571" i="4"/>
  <c r="D571" i="4"/>
  <c r="E571" i="4"/>
  <c r="F571" i="4"/>
  <c r="G571" i="4"/>
  <c r="H571" i="4"/>
  <c r="I571" i="4"/>
  <c r="J571" i="4"/>
  <c r="K571" i="4"/>
  <c r="B572" i="4"/>
  <c r="C572" i="4"/>
  <c r="D572" i="4"/>
  <c r="E572" i="4"/>
  <c r="F572" i="4"/>
  <c r="G572" i="4"/>
  <c r="H572" i="4"/>
  <c r="I572" i="4"/>
  <c r="J572" i="4"/>
  <c r="K572" i="4"/>
  <c r="B573" i="4"/>
  <c r="C573" i="4"/>
  <c r="D573" i="4"/>
  <c r="E573" i="4"/>
  <c r="F573" i="4"/>
  <c r="G573" i="4"/>
  <c r="H573" i="4"/>
  <c r="I573" i="4"/>
  <c r="J573" i="4"/>
  <c r="K573" i="4"/>
  <c r="B574" i="4"/>
  <c r="C574" i="4"/>
  <c r="D574" i="4"/>
  <c r="E574" i="4"/>
  <c r="F574" i="4"/>
  <c r="G574" i="4"/>
  <c r="H574" i="4"/>
  <c r="I574" i="4"/>
  <c r="J574" i="4"/>
  <c r="K574" i="4"/>
  <c r="B575" i="4"/>
  <c r="C575" i="4"/>
  <c r="D575" i="4"/>
  <c r="E575" i="4"/>
  <c r="F575" i="4"/>
  <c r="G575" i="4"/>
  <c r="H575" i="4"/>
  <c r="I575" i="4"/>
  <c r="J575" i="4"/>
  <c r="K575" i="4"/>
  <c r="B576" i="4"/>
  <c r="C576" i="4"/>
  <c r="D576" i="4"/>
  <c r="E576" i="4"/>
  <c r="F576" i="4"/>
  <c r="G576" i="4"/>
  <c r="H576" i="4"/>
  <c r="I576" i="4"/>
  <c r="J576" i="4"/>
  <c r="K576" i="4"/>
  <c r="B577" i="4"/>
  <c r="C577" i="4"/>
  <c r="D577" i="4"/>
  <c r="E577" i="4"/>
  <c r="F577" i="4"/>
  <c r="G577" i="4"/>
  <c r="H577" i="4"/>
  <c r="I577" i="4"/>
  <c r="J577" i="4"/>
  <c r="K577" i="4"/>
  <c r="B578" i="4"/>
  <c r="C578" i="4"/>
  <c r="D578" i="4"/>
  <c r="E578" i="4"/>
  <c r="F578" i="4"/>
  <c r="G578" i="4"/>
  <c r="H578" i="4"/>
  <c r="I578" i="4"/>
  <c r="J578" i="4"/>
  <c r="K578" i="4"/>
  <c r="B579" i="4"/>
  <c r="C579" i="4"/>
  <c r="D579" i="4"/>
  <c r="E579" i="4"/>
  <c r="F579" i="4"/>
  <c r="G579" i="4"/>
  <c r="H579" i="4"/>
  <c r="I579" i="4"/>
  <c r="J579" i="4"/>
  <c r="K579" i="4"/>
  <c r="B580" i="4"/>
  <c r="C580" i="4"/>
  <c r="D580" i="4"/>
  <c r="E580" i="4"/>
  <c r="F580" i="4"/>
  <c r="G580" i="4"/>
  <c r="H580" i="4"/>
  <c r="I580" i="4"/>
  <c r="J580" i="4"/>
  <c r="K580" i="4"/>
  <c r="B581" i="4"/>
  <c r="C581" i="4"/>
  <c r="D581" i="4"/>
  <c r="E581" i="4"/>
  <c r="F581" i="4"/>
  <c r="G581" i="4"/>
  <c r="H581" i="4"/>
  <c r="I581" i="4"/>
  <c r="J581" i="4"/>
  <c r="K581" i="4"/>
  <c r="B582" i="4"/>
  <c r="C582" i="4"/>
  <c r="D582" i="4"/>
  <c r="E582" i="4"/>
  <c r="F582" i="4"/>
  <c r="G582" i="4"/>
  <c r="H582" i="4"/>
  <c r="I582" i="4"/>
  <c r="J582" i="4"/>
  <c r="K582" i="4"/>
  <c r="B583" i="4"/>
  <c r="C583" i="4"/>
  <c r="D583" i="4"/>
  <c r="E583" i="4"/>
  <c r="F583" i="4"/>
  <c r="G583" i="4"/>
  <c r="H583" i="4"/>
  <c r="I583" i="4"/>
  <c r="J583" i="4"/>
  <c r="K583" i="4"/>
  <c r="B584" i="4"/>
  <c r="C584" i="4"/>
  <c r="D584" i="4"/>
  <c r="E584" i="4"/>
  <c r="F584" i="4"/>
  <c r="G584" i="4"/>
  <c r="H584" i="4"/>
  <c r="I584" i="4"/>
  <c r="J584" i="4"/>
  <c r="K584" i="4"/>
  <c r="B585" i="4"/>
  <c r="C585" i="4"/>
  <c r="D585" i="4"/>
  <c r="E585" i="4"/>
  <c r="F585" i="4"/>
  <c r="G585" i="4"/>
  <c r="H585" i="4"/>
  <c r="I585" i="4"/>
  <c r="J585" i="4"/>
  <c r="K585" i="4"/>
  <c r="B586" i="4"/>
  <c r="C586" i="4"/>
  <c r="D586" i="4"/>
  <c r="E586" i="4"/>
  <c r="F586" i="4"/>
  <c r="G586" i="4"/>
  <c r="H586" i="4"/>
  <c r="I586" i="4"/>
  <c r="J586" i="4"/>
  <c r="K586" i="4"/>
  <c r="B587" i="4"/>
  <c r="C587" i="4"/>
  <c r="D587" i="4"/>
  <c r="E587" i="4"/>
  <c r="F587" i="4"/>
  <c r="G587" i="4"/>
  <c r="H587" i="4"/>
  <c r="I587" i="4"/>
  <c r="J587" i="4"/>
  <c r="K587" i="4"/>
  <c r="B588" i="4"/>
  <c r="C588" i="4"/>
  <c r="D588" i="4"/>
  <c r="E588" i="4"/>
  <c r="F588" i="4"/>
  <c r="G588" i="4"/>
  <c r="H588" i="4"/>
  <c r="I588" i="4"/>
  <c r="J588" i="4"/>
  <c r="K588" i="4"/>
  <c r="B589" i="4"/>
  <c r="C589" i="4"/>
  <c r="D589" i="4"/>
  <c r="E589" i="4"/>
  <c r="F589" i="4"/>
  <c r="G589" i="4"/>
  <c r="H589" i="4"/>
  <c r="I589" i="4"/>
  <c r="J589" i="4"/>
  <c r="K589" i="4"/>
  <c r="B590" i="4"/>
  <c r="C590" i="4"/>
  <c r="D590" i="4"/>
  <c r="E590" i="4"/>
  <c r="F590" i="4"/>
  <c r="G590" i="4"/>
  <c r="H590" i="4"/>
  <c r="I590" i="4"/>
  <c r="J590" i="4"/>
  <c r="K590" i="4"/>
  <c r="B591" i="4"/>
  <c r="C591" i="4"/>
  <c r="D591" i="4"/>
  <c r="E591" i="4"/>
  <c r="F591" i="4"/>
  <c r="G591" i="4"/>
  <c r="H591" i="4"/>
  <c r="I591" i="4"/>
  <c r="J591" i="4"/>
  <c r="K591" i="4"/>
  <c r="B592" i="4"/>
  <c r="C592" i="4"/>
  <c r="D592" i="4"/>
  <c r="E592" i="4"/>
  <c r="F592" i="4"/>
  <c r="G592" i="4"/>
  <c r="H592" i="4"/>
  <c r="I592" i="4"/>
  <c r="J592" i="4"/>
  <c r="K592" i="4"/>
  <c r="B593" i="4"/>
  <c r="C593" i="4"/>
  <c r="D593" i="4"/>
  <c r="E593" i="4"/>
  <c r="F593" i="4"/>
  <c r="G593" i="4"/>
  <c r="H593" i="4"/>
  <c r="I593" i="4"/>
  <c r="J593" i="4"/>
  <c r="K593" i="4"/>
  <c r="B594" i="4"/>
  <c r="C594" i="4"/>
  <c r="D594" i="4"/>
  <c r="E594" i="4"/>
  <c r="F594" i="4"/>
  <c r="G594" i="4"/>
  <c r="H594" i="4"/>
  <c r="I594" i="4"/>
  <c r="J594" i="4"/>
  <c r="K594" i="4"/>
  <c r="B595" i="4"/>
  <c r="C595" i="4"/>
  <c r="D595" i="4"/>
  <c r="E595" i="4"/>
  <c r="F595" i="4"/>
  <c r="G595" i="4"/>
  <c r="H595" i="4"/>
  <c r="I595" i="4"/>
  <c r="J595" i="4"/>
  <c r="K595" i="4"/>
  <c r="B596" i="4"/>
  <c r="C596" i="4"/>
  <c r="D596" i="4"/>
  <c r="E596" i="4"/>
  <c r="F596" i="4"/>
  <c r="G596" i="4"/>
  <c r="H596" i="4"/>
  <c r="I596" i="4"/>
  <c r="J596" i="4"/>
  <c r="K596" i="4"/>
  <c r="B597" i="4"/>
  <c r="C597" i="4"/>
  <c r="D597" i="4"/>
  <c r="E597" i="4"/>
  <c r="F597" i="4"/>
  <c r="G597" i="4"/>
  <c r="H597" i="4"/>
  <c r="I597" i="4"/>
  <c r="J597" i="4"/>
  <c r="K597" i="4"/>
  <c r="B598" i="4"/>
  <c r="C598" i="4"/>
  <c r="D598" i="4"/>
  <c r="E598" i="4"/>
  <c r="F598" i="4"/>
  <c r="G598" i="4"/>
  <c r="H598" i="4"/>
  <c r="I598" i="4"/>
  <c r="J598" i="4"/>
  <c r="K598" i="4"/>
  <c r="B599" i="4"/>
  <c r="C599" i="4"/>
  <c r="D599" i="4"/>
  <c r="E599" i="4"/>
  <c r="F599" i="4"/>
  <c r="G599" i="4"/>
  <c r="H599" i="4"/>
  <c r="I599" i="4"/>
  <c r="J599" i="4"/>
  <c r="K599" i="4"/>
  <c r="B600" i="4"/>
  <c r="C600" i="4"/>
  <c r="D600" i="4"/>
  <c r="E600" i="4"/>
  <c r="F600" i="4"/>
  <c r="G600" i="4"/>
  <c r="H600" i="4"/>
  <c r="I600" i="4"/>
  <c r="J600" i="4"/>
  <c r="K600" i="4"/>
  <c r="B601" i="4"/>
  <c r="C601" i="4"/>
  <c r="D601" i="4"/>
  <c r="E601" i="4"/>
  <c r="F601" i="4"/>
  <c r="G601" i="4"/>
  <c r="H601" i="4"/>
  <c r="I601" i="4"/>
  <c r="J601" i="4"/>
  <c r="K601" i="4"/>
  <c r="B602" i="4"/>
  <c r="C602" i="4"/>
  <c r="D602" i="4"/>
  <c r="E602" i="4"/>
  <c r="F602" i="4"/>
  <c r="G602" i="4"/>
  <c r="H602" i="4"/>
  <c r="I602" i="4"/>
  <c r="J602" i="4"/>
  <c r="K602" i="4"/>
  <c r="B603" i="4"/>
  <c r="C603" i="4"/>
  <c r="D603" i="4"/>
  <c r="E603" i="4"/>
  <c r="F603" i="4"/>
  <c r="G603" i="4"/>
  <c r="H603" i="4"/>
  <c r="I603" i="4"/>
  <c r="J603" i="4"/>
  <c r="K603" i="4"/>
  <c r="B604" i="4"/>
  <c r="C604" i="4"/>
  <c r="D604" i="4"/>
  <c r="E604" i="4"/>
  <c r="F604" i="4"/>
  <c r="G604" i="4"/>
  <c r="H604" i="4"/>
  <c r="I604" i="4"/>
  <c r="J604" i="4"/>
  <c r="K604" i="4"/>
  <c r="B605" i="4"/>
  <c r="C605" i="4"/>
  <c r="D605" i="4"/>
  <c r="E605" i="4"/>
  <c r="F605" i="4"/>
  <c r="G605" i="4"/>
  <c r="H605" i="4"/>
  <c r="I605" i="4"/>
  <c r="J605" i="4"/>
  <c r="K605" i="4"/>
  <c r="B606" i="4"/>
  <c r="C606" i="4"/>
  <c r="D606" i="4"/>
  <c r="E606" i="4"/>
  <c r="F606" i="4"/>
  <c r="G606" i="4"/>
  <c r="H606" i="4"/>
  <c r="I606" i="4"/>
  <c r="J606" i="4"/>
  <c r="K606" i="4"/>
  <c r="B607" i="4"/>
  <c r="C607" i="4"/>
  <c r="D607" i="4"/>
  <c r="E607" i="4"/>
  <c r="F607" i="4"/>
  <c r="G607" i="4"/>
  <c r="H607" i="4"/>
  <c r="I607" i="4"/>
  <c r="J607" i="4"/>
  <c r="K607" i="4"/>
  <c r="B608" i="4"/>
  <c r="C608" i="4"/>
  <c r="D608" i="4"/>
  <c r="E608" i="4"/>
  <c r="F608" i="4"/>
  <c r="G608" i="4"/>
  <c r="H608" i="4"/>
  <c r="I608" i="4"/>
  <c r="J608" i="4"/>
  <c r="K608" i="4"/>
  <c r="B609" i="4"/>
  <c r="C609" i="4"/>
  <c r="D609" i="4"/>
  <c r="E609" i="4"/>
  <c r="F609" i="4"/>
  <c r="G609" i="4"/>
  <c r="H609" i="4"/>
  <c r="I609" i="4"/>
  <c r="J609" i="4"/>
  <c r="K609" i="4"/>
  <c r="B610" i="4"/>
  <c r="C610" i="4"/>
  <c r="D610" i="4"/>
  <c r="E610" i="4"/>
  <c r="F610" i="4"/>
  <c r="G610" i="4"/>
  <c r="H610" i="4"/>
  <c r="I610" i="4"/>
  <c r="J610" i="4"/>
  <c r="K610" i="4"/>
  <c r="B611" i="4"/>
  <c r="C611" i="4"/>
  <c r="D611" i="4"/>
  <c r="E611" i="4"/>
  <c r="F611" i="4"/>
  <c r="G611" i="4"/>
  <c r="H611" i="4"/>
  <c r="I611" i="4"/>
  <c r="J611" i="4"/>
  <c r="K611" i="4"/>
  <c r="B612" i="4"/>
  <c r="C612" i="4"/>
  <c r="D612" i="4"/>
  <c r="E612" i="4"/>
  <c r="F612" i="4"/>
  <c r="G612" i="4"/>
  <c r="H612" i="4"/>
  <c r="I612" i="4"/>
  <c r="J612" i="4"/>
  <c r="K612" i="4"/>
  <c r="B613" i="4"/>
  <c r="C613" i="4"/>
  <c r="D613" i="4"/>
  <c r="E613" i="4"/>
  <c r="F613" i="4"/>
  <c r="G613" i="4"/>
  <c r="H613" i="4"/>
  <c r="I613" i="4"/>
  <c r="J613" i="4"/>
  <c r="K613" i="4"/>
  <c r="B614" i="4"/>
  <c r="C614" i="4"/>
  <c r="D614" i="4"/>
  <c r="E614" i="4"/>
  <c r="F614" i="4"/>
  <c r="G614" i="4"/>
  <c r="H614" i="4"/>
  <c r="I614" i="4"/>
  <c r="J614" i="4"/>
  <c r="K614" i="4"/>
  <c r="B615" i="4"/>
  <c r="C615" i="4"/>
  <c r="D615" i="4"/>
  <c r="E615" i="4"/>
  <c r="F615" i="4"/>
  <c r="G615" i="4"/>
  <c r="H615" i="4"/>
  <c r="I615" i="4"/>
  <c r="J615" i="4"/>
  <c r="K615" i="4"/>
  <c r="B616" i="4"/>
  <c r="C616" i="4"/>
  <c r="D616" i="4"/>
  <c r="E616" i="4"/>
  <c r="F616" i="4"/>
  <c r="G616" i="4"/>
  <c r="H616" i="4"/>
  <c r="I616" i="4"/>
  <c r="J616" i="4"/>
  <c r="K616" i="4"/>
  <c r="B617" i="4"/>
  <c r="C617" i="4"/>
  <c r="D617" i="4"/>
  <c r="E617" i="4"/>
  <c r="F617" i="4"/>
  <c r="G617" i="4"/>
  <c r="H617" i="4"/>
  <c r="I617" i="4"/>
  <c r="J617" i="4"/>
  <c r="K617" i="4"/>
  <c r="B618" i="4"/>
  <c r="C618" i="4"/>
  <c r="D618" i="4"/>
  <c r="E618" i="4"/>
  <c r="F618" i="4"/>
  <c r="G618" i="4"/>
  <c r="H618" i="4"/>
  <c r="I618" i="4"/>
  <c r="J618" i="4"/>
  <c r="K618" i="4"/>
  <c r="B619" i="4"/>
  <c r="C619" i="4"/>
  <c r="D619" i="4"/>
  <c r="E619" i="4"/>
  <c r="F619" i="4"/>
  <c r="G619" i="4"/>
  <c r="H619" i="4"/>
  <c r="I619" i="4"/>
  <c r="J619" i="4"/>
  <c r="K619" i="4"/>
  <c r="B620" i="4"/>
  <c r="C620" i="4"/>
  <c r="D620" i="4"/>
  <c r="E620" i="4"/>
  <c r="F620" i="4"/>
  <c r="G620" i="4"/>
  <c r="H620" i="4"/>
  <c r="I620" i="4"/>
  <c r="J620" i="4"/>
  <c r="K620" i="4"/>
  <c r="B621" i="4"/>
  <c r="C621" i="4"/>
  <c r="D621" i="4"/>
  <c r="E621" i="4"/>
  <c r="F621" i="4"/>
  <c r="G621" i="4"/>
  <c r="H621" i="4"/>
  <c r="I621" i="4"/>
  <c r="J621" i="4"/>
  <c r="K621" i="4"/>
  <c r="B622" i="4"/>
  <c r="C622" i="4"/>
  <c r="D622" i="4"/>
  <c r="E622" i="4"/>
  <c r="F622" i="4"/>
  <c r="G622" i="4"/>
  <c r="H622" i="4"/>
  <c r="I622" i="4"/>
  <c r="J622" i="4"/>
  <c r="K622" i="4"/>
  <c r="B623" i="4"/>
  <c r="C623" i="4"/>
  <c r="D623" i="4"/>
  <c r="E623" i="4"/>
  <c r="F623" i="4"/>
  <c r="G623" i="4"/>
  <c r="H623" i="4"/>
  <c r="I623" i="4"/>
  <c r="J623" i="4"/>
  <c r="K623" i="4"/>
  <c r="B624" i="4"/>
  <c r="C624" i="4"/>
  <c r="D624" i="4"/>
  <c r="E624" i="4"/>
  <c r="F624" i="4"/>
  <c r="G624" i="4"/>
  <c r="H624" i="4"/>
  <c r="I624" i="4"/>
  <c r="J624" i="4"/>
  <c r="K624" i="4"/>
  <c r="B625" i="4"/>
  <c r="C625" i="4"/>
  <c r="D625" i="4"/>
  <c r="E625" i="4"/>
  <c r="F625" i="4"/>
  <c r="G625" i="4"/>
  <c r="H625" i="4"/>
  <c r="I625" i="4"/>
  <c r="J625" i="4"/>
  <c r="K625" i="4"/>
  <c r="B626" i="4"/>
  <c r="C626" i="4"/>
  <c r="D626" i="4"/>
  <c r="E626" i="4"/>
  <c r="F626" i="4"/>
  <c r="G626" i="4"/>
  <c r="H626" i="4"/>
  <c r="I626" i="4"/>
  <c r="J626" i="4"/>
  <c r="K626" i="4"/>
  <c r="B627" i="4"/>
  <c r="C627" i="4"/>
  <c r="D627" i="4"/>
  <c r="E627" i="4"/>
  <c r="F627" i="4"/>
  <c r="G627" i="4"/>
  <c r="H627" i="4"/>
  <c r="I627" i="4"/>
  <c r="J627" i="4"/>
  <c r="K627" i="4"/>
  <c r="B628" i="4"/>
  <c r="C628" i="4"/>
  <c r="D628" i="4"/>
  <c r="E628" i="4"/>
  <c r="F628" i="4"/>
  <c r="G628" i="4"/>
  <c r="H628" i="4"/>
  <c r="I628" i="4"/>
  <c r="J628" i="4"/>
  <c r="K628" i="4"/>
  <c r="B629" i="4"/>
  <c r="C629" i="4"/>
  <c r="D629" i="4"/>
  <c r="E629" i="4"/>
  <c r="F629" i="4"/>
  <c r="G629" i="4"/>
  <c r="H629" i="4"/>
  <c r="I629" i="4"/>
  <c r="J629" i="4"/>
  <c r="K629" i="4"/>
  <c r="B630" i="4"/>
  <c r="C630" i="4"/>
  <c r="D630" i="4"/>
  <c r="E630" i="4"/>
  <c r="F630" i="4"/>
  <c r="G630" i="4"/>
  <c r="H630" i="4"/>
  <c r="I630" i="4"/>
  <c r="J630" i="4"/>
  <c r="K630" i="4"/>
  <c r="B631" i="4"/>
  <c r="C631" i="4"/>
  <c r="D631" i="4"/>
  <c r="E631" i="4"/>
  <c r="F631" i="4"/>
  <c r="G631" i="4"/>
  <c r="H631" i="4"/>
  <c r="I631" i="4"/>
  <c r="J631" i="4"/>
  <c r="K631" i="4"/>
  <c r="B632" i="4"/>
  <c r="C632" i="4"/>
  <c r="D632" i="4"/>
  <c r="E632" i="4"/>
  <c r="F632" i="4"/>
  <c r="G632" i="4"/>
  <c r="H632" i="4"/>
  <c r="I632" i="4"/>
  <c r="J632" i="4"/>
  <c r="K632" i="4"/>
  <c r="B633" i="4"/>
  <c r="C633" i="4"/>
  <c r="D633" i="4"/>
  <c r="E633" i="4"/>
  <c r="F633" i="4"/>
  <c r="G633" i="4"/>
  <c r="H633" i="4"/>
  <c r="I633" i="4"/>
  <c r="J633" i="4"/>
  <c r="K633" i="4"/>
  <c r="B634" i="4"/>
  <c r="C634" i="4"/>
  <c r="D634" i="4"/>
  <c r="E634" i="4"/>
  <c r="F634" i="4"/>
  <c r="G634" i="4"/>
  <c r="H634" i="4"/>
  <c r="I634" i="4"/>
  <c r="J634" i="4"/>
  <c r="K634" i="4"/>
  <c r="B635" i="4"/>
  <c r="C635" i="4"/>
  <c r="D635" i="4"/>
  <c r="E635" i="4"/>
  <c r="F635" i="4"/>
  <c r="G635" i="4"/>
  <c r="H635" i="4"/>
  <c r="I635" i="4"/>
  <c r="J635" i="4"/>
  <c r="K635" i="4"/>
  <c r="B636" i="4"/>
  <c r="C636" i="4"/>
  <c r="D636" i="4"/>
  <c r="E636" i="4"/>
  <c r="F636" i="4"/>
  <c r="G636" i="4"/>
  <c r="H636" i="4"/>
  <c r="I636" i="4"/>
  <c r="J636" i="4"/>
  <c r="K636" i="4"/>
  <c r="B637" i="4"/>
  <c r="C637" i="4"/>
  <c r="D637" i="4"/>
  <c r="E637" i="4"/>
  <c r="F637" i="4"/>
  <c r="G637" i="4"/>
  <c r="H637" i="4"/>
  <c r="I637" i="4"/>
  <c r="J637" i="4"/>
  <c r="K637" i="4"/>
  <c r="B638" i="4"/>
  <c r="C638" i="4"/>
  <c r="D638" i="4"/>
  <c r="E638" i="4"/>
  <c r="F638" i="4"/>
  <c r="G638" i="4"/>
  <c r="H638" i="4"/>
  <c r="I638" i="4"/>
  <c r="J638" i="4"/>
  <c r="K638" i="4"/>
  <c r="B639" i="4"/>
  <c r="C639" i="4"/>
  <c r="D639" i="4"/>
  <c r="E639" i="4"/>
  <c r="F639" i="4"/>
  <c r="G639" i="4"/>
  <c r="H639" i="4"/>
  <c r="I639" i="4"/>
  <c r="J639" i="4"/>
  <c r="K639" i="4"/>
  <c r="B640" i="4"/>
  <c r="C640" i="4"/>
  <c r="D640" i="4"/>
  <c r="E640" i="4"/>
  <c r="F640" i="4"/>
  <c r="G640" i="4"/>
  <c r="H640" i="4"/>
  <c r="I640" i="4"/>
  <c r="J640" i="4"/>
  <c r="K640" i="4"/>
  <c r="B641" i="4"/>
  <c r="C641" i="4"/>
  <c r="D641" i="4"/>
  <c r="E641" i="4"/>
  <c r="F641" i="4"/>
  <c r="G641" i="4"/>
  <c r="H641" i="4"/>
  <c r="I641" i="4"/>
  <c r="J641" i="4"/>
  <c r="K641" i="4"/>
  <c r="B642" i="4"/>
  <c r="C642" i="4"/>
  <c r="D642" i="4"/>
  <c r="E642" i="4"/>
  <c r="F642" i="4"/>
  <c r="G642" i="4"/>
  <c r="H642" i="4"/>
  <c r="I642" i="4"/>
  <c r="J642" i="4"/>
  <c r="K642" i="4"/>
  <c r="B643" i="4"/>
  <c r="C643" i="4"/>
  <c r="D643" i="4"/>
  <c r="E643" i="4"/>
  <c r="F643" i="4"/>
  <c r="G643" i="4"/>
  <c r="H643" i="4"/>
  <c r="I643" i="4"/>
  <c r="J643" i="4"/>
  <c r="K643" i="4"/>
  <c r="B644" i="4"/>
  <c r="C644" i="4"/>
  <c r="D644" i="4"/>
  <c r="E644" i="4"/>
  <c r="F644" i="4"/>
  <c r="G644" i="4"/>
  <c r="H644" i="4"/>
  <c r="I644" i="4"/>
  <c r="J644" i="4"/>
  <c r="K644" i="4"/>
  <c r="B645" i="4"/>
  <c r="C645" i="4"/>
  <c r="D645" i="4"/>
  <c r="E645" i="4"/>
  <c r="F645" i="4"/>
  <c r="G645" i="4"/>
  <c r="H645" i="4"/>
  <c r="I645" i="4"/>
  <c r="J645" i="4"/>
  <c r="K645" i="4"/>
  <c r="B646" i="4"/>
  <c r="C646" i="4"/>
  <c r="D646" i="4"/>
  <c r="E646" i="4"/>
  <c r="F646" i="4"/>
  <c r="G646" i="4"/>
  <c r="H646" i="4"/>
  <c r="I646" i="4"/>
  <c r="J646" i="4"/>
  <c r="K646" i="4"/>
  <c r="B647" i="4"/>
  <c r="C647" i="4"/>
  <c r="D647" i="4"/>
  <c r="E647" i="4"/>
  <c r="F647" i="4"/>
  <c r="G647" i="4"/>
  <c r="H647" i="4"/>
  <c r="I647" i="4"/>
  <c r="J647" i="4"/>
  <c r="K647" i="4"/>
  <c r="B648" i="4"/>
  <c r="C648" i="4"/>
  <c r="D648" i="4"/>
  <c r="E648" i="4"/>
  <c r="F648" i="4"/>
  <c r="G648" i="4"/>
  <c r="H648" i="4"/>
  <c r="I648" i="4"/>
  <c r="J648" i="4"/>
  <c r="K648" i="4"/>
  <c r="B649" i="4"/>
  <c r="C649" i="4"/>
  <c r="D649" i="4"/>
  <c r="E649" i="4"/>
  <c r="F649" i="4"/>
  <c r="G649" i="4"/>
  <c r="H649" i="4"/>
  <c r="I649" i="4"/>
  <c r="J649" i="4"/>
  <c r="K649" i="4"/>
  <c r="B650" i="4"/>
  <c r="C650" i="4"/>
  <c r="D650" i="4"/>
  <c r="E650" i="4"/>
  <c r="F650" i="4"/>
  <c r="G650" i="4"/>
  <c r="H650" i="4"/>
  <c r="I650" i="4"/>
  <c r="J650" i="4"/>
  <c r="K650" i="4"/>
  <c r="B651" i="4"/>
  <c r="C651" i="4"/>
  <c r="D651" i="4"/>
  <c r="E651" i="4"/>
  <c r="F651" i="4"/>
  <c r="G651" i="4"/>
  <c r="H651" i="4"/>
  <c r="I651" i="4"/>
  <c r="J651" i="4"/>
  <c r="K651" i="4"/>
  <c r="B652" i="4"/>
  <c r="C652" i="4"/>
  <c r="D652" i="4"/>
  <c r="E652" i="4"/>
  <c r="F652" i="4"/>
  <c r="G652" i="4"/>
  <c r="H652" i="4"/>
  <c r="I652" i="4"/>
  <c r="J652" i="4"/>
  <c r="K652" i="4"/>
  <c r="B653" i="4"/>
  <c r="C653" i="4"/>
  <c r="D653" i="4"/>
  <c r="E653" i="4"/>
  <c r="F653" i="4"/>
  <c r="G653" i="4"/>
  <c r="H653" i="4"/>
  <c r="I653" i="4"/>
  <c r="J653" i="4"/>
  <c r="K653" i="4"/>
  <c r="B654" i="4"/>
  <c r="C654" i="4"/>
  <c r="D654" i="4"/>
  <c r="E654" i="4"/>
  <c r="F654" i="4"/>
  <c r="G654" i="4"/>
  <c r="H654" i="4"/>
  <c r="I654" i="4"/>
  <c r="J654" i="4"/>
  <c r="K654" i="4"/>
  <c r="B655" i="4"/>
  <c r="C655" i="4"/>
  <c r="D655" i="4"/>
  <c r="E655" i="4"/>
  <c r="F655" i="4"/>
  <c r="G655" i="4"/>
  <c r="H655" i="4"/>
  <c r="I655" i="4"/>
  <c r="J655" i="4"/>
  <c r="K655" i="4"/>
  <c r="B656" i="4"/>
  <c r="C656" i="4"/>
  <c r="D656" i="4"/>
  <c r="E656" i="4"/>
  <c r="F656" i="4"/>
  <c r="G656" i="4"/>
  <c r="H656" i="4"/>
  <c r="I656" i="4"/>
  <c r="J656" i="4"/>
  <c r="K656" i="4"/>
  <c r="B657" i="4"/>
  <c r="C657" i="4"/>
  <c r="D657" i="4"/>
  <c r="E657" i="4"/>
  <c r="F657" i="4"/>
  <c r="G657" i="4"/>
  <c r="H657" i="4"/>
  <c r="I657" i="4"/>
  <c r="J657" i="4"/>
  <c r="K657" i="4"/>
  <c r="B658" i="4"/>
  <c r="C658" i="4"/>
  <c r="D658" i="4"/>
  <c r="E658" i="4"/>
  <c r="F658" i="4"/>
  <c r="G658" i="4"/>
  <c r="H658" i="4"/>
  <c r="I658" i="4"/>
  <c r="J658" i="4"/>
  <c r="K658" i="4"/>
  <c r="B659" i="4"/>
  <c r="C659" i="4"/>
  <c r="D659" i="4"/>
  <c r="E659" i="4"/>
  <c r="F659" i="4"/>
  <c r="G659" i="4"/>
  <c r="H659" i="4"/>
  <c r="I659" i="4"/>
  <c r="J659" i="4"/>
  <c r="K659" i="4"/>
  <c r="B660" i="4"/>
  <c r="C660" i="4"/>
  <c r="D660" i="4"/>
  <c r="E660" i="4"/>
  <c r="F660" i="4"/>
  <c r="G660" i="4"/>
  <c r="H660" i="4"/>
  <c r="I660" i="4"/>
  <c r="J660" i="4"/>
  <c r="K660" i="4"/>
  <c r="B661" i="4"/>
  <c r="C661" i="4"/>
  <c r="D661" i="4"/>
  <c r="E661" i="4"/>
  <c r="F661" i="4"/>
  <c r="G661" i="4"/>
  <c r="H661" i="4"/>
  <c r="I661" i="4"/>
  <c r="J661" i="4"/>
  <c r="K661" i="4"/>
  <c r="B662" i="4"/>
  <c r="C662" i="4"/>
  <c r="D662" i="4"/>
  <c r="E662" i="4"/>
  <c r="F662" i="4"/>
  <c r="G662" i="4"/>
  <c r="H662" i="4"/>
  <c r="I662" i="4"/>
  <c r="J662" i="4"/>
  <c r="K662" i="4"/>
  <c r="B663" i="4"/>
  <c r="C663" i="4"/>
  <c r="D663" i="4"/>
  <c r="E663" i="4"/>
  <c r="F663" i="4"/>
  <c r="G663" i="4"/>
  <c r="H663" i="4"/>
  <c r="I663" i="4"/>
  <c r="J663" i="4"/>
  <c r="K663" i="4"/>
  <c r="B664" i="4"/>
  <c r="C664" i="4"/>
  <c r="D664" i="4"/>
  <c r="E664" i="4"/>
  <c r="F664" i="4"/>
  <c r="G664" i="4"/>
  <c r="H664" i="4"/>
  <c r="I664" i="4"/>
  <c r="J664" i="4"/>
  <c r="K664" i="4"/>
  <c r="B665" i="4"/>
  <c r="C665" i="4"/>
  <c r="D665" i="4"/>
  <c r="E665" i="4"/>
  <c r="F665" i="4"/>
  <c r="G665" i="4"/>
  <c r="H665" i="4"/>
  <c r="I665" i="4"/>
  <c r="J665" i="4"/>
  <c r="K665" i="4"/>
  <c r="B666" i="4"/>
  <c r="C666" i="4"/>
  <c r="D666" i="4"/>
  <c r="E666" i="4"/>
  <c r="F666" i="4"/>
  <c r="G666" i="4"/>
  <c r="H666" i="4"/>
  <c r="I666" i="4"/>
  <c r="J666" i="4"/>
  <c r="K666" i="4"/>
  <c r="B667" i="4"/>
  <c r="C667" i="4"/>
  <c r="D667" i="4"/>
  <c r="E667" i="4"/>
  <c r="F667" i="4"/>
  <c r="G667" i="4"/>
  <c r="H667" i="4"/>
  <c r="I667" i="4"/>
  <c r="J667" i="4"/>
  <c r="K667" i="4"/>
  <c r="B668" i="4"/>
  <c r="C668" i="4"/>
  <c r="D668" i="4"/>
  <c r="E668" i="4"/>
  <c r="F668" i="4"/>
  <c r="G668" i="4"/>
  <c r="H668" i="4"/>
  <c r="I668" i="4"/>
  <c r="J668" i="4"/>
  <c r="K668" i="4"/>
  <c r="B669" i="4"/>
  <c r="C669" i="4"/>
  <c r="D669" i="4"/>
  <c r="E669" i="4"/>
  <c r="F669" i="4"/>
  <c r="G669" i="4"/>
  <c r="H669" i="4"/>
  <c r="I669" i="4"/>
  <c r="J669" i="4"/>
  <c r="K669" i="4"/>
  <c r="B670" i="4"/>
  <c r="C670" i="4"/>
  <c r="D670" i="4"/>
  <c r="E670" i="4"/>
  <c r="F670" i="4"/>
  <c r="G670" i="4"/>
  <c r="H670" i="4"/>
  <c r="I670" i="4"/>
  <c r="J670" i="4"/>
  <c r="K670" i="4"/>
  <c r="B671" i="4"/>
  <c r="C671" i="4"/>
  <c r="D671" i="4"/>
  <c r="E671" i="4"/>
  <c r="F671" i="4"/>
  <c r="G671" i="4"/>
  <c r="H671" i="4"/>
  <c r="I671" i="4"/>
  <c r="J671" i="4"/>
  <c r="K671" i="4"/>
  <c r="B672" i="4"/>
  <c r="C672" i="4"/>
  <c r="D672" i="4"/>
  <c r="E672" i="4"/>
  <c r="F672" i="4"/>
  <c r="G672" i="4"/>
  <c r="H672" i="4"/>
  <c r="I672" i="4"/>
  <c r="J672" i="4"/>
  <c r="K672" i="4"/>
  <c r="B673" i="4"/>
  <c r="C673" i="4"/>
  <c r="D673" i="4"/>
  <c r="E673" i="4"/>
  <c r="F673" i="4"/>
  <c r="G673" i="4"/>
  <c r="H673" i="4"/>
  <c r="I673" i="4"/>
  <c r="J673" i="4"/>
  <c r="K673" i="4"/>
  <c r="B674" i="4"/>
  <c r="C674" i="4"/>
  <c r="D674" i="4"/>
  <c r="E674" i="4"/>
  <c r="F674" i="4"/>
  <c r="G674" i="4"/>
  <c r="H674" i="4"/>
  <c r="I674" i="4"/>
  <c r="J674" i="4"/>
  <c r="K674" i="4"/>
  <c r="B675" i="4"/>
  <c r="C675" i="4"/>
  <c r="D675" i="4"/>
  <c r="E675" i="4"/>
  <c r="F675" i="4"/>
  <c r="G675" i="4"/>
  <c r="H675" i="4"/>
  <c r="I675" i="4"/>
  <c r="J675" i="4"/>
  <c r="K675" i="4"/>
  <c r="B676" i="4"/>
  <c r="C676" i="4"/>
  <c r="D676" i="4"/>
  <c r="E676" i="4"/>
  <c r="F676" i="4"/>
  <c r="G676" i="4"/>
  <c r="H676" i="4"/>
  <c r="I676" i="4"/>
  <c r="J676" i="4"/>
  <c r="K676" i="4"/>
  <c r="B677" i="4"/>
  <c r="C677" i="4"/>
  <c r="D677" i="4"/>
  <c r="E677" i="4"/>
  <c r="F677" i="4"/>
  <c r="G677" i="4"/>
  <c r="H677" i="4"/>
  <c r="I677" i="4"/>
  <c r="J677" i="4"/>
  <c r="K677" i="4"/>
  <c r="B678" i="4"/>
  <c r="C678" i="4"/>
  <c r="D678" i="4"/>
  <c r="E678" i="4"/>
  <c r="F678" i="4"/>
  <c r="G678" i="4"/>
  <c r="H678" i="4"/>
  <c r="I678" i="4"/>
  <c r="J678" i="4"/>
  <c r="K678" i="4"/>
  <c r="B679" i="4"/>
  <c r="C679" i="4"/>
  <c r="D679" i="4"/>
  <c r="E679" i="4"/>
  <c r="F679" i="4"/>
  <c r="G679" i="4"/>
  <c r="H679" i="4"/>
  <c r="I679" i="4"/>
  <c r="J679" i="4"/>
  <c r="K679" i="4"/>
  <c r="B680" i="4"/>
  <c r="C680" i="4"/>
  <c r="D680" i="4"/>
  <c r="E680" i="4"/>
  <c r="F680" i="4"/>
  <c r="G680" i="4"/>
  <c r="H680" i="4"/>
  <c r="I680" i="4"/>
  <c r="J680" i="4"/>
  <c r="K680" i="4"/>
  <c r="B681" i="4"/>
  <c r="C681" i="4"/>
  <c r="D681" i="4"/>
  <c r="E681" i="4"/>
  <c r="F681" i="4"/>
  <c r="G681" i="4"/>
  <c r="H681" i="4"/>
  <c r="I681" i="4"/>
  <c r="J681" i="4"/>
  <c r="K681" i="4"/>
  <c r="B682" i="4"/>
  <c r="C682" i="4"/>
  <c r="D682" i="4"/>
  <c r="E682" i="4"/>
  <c r="F682" i="4"/>
  <c r="G682" i="4"/>
  <c r="H682" i="4"/>
  <c r="I682" i="4"/>
  <c r="J682" i="4"/>
  <c r="K682" i="4"/>
  <c r="B683" i="4"/>
  <c r="C683" i="4"/>
  <c r="D683" i="4"/>
  <c r="E683" i="4"/>
  <c r="F683" i="4"/>
  <c r="G683" i="4"/>
  <c r="H683" i="4"/>
  <c r="I683" i="4"/>
  <c r="J683" i="4"/>
  <c r="K683" i="4"/>
  <c r="B684" i="4"/>
  <c r="C684" i="4"/>
  <c r="D684" i="4"/>
  <c r="E684" i="4"/>
  <c r="F684" i="4"/>
  <c r="G684" i="4"/>
  <c r="H684" i="4"/>
  <c r="I684" i="4"/>
  <c r="J684" i="4"/>
  <c r="K684" i="4"/>
  <c r="B685" i="4"/>
  <c r="C685" i="4"/>
  <c r="D685" i="4"/>
  <c r="E685" i="4"/>
  <c r="F685" i="4"/>
  <c r="G685" i="4"/>
  <c r="H685" i="4"/>
  <c r="I685" i="4"/>
  <c r="J685" i="4"/>
  <c r="K685" i="4"/>
  <c r="B686" i="4"/>
  <c r="C686" i="4"/>
  <c r="D686" i="4"/>
  <c r="E686" i="4"/>
  <c r="F686" i="4"/>
  <c r="G686" i="4"/>
  <c r="H686" i="4"/>
  <c r="I686" i="4"/>
  <c r="J686" i="4"/>
  <c r="K686" i="4"/>
  <c r="B687" i="4"/>
  <c r="C687" i="4"/>
  <c r="D687" i="4"/>
  <c r="E687" i="4"/>
  <c r="F687" i="4"/>
  <c r="G687" i="4"/>
  <c r="H687" i="4"/>
  <c r="I687" i="4"/>
  <c r="J687" i="4"/>
  <c r="K687" i="4"/>
  <c r="B688" i="4"/>
  <c r="C688" i="4"/>
  <c r="D688" i="4"/>
  <c r="E688" i="4"/>
  <c r="F688" i="4"/>
  <c r="G688" i="4"/>
  <c r="H688" i="4"/>
  <c r="I688" i="4"/>
  <c r="J688" i="4"/>
  <c r="K688" i="4"/>
  <c r="B689" i="4"/>
  <c r="C689" i="4"/>
  <c r="D689" i="4"/>
  <c r="E689" i="4"/>
  <c r="F689" i="4"/>
  <c r="G689" i="4"/>
  <c r="H689" i="4"/>
  <c r="I689" i="4"/>
  <c r="J689" i="4"/>
  <c r="K689" i="4"/>
  <c r="B690" i="4"/>
  <c r="C690" i="4"/>
  <c r="D690" i="4"/>
  <c r="E690" i="4"/>
  <c r="F690" i="4"/>
  <c r="G690" i="4"/>
  <c r="H690" i="4"/>
  <c r="I690" i="4"/>
  <c r="J690" i="4"/>
  <c r="K690" i="4"/>
  <c r="B691" i="4"/>
  <c r="C691" i="4"/>
  <c r="D691" i="4"/>
  <c r="E691" i="4"/>
  <c r="F691" i="4"/>
  <c r="G691" i="4"/>
  <c r="H691" i="4"/>
  <c r="I691" i="4"/>
  <c r="J691" i="4"/>
  <c r="K691" i="4"/>
  <c r="B692" i="4"/>
  <c r="C692" i="4"/>
  <c r="D692" i="4"/>
  <c r="E692" i="4"/>
  <c r="F692" i="4"/>
  <c r="G692" i="4"/>
  <c r="H692" i="4"/>
  <c r="I692" i="4"/>
  <c r="J692" i="4"/>
  <c r="K692" i="4"/>
  <c r="B693" i="4"/>
  <c r="C693" i="4"/>
  <c r="D693" i="4"/>
  <c r="E693" i="4"/>
  <c r="F693" i="4"/>
  <c r="G693" i="4"/>
  <c r="H693" i="4"/>
  <c r="I693" i="4"/>
  <c r="J693" i="4"/>
  <c r="K693" i="4"/>
  <c r="B694" i="4"/>
  <c r="C694" i="4"/>
  <c r="D694" i="4"/>
  <c r="E694" i="4"/>
  <c r="F694" i="4"/>
  <c r="G694" i="4"/>
  <c r="H694" i="4"/>
  <c r="I694" i="4"/>
  <c r="J694" i="4"/>
  <c r="K694" i="4"/>
  <c r="B695" i="4"/>
  <c r="C695" i="4"/>
  <c r="D695" i="4"/>
  <c r="E695" i="4"/>
  <c r="F695" i="4"/>
  <c r="G695" i="4"/>
  <c r="H695" i="4"/>
  <c r="I695" i="4"/>
  <c r="J695" i="4"/>
  <c r="K695" i="4"/>
  <c r="B696" i="4"/>
  <c r="C696" i="4"/>
  <c r="D696" i="4"/>
  <c r="E696" i="4"/>
  <c r="F696" i="4"/>
  <c r="G696" i="4"/>
  <c r="H696" i="4"/>
  <c r="I696" i="4"/>
  <c r="J696" i="4"/>
  <c r="K696" i="4"/>
  <c r="B697" i="4"/>
  <c r="C697" i="4"/>
  <c r="D697" i="4"/>
  <c r="E697" i="4"/>
  <c r="F697" i="4"/>
  <c r="G697" i="4"/>
  <c r="H697" i="4"/>
  <c r="I697" i="4"/>
  <c r="J697" i="4"/>
  <c r="K697" i="4"/>
  <c r="B698" i="4"/>
  <c r="C698" i="4"/>
  <c r="D698" i="4"/>
  <c r="E698" i="4"/>
  <c r="F698" i="4"/>
  <c r="G698" i="4"/>
  <c r="H698" i="4"/>
  <c r="I698" i="4"/>
  <c r="J698" i="4"/>
  <c r="K698" i="4"/>
  <c r="B699" i="4"/>
  <c r="C699" i="4"/>
  <c r="D699" i="4"/>
  <c r="E699" i="4"/>
  <c r="F699" i="4"/>
  <c r="G699" i="4"/>
  <c r="H699" i="4"/>
  <c r="I699" i="4"/>
  <c r="J699" i="4"/>
  <c r="K699" i="4"/>
  <c r="B700" i="4"/>
  <c r="C700" i="4"/>
  <c r="D700" i="4"/>
  <c r="E700" i="4"/>
  <c r="F700" i="4"/>
  <c r="G700" i="4"/>
  <c r="H700" i="4"/>
  <c r="I700" i="4"/>
  <c r="J700" i="4"/>
  <c r="K700" i="4"/>
  <c r="B701" i="4"/>
  <c r="C701" i="4"/>
  <c r="D701" i="4"/>
  <c r="E701" i="4"/>
  <c r="F701" i="4"/>
  <c r="G701" i="4"/>
  <c r="H701" i="4"/>
  <c r="I701" i="4"/>
  <c r="J701" i="4"/>
  <c r="K701" i="4"/>
  <c r="B702" i="4"/>
  <c r="C702" i="4"/>
  <c r="D702" i="4"/>
  <c r="E702" i="4"/>
  <c r="F702" i="4"/>
  <c r="G702" i="4"/>
  <c r="H702" i="4"/>
  <c r="I702" i="4"/>
  <c r="J702" i="4"/>
  <c r="K702" i="4"/>
  <c r="B703" i="4"/>
  <c r="C703" i="4"/>
  <c r="D703" i="4"/>
  <c r="E703" i="4"/>
  <c r="F703" i="4"/>
  <c r="G703" i="4"/>
  <c r="H703" i="4"/>
  <c r="I703" i="4"/>
  <c r="J703" i="4"/>
  <c r="K703" i="4"/>
  <c r="B704" i="4"/>
  <c r="C704" i="4"/>
  <c r="D704" i="4"/>
  <c r="E704" i="4"/>
  <c r="F704" i="4"/>
  <c r="G704" i="4"/>
  <c r="H704" i="4"/>
  <c r="I704" i="4"/>
  <c r="J704" i="4"/>
  <c r="K704" i="4"/>
  <c r="B705" i="4"/>
  <c r="C705" i="4"/>
  <c r="D705" i="4"/>
  <c r="E705" i="4"/>
  <c r="F705" i="4"/>
  <c r="G705" i="4"/>
  <c r="H705" i="4"/>
  <c r="I705" i="4"/>
  <c r="J705" i="4"/>
  <c r="K705" i="4"/>
  <c r="B706" i="4"/>
  <c r="C706" i="4"/>
  <c r="D706" i="4"/>
  <c r="E706" i="4"/>
  <c r="F706" i="4"/>
  <c r="G706" i="4"/>
  <c r="H706" i="4"/>
  <c r="I706" i="4"/>
  <c r="J706" i="4"/>
  <c r="K706" i="4"/>
  <c r="B707" i="4"/>
  <c r="C707" i="4"/>
  <c r="D707" i="4"/>
  <c r="E707" i="4"/>
  <c r="F707" i="4"/>
  <c r="G707" i="4"/>
  <c r="H707" i="4"/>
  <c r="I707" i="4"/>
  <c r="J707" i="4"/>
  <c r="K707" i="4"/>
  <c r="B708" i="4"/>
  <c r="C708" i="4"/>
  <c r="D708" i="4"/>
  <c r="E708" i="4"/>
  <c r="F708" i="4"/>
  <c r="G708" i="4"/>
  <c r="H708" i="4"/>
  <c r="I708" i="4"/>
  <c r="J708" i="4"/>
  <c r="K708" i="4"/>
  <c r="B709" i="4"/>
  <c r="C709" i="4"/>
  <c r="D709" i="4"/>
  <c r="E709" i="4"/>
  <c r="F709" i="4"/>
  <c r="G709" i="4"/>
  <c r="H709" i="4"/>
  <c r="I709" i="4"/>
  <c r="J709" i="4"/>
  <c r="K709" i="4"/>
  <c r="B710" i="4"/>
  <c r="C710" i="4"/>
  <c r="D710" i="4"/>
  <c r="E710" i="4"/>
  <c r="F710" i="4"/>
  <c r="G710" i="4"/>
  <c r="H710" i="4"/>
  <c r="I710" i="4"/>
  <c r="J710" i="4"/>
  <c r="K710" i="4"/>
  <c r="B711" i="4"/>
  <c r="C711" i="4"/>
  <c r="D711" i="4"/>
  <c r="E711" i="4"/>
  <c r="F711" i="4"/>
  <c r="G711" i="4"/>
  <c r="H711" i="4"/>
  <c r="I711" i="4"/>
  <c r="J711" i="4"/>
  <c r="K711" i="4"/>
  <c r="B712" i="4"/>
  <c r="C712" i="4"/>
  <c r="D712" i="4"/>
  <c r="E712" i="4"/>
  <c r="F712" i="4"/>
  <c r="G712" i="4"/>
  <c r="H712" i="4"/>
  <c r="I712" i="4"/>
  <c r="J712" i="4"/>
  <c r="K712" i="4"/>
  <c r="B713" i="4"/>
  <c r="C713" i="4"/>
  <c r="D713" i="4"/>
  <c r="E713" i="4"/>
  <c r="F713" i="4"/>
  <c r="G713" i="4"/>
  <c r="H713" i="4"/>
  <c r="I713" i="4"/>
  <c r="J713" i="4"/>
  <c r="K713" i="4"/>
  <c r="B714" i="4"/>
  <c r="C714" i="4"/>
  <c r="D714" i="4"/>
  <c r="E714" i="4"/>
  <c r="F714" i="4"/>
  <c r="G714" i="4"/>
  <c r="H714" i="4"/>
  <c r="I714" i="4"/>
  <c r="J714" i="4"/>
  <c r="K714" i="4"/>
  <c r="B715" i="4"/>
  <c r="C715" i="4"/>
  <c r="D715" i="4"/>
  <c r="E715" i="4"/>
  <c r="F715" i="4"/>
  <c r="G715" i="4"/>
  <c r="H715" i="4"/>
  <c r="I715" i="4"/>
  <c r="J715" i="4"/>
  <c r="K715" i="4"/>
  <c r="B716" i="4"/>
  <c r="C716" i="4"/>
  <c r="D716" i="4"/>
  <c r="E716" i="4"/>
  <c r="F716" i="4"/>
  <c r="G716" i="4"/>
  <c r="H716" i="4"/>
  <c r="I716" i="4"/>
  <c r="J716" i="4"/>
  <c r="K716" i="4"/>
  <c r="B717" i="4"/>
  <c r="C717" i="4"/>
  <c r="D717" i="4"/>
  <c r="E717" i="4"/>
  <c r="F717" i="4"/>
  <c r="G717" i="4"/>
  <c r="H717" i="4"/>
  <c r="I717" i="4"/>
  <c r="J717" i="4"/>
  <c r="K717" i="4"/>
  <c r="B718" i="4"/>
  <c r="C718" i="4"/>
  <c r="D718" i="4"/>
  <c r="E718" i="4"/>
  <c r="F718" i="4"/>
  <c r="G718" i="4"/>
  <c r="H718" i="4"/>
  <c r="I718" i="4"/>
  <c r="J718" i="4"/>
  <c r="K718" i="4"/>
  <c r="B719" i="4"/>
  <c r="C719" i="4"/>
  <c r="D719" i="4"/>
  <c r="E719" i="4"/>
  <c r="F719" i="4"/>
  <c r="G719" i="4"/>
  <c r="H719" i="4"/>
  <c r="I719" i="4"/>
  <c r="J719" i="4"/>
  <c r="K719" i="4"/>
  <c r="B720" i="4"/>
  <c r="C720" i="4"/>
  <c r="D720" i="4"/>
  <c r="E720" i="4"/>
  <c r="F720" i="4"/>
  <c r="G720" i="4"/>
  <c r="H720" i="4"/>
  <c r="I720" i="4"/>
  <c r="J720" i="4"/>
  <c r="K720" i="4"/>
  <c r="B721" i="4"/>
  <c r="C721" i="4"/>
  <c r="D721" i="4"/>
  <c r="E721" i="4"/>
  <c r="F721" i="4"/>
  <c r="G721" i="4"/>
  <c r="H721" i="4"/>
  <c r="I721" i="4"/>
  <c r="J721" i="4"/>
  <c r="K721" i="4"/>
  <c r="B722" i="4"/>
  <c r="C722" i="4"/>
  <c r="D722" i="4"/>
  <c r="E722" i="4"/>
  <c r="F722" i="4"/>
  <c r="G722" i="4"/>
  <c r="H722" i="4"/>
  <c r="I722" i="4"/>
  <c r="J722" i="4"/>
  <c r="K722" i="4"/>
  <c r="B723" i="4"/>
  <c r="C723" i="4"/>
  <c r="D723" i="4"/>
  <c r="E723" i="4"/>
  <c r="F723" i="4"/>
  <c r="G723" i="4"/>
  <c r="H723" i="4"/>
  <c r="I723" i="4"/>
  <c r="J723" i="4"/>
  <c r="K723" i="4"/>
  <c r="B724" i="4"/>
  <c r="C724" i="4"/>
  <c r="D724" i="4"/>
  <c r="E724" i="4"/>
  <c r="F724" i="4"/>
  <c r="G724" i="4"/>
  <c r="H724" i="4"/>
  <c r="I724" i="4"/>
  <c r="J724" i="4"/>
  <c r="K724" i="4"/>
  <c r="B725" i="4"/>
  <c r="C725" i="4"/>
  <c r="D725" i="4"/>
  <c r="E725" i="4"/>
  <c r="F725" i="4"/>
  <c r="G725" i="4"/>
  <c r="H725" i="4"/>
  <c r="I725" i="4"/>
  <c r="J725" i="4"/>
  <c r="K725" i="4"/>
  <c r="B726" i="4"/>
  <c r="C726" i="4"/>
  <c r="D726" i="4"/>
  <c r="E726" i="4"/>
  <c r="F726" i="4"/>
  <c r="G726" i="4"/>
  <c r="H726" i="4"/>
  <c r="I726" i="4"/>
  <c r="J726" i="4"/>
  <c r="K726" i="4"/>
  <c r="B727" i="4"/>
  <c r="C727" i="4"/>
  <c r="D727" i="4"/>
  <c r="E727" i="4"/>
  <c r="F727" i="4"/>
  <c r="G727" i="4"/>
  <c r="H727" i="4"/>
  <c r="I727" i="4"/>
  <c r="J727" i="4"/>
  <c r="K727" i="4"/>
  <c r="B728" i="4"/>
  <c r="C728" i="4"/>
  <c r="D728" i="4"/>
  <c r="E728" i="4"/>
  <c r="F728" i="4"/>
  <c r="G728" i="4"/>
  <c r="H728" i="4"/>
  <c r="I728" i="4"/>
  <c r="J728" i="4"/>
  <c r="K728" i="4"/>
  <c r="B729" i="4"/>
  <c r="C729" i="4"/>
  <c r="D729" i="4"/>
  <c r="E729" i="4"/>
  <c r="F729" i="4"/>
  <c r="G729" i="4"/>
  <c r="H729" i="4"/>
  <c r="I729" i="4"/>
  <c r="J729" i="4"/>
  <c r="K729" i="4"/>
  <c r="B730" i="4"/>
  <c r="C730" i="4"/>
  <c r="D730" i="4"/>
  <c r="E730" i="4"/>
  <c r="F730" i="4"/>
  <c r="G730" i="4"/>
  <c r="H730" i="4"/>
  <c r="I730" i="4"/>
  <c r="J730" i="4"/>
  <c r="K730" i="4"/>
  <c r="B731" i="4"/>
  <c r="C731" i="4"/>
  <c r="D731" i="4"/>
  <c r="E731" i="4"/>
  <c r="F731" i="4"/>
  <c r="G731" i="4"/>
  <c r="H731" i="4"/>
  <c r="I731" i="4"/>
  <c r="J731" i="4"/>
  <c r="K731" i="4"/>
  <c r="B732" i="4"/>
  <c r="C732" i="4"/>
  <c r="D732" i="4"/>
  <c r="E732" i="4"/>
  <c r="F732" i="4"/>
  <c r="G732" i="4"/>
  <c r="H732" i="4"/>
  <c r="I732" i="4"/>
  <c r="J732" i="4"/>
  <c r="K732" i="4"/>
  <c r="B733" i="4"/>
  <c r="C733" i="4"/>
  <c r="D733" i="4"/>
  <c r="E733" i="4"/>
  <c r="F733" i="4"/>
  <c r="G733" i="4"/>
  <c r="H733" i="4"/>
  <c r="I733" i="4"/>
  <c r="J733" i="4"/>
  <c r="K733" i="4"/>
  <c r="B734" i="4"/>
  <c r="C734" i="4"/>
  <c r="D734" i="4"/>
  <c r="E734" i="4"/>
  <c r="F734" i="4"/>
  <c r="G734" i="4"/>
  <c r="H734" i="4"/>
  <c r="I734" i="4"/>
  <c r="J734" i="4"/>
  <c r="K734" i="4"/>
  <c r="B735" i="4"/>
  <c r="C735" i="4"/>
  <c r="D735" i="4"/>
  <c r="E735" i="4"/>
  <c r="F735" i="4"/>
  <c r="G735" i="4"/>
  <c r="H735" i="4"/>
  <c r="I735" i="4"/>
  <c r="J735" i="4"/>
  <c r="K735" i="4"/>
  <c r="B736" i="4"/>
  <c r="C736" i="4"/>
  <c r="D736" i="4"/>
  <c r="E736" i="4"/>
  <c r="F736" i="4"/>
  <c r="G736" i="4"/>
  <c r="H736" i="4"/>
  <c r="I736" i="4"/>
  <c r="J736" i="4"/>
  <c r="K736" i="4"/>
  <c r="B737" i="4"/>
  <c r="C737" i="4"/>
  <c r="D737" i="4"/>
  <c r="E737" i="4"/>
  <c r="F737" i="4"/>
  <c r="G737" i="4"/>
  <c r="H737" i="4"/>
  <c r="I737" i="4"/>
  <c r="J737" i="4"/>
  <c r="K737" i="4"/>
  <c r="B738" i="4"/>
  <c r="C738" i="4"/>
  <c r="D738" i="4"/>
  <c r="E738" i="4"/>
  <c r="F738" i="4"/>
  <c r="G738" i="4"/>
  <c r="H738" i="4"/>
  <c r="I738" i="4"/>
  <c r="J738" i="4"/>
  <c r="K738" i="4"/>
  <c r="B739" i="4"/>
  <c r="C739" i="4"/>
  <c r="D739" i="4"/>
  <c r="E739" i="4"/>
  <c r="F739" i="4"/>
  <c r="G739" i="4"/>
  <c r="H739" i="4"/>
  <c r="I739" i="4"/>
  <c r="J739" i="4"/>
  <c r="K739" i="4"/>
  <c r="B740" i="4"/>
  <c r="C740" i="4"/>
  <c r="D740" i="4"/>
  <c r="E740" i="4"/>
  <c r="F740" i="4"/>
  <c r="G740" i="4"/>
  <c r="H740" i="4"/>
  <c r="I740" i="4"/>
  <c r="J740" i="4"/>
  <c r="K740" i="4"/>
  <c r="B741" i="4"/>
  <c r="C741" i="4"/>
  <c r="D741" i="4"/>
  <c r="E741" i="4"/>
  <c r="F741" i="4"/>
  <c r="G741" i="4"/>
  <c r="H741" i="4"/>
  <c r="I741" i="4"/>
  <c r="J741" i="4"/>
  <c r="K741" i="4"/>
  <c r="B742" i="4"/>
  <c r="C742" i="4"/>
  <c r="D742" i="4"/>
  <c r="E742" i="4"/>
  <c r="F742" i="4"/>
  <c r="G742" i="4"/>
  <c r="H742" i="4"/>
  <c r="I742" i="4"/>
  <c r="J742" i="4"/>
  <c r="K742" i="4"/>
  <c r="B743" i="4"/>
  <c r="C743" i="4"/>
  <c r="D743" i="4"/>
  <c r="E743" i="4"/>
  <c r="F743" i="4"/>
  <c r="G743" i="4"/>
  <c r="H743" i="4"/>
  <c r="I743" i="4"/>
  <c r="J743" i="4"/>
  <c r="K743" i="4"/>
  <c r="B744" i="4"/>
  <c r="C744" i="4"/>
  <c r="D744" i="4"/>
  <c r="E744" i="4"/>
  <c r="F744" i="4"/>
  <c r="G744" i="4"/>
  <c r="H744" i="4"/>
  <c r="I744" i="4"/>
  <c r="J744" i="4"/>
  <c r="K744" i="4"/>
  <c r="B745" i="4"/>
  <c r="C745" i="4"/>
  <c r="D745" i="4"/>
  <c r="E745" i="4"/>
  <c r="F745" i="4"/>
  <c r="G745" i="4"/>
  <c r="H745" i="4"/>
  <c r="I745" i="4"/>
  <c r="J745" i="4"/>
  <c r="K745" i="4"/>
  <c r="B746" i="4"/>
  <c r="C746" i="4"/>
  <c r="D746" i="4"/>
  <c r="E746" i="4"/>
  <c r="F746" i="4"/>
  <c r="G746" i="4"/>
  <c r="H746" i="4"/>
  <c r="I746" i="4"/>
  <c r="J746" i="4"/>
  <c r="K746" i="4"/>
  <c r="B747" i="4"/>
  <c r="C747" i="4"/>
  <c r="D747" i="4"/>
  <c r="E747" i="4"/>
  <c r="F747" i="4"/>
  <c r="G747" i="4"/>
  <c r="H747" i="4"/>
  <c r="I747" i="4"/>
  <c r="J747" i="4"/>
  <c r="K747" i="4"/>
  <c r="B748" i="4"/>
  <c r="C748" i="4"/>
  <c r="D748" i="4"/>
  <c r="E748" i="4"/>
  <c r="F748" i="4"/>
  <c r="G748" i="4"/>
  <c r="H748" i="4"/>
  <c r="I748" i="4"/>
  <c r="J748" i="4"/>
  <c r="K748" i="4"/>
  <c r="B749" i="4"/>
  <c r="C749" i="4"/>
  <c r="D749" i="4"/>
  <c r="E749" i="4"/>
  <c r="F749" i="4"/>
  <c r="G749" i="4"/>
  <c r="H749" i="4"/>
  <c r="I749" i="4"/>
  <c r="J749" i="4"/>
  <c r="K749" i="4"/>
  <c r="B750" i="4"/>
  <c r="C750" i="4"/>
  <c r="D750" i="4"/>
  <c r="E750" i="4"/>
  <c r="F750" i="4"/>
  <c r="G750" i="4"/>
  <c r="H750" i="4"/>
  <c r="I750" i="4"/>
  <c r="J750" i="4"/>
  <c r="K750" i="4"/>
  <c r="B751" i="4"/>
  <c r="C751" i="4"/>
  <c r="D751" i="4"/>
  <c r="E751" i="4"/>
  <c r="F751" i="4"/>
  <c r="G751" i="4"/>
  <c r="H751" i="4"/>
  <c r="I751" i="4"/>
  <c r="J751" i="4"/>
  <c r="K751" i="4"/>
  <c r="B752" i="4"/>
  <c r="C752" i="4"/>
  <c r="D752" i="4"/>
  <c r="E752" i="4"/>
  <c r="F752" i="4"/>
  <c r="G752" i="4"/>
  <c r="H752" i="4"/>
  <c r="I752" i="4"/>
  <c r="J752" i="4"/>
  <c r="K752" i="4"/>
  <c r="B753" i="4"/>
  <c r="C753" i="4"/>
  <c r="D753" i="4"/>
  <c r="E753" i="4"/>
  <c r="F753" i="4"/>
  <c r="G753" i="4"/>
  <c r="H753" i="4"/>
  <c r="I753" i="4"/>
  <c r="J753" i="4"/>
  <c r="K753" i="4"/>
  <c r="B754" i="4"/>
  <c r="C754" i="4"/>
  <c r="D754" i="4"/>
  <c r="E754" i="4"/>
  <c r="F754" i="4"/>
  <c r="G754" i="4"/>
  <c r="H754" i="4"/>
  <c r="I754" i="4"/>
  <c r="J754" i="4"/>
  <c r="K754" i="4"/>
  <c r="B755" i="4"/>
  <c r="C755" i="4"/>
  <c r="D755" i="4"/>
  <c r="E755" i="4"/>
  <c r="F755" i="4"/>
  <c r="G755" i="4"/>
  <c r="H755" i="4"/>
  <c r="I755" i="4"/>
  <c r="J755" i="4"/>
  <c r="K755" i="4"/>
  <c r="B756" i="4"/>
  <c r="C756" i="4"/>
  <c r="D756" i="4"/>
  <c r="E756" i="4"/>
  <c r="F756" i="4"/>
  <c r="G756" i="4"/>
  <c r="H756" i="4"/>
  <c r="I756" i="4"/>
  <c r="J756" i="4"/>
  <c r="K756" i="4"/>
  <c r="B757" i="4"/>
  <c r="C757" i="4"/>
  <c r="D757" i="4"/>
  <c r="E757" i="4"/>
  <c r="F757" i="4"/>
  <c r="G757" i="4"/>
  <c r="H757" i="4"/>
  <c r="I757" i="4"/>
  <c r="J757" i="4"/>
  <c r="K757" i="4"/>
  <c r="B758" i="4"/>
  <c r="C758" i="4"/>
  <c r="D758" i="4"/>
  <c r="E758" i="4"/>
  <c r="F758" i="4"/>
  <c r="G758" i="4"/>
  <c r="H758" i="4"/>
  <c r="I758" i="4"/>
  <c r="J758" i="4"/>
  <c r="K758" i="4"/>
  <c r="B759" i="4"/>
  <c r="C759" i="4"/>
  <c r="D759" i="4"/>
  <c r="E759" i="4"/>
  <c r="F759" i="4"/>
  <c r="G759" i="4"/>
  <c r="H759" i="4"/>
  <c r="I759" i="4"/>
  <c r="J759" i="4"/>
  <c r="K759" i="4"/>
  <c r="B760" i="4"/>
  <c r="C760" i="4"/>
  <c r="D760" i="4"/>
  <c r="E760" i="4"/>
  <c r="F760" i="4"/>
  <c r="G760" i="4"/>
  <c r="H760" i="4"/>
  <c r="I760" i="4"/>
  <c r="J760" i="4"/>
  <c r="K760" i="4"/>
  <c r="B761" i="4"/>
  <c r="C761" i="4"/>
  <c r="D761" i="4"/>
  <c r="E761" i="4"/>
  <c r="F761" i="4"/>
  <c r="G761" i="4"/>
  <c r="H761" i="4"/>
  <c r="I761" i="4"/>
  <c r="J761" i="4"/>
  <c r="K761" i="4"/>
  <c r="B762" i="4"/>
  <c r="C762" i="4"/>
  <c r="D762" i="4"/>
  <c r="E762" i="4"/>
  <c r="F762" i="4"/>
  <c r="G762" i="4"/>
  <c r="H762" i="4"/>
  <c r="I762" i="4"/>
  <c r="J762" i="4"/>
  <c r="K762" i="4"/>
  <c r="B763" i="4"/>
  <c r="C763" i="4"/>
  <c r="D763" i="4"/>
  <c r="E763" i="4"/>
  <c r="F763" i="4"/>
  <c r="G763" i="4"/>
  <c r="H763" i="4"/>
  <c r="I763" i="4"/>
  <c r="J763" i="4"/>
  <c r="K763" i="4"/>
  <c r="B764" i="4"/>
  <c r="C764" i="4"/>
  <c r="D764" i="4"/>
  <c r="E764" i="4"/>
  <c r="F764" i="4"/>
  <c r="G764" i="4"/>
  <c r="H764" i="4"/>
  <c r="I764" i="4"/>
  <c r="J764" i="4"/>
  <c r="K764" i="4"/>
  <c r="B765" i="4"/>
  <c r="C765" i="4"/>
  <c r="D765" i="4"/>
  <c r="E765" i="4"/>
  <c r="F765" i="4"/>
  <c r="G765" i="4"/>
  <c r="H765" i="4"/>
  <c r="I765" i="4"/>
  <c r="J765" i="4"/>
  <c r="K765" i="4"/>
  <c r="B766" i="4"/>
  <c r="C766" i="4"/>
  <c r="D766" i="4"/>
  <c r="E766" i="4"/>
  <c r="F766" i="4"/>
  <c r="G766" i="4"/>
  <c r="H766" i="4"/>
  <c r="I766" i="4"/>
  <c r="J766" i="4"/>
  <c r="K766" i="4"/>
  <c r="B767" i="4"/>
  <c r="C767" i="4"/>
  <c r="D767" i="4"/>
  <c r="E767" i="4"/>
  <c r="F767" i="4"/>
  <c r="G767" i="4"/>
  <c r="H767" i="4"/>
  <c r="I767" i="4"/>
  <c r="J767" i="4"/>
  <c r="K767" i="4"/>
  <c r="B768" i="4"/>
  <c r="C768" i="4"/>
  <c r="D768" i="4"/>
  <c r="E768" i="4"/>
  <c r="F768" i="4"/>
  <c r="G768" i="4"/>
  <c r="H768" i="4"/>
  <c r="I768" i="4"/>
  <c r="J768" i="4"/>
  <c r="K768" i="4"/>
  <c r="B769" i="4"/>
  <c r="C769" i="4"/>
  <c r="D769" i="4"/>
  <c r="E769" i="4"/>
  <c r="F769" i="4"/>
  <c r="G769" i="4"/>
  <c r="H769" i="4"/>
  <c r="I769" i="4"/>
  <c r="J769" i="4"/>
  <c r="K769" i="4"/>
  <c r="B770" i="4"/>
  <c r="C770" i="4"/>
  <c r="D770" i="4"/>
  <c r="E770" i="4"/>
  <c r="F770" i="4"/>
  <c r="G770" i="4"/>
  <c r="H770" i="4"/>
  <c r="I770" i="4"/>
  <c r="J770" i="4"/>
  <c r="K770" i="4"/>
  <c r="B771" i="4"/>
  <c r="C771" i="4"/>
  <c r="D771" i="4"/>
  <c r="E771" i="4"/>
  <c r="F771" i="4"/>
  <c r="G771" i="4"/>
  <c r="H771" i="4"/>
  <c r="I771" i="4"/>
  <c r="J771" i="4"/>
  <c r="K771" i="4"/>
  <c r="B772" i="4"/>
  <c r="C772" i="4"/>
  <c r="D772" i="4"/>
  <c r="E772" i="4"/>
  <c r="F772" i="4"/>
  <c r="G772" i="4"/>
  <c r="H772" i="4"/>
  <c r="I772" i="4"/>
  <c r="J772" i="4"/>
  <c r="K772" i="4"/>
  <c r="B773" i="4"/>
  <c r="C773" i="4"/>
  <c r="D773" i="4"/>
  <c r="E773" i="4"/>
  <c r="F773" i="4"/>
  <c r="G773" i="4"/>
  <c r="H773" i="4"/>
  <c r="I773" i="4"/>
  <c r="J773" i="4"/>
  <c r="K773" i="4"/>
  <c r="B774" i="4"/>
  <c r="C774" i="4"/>
  <c r="D774" i="4"/>
  <c r="E774" i="4"/>
  <c r="F774" i="4"/>
  <c r="G774" i="4"/>
  <c r="H774" i="4"/>
  <c r="I774" i="4"/>
  <c r="J774" i="4"/>
  <c r="K774" i="4"/>
  <c r="B775" i="4"/>
  <c r="C775" i="4"/>
  <c r="D775" i="4"/>
  <c r="E775" i="4"/>
  <c r="F775" i="4"/>
  <c r="G775" i="4"/>
  <c r="H775" i="4"/>
  <c r="I775" i="4"/>
  <c r="J775" i="4"/>
  <c r="K775" i="4"/>
  <c r="B776" i="4"/>
  <c r="C776" i="4"/>
  <c r="D776" i="4"/>
  <c r="E776" i="4"/>
  <c r="F776" i="4"/>
  <c r="G776" i="4"/>
  <c r="H776" i="4"/>
  <c r="I776" i="4"/>
  <c r="J776" i="4"/>
  <c r="K776" i="4"/>
  <c r="B777" i="4"/>
  <c r="C777" i="4"/>
  <c r="D777" i="4"/>
  <c r="E777" i="4"/>
  <c r="F777" i="4"/>
  <c r="G777" i="4"/>
  <c r="H777" i="4"/>
  <c r="I777" i="4"/>
  <c r="J777" i="4"/>
  <c r="K777" i="4"/>
  <c r="B778" i="4"/>
  <c r="C778" i="4"/>
  <c r="D778" i="4"/>
  <c r="E778" i="4"/>
  <c r="F778" i="4"/>
  <c r="G778" i="4"/>
  <c r="H778" i="4"/>
  <c r="I778" i="4"/>
  <c r="J778" i="4"/>
  <c r="K778" i="4"/>
  <c r="B779" i="4"/>
  <c r="C779" i="4"/>
  <c r="D779" i="4"/>
  <c r="E779" i="4"/>
  <c r="F779" i="4"/>
  <c r="G779" i="4"/>
  <c r="H779" i="4"/>
  <c r="I779" i="4"/>
  <c r="J779" i="4"/>
  <c r="K779" i="4"/>
  <c r="B780" i="4"/>
  <c r="C780" i="4"/>
  <c r="D780" i="4"/>
  <c r="E780" i="4"/>
  <c r="F780" i="4"/>
  <c r="G780" i="4"/>
  <c r="H780" i="4"/>
  <c r="I780" i="4"/>
  <c r="J780" i="4"/>
  <c r="K780" i="4"/>
  <c r="B781" i="4"/>
  <c r="C781" i="4"/>
  <c r="D781" i="4"/>
  <c r="E781" i="4"/>
  <c r="F781" i="4"/>
  <c r="G781" i="4"/>
  <c r="H781" i="4"/>
  <c r="I781" i="4"/>
  <c r="J781" i="4"/>
  <c r="K781" i="4"/>
  <c r="B782" i="4"/>
  <c r="C782" i="4"/>
  <c r="D782" i="4"/>
  <c r="E782" i="4"/>
  <c r="F782" i="4"/>
  <c r="G782" i="4"/>
  <c r="H782" i="4"/>
  <c r="I782" i="4"/>
  <c r="J782" i="4"/>
  <c r="K782" i="4"/>
  <c r="B783" i="4"/>
  <c r="C783" i="4"/>
  <c r="D783" i="4"/>
  <c r="E783" i="4"/>
  <c r="F783" i="4"/>
  <c r="G783" i="4"/>
  <c r="H783" i="4"/>
  <c r="I783" i="4"/>
  <c r="J783" i="4"/>
  <c r="K783" i="4"/>
  <c r="B784" i="4"/>
  <c r="C784" i="4"/>
  <c r="D784" i="4"/>
  <c r="E784" i="4"/>
  <c r="F784" i="4"/>
  <c r="G784" i="4"/>
  <c r="H784" i="4"/>
  <c r="I784" i="4"/>
  <c r="J784" i="4"/>
  <c r="K784" i="4"/>
  <c r="B785" i="4"/>
  <c r="C785" i="4"/>
  <c r="D785" i="4"/>
  <c r="E785" i="4"/>
  <c r="F785" i="4"/>
  <c r="G785" i="4"/>
  <c r="H785" i="4"/>
  <c r="I785" i="4"/>
  <c r="J785" i="4"/>
  <c r="K785" i="4"/>
  <c r="B786" i="4"/>
  <c r="C786" i="4"/>
  <c r="D786" i="4"/>
  <c r="E786" i="4"/>
  <c r="F786" i="4"/>
  <c r="G786" i="4"/>
  <c r="H786" i="4"/>
  <c r="I786" i="4"/>
  <c r="J786" i="4"/>
  <c r="K786" i="4"/>
  <c r="B787" i="4"/>
  <c r="C787" i="4"/>
  <c r="D787" i="4"/>
  <c r="E787" i="4"/>
  <c r="F787" i="4"/>
  <c r="G787" i="4"/>
  <c r="H787" i="4"/>
  <c r="I787" i="4"/>
  <c r="J787" i="4"/>
  <c r="K787" i="4"/>
  <c r="B788" i="4"/>
  <c r="C788" i="4"/>
  <c r="D788" i="4"/>
  <c r="E788" i="4"/>
  <c r="F788" i="4"/>
  <c r="G788" i="4"/>
  <c r="H788" i="4"/>
  <c r="I788" i="4"/>
  <c r="J788" i="4"/>
  <c r="K788" i="4"/>
  <c r="B789" i="4"/>
  <c r="C789" i="4"/>
  <c r="D789" i="4"/>
  <c r="E789" i="4"/>
  <c r="F789" i="4"/>
  <c r="G789" i="4"/>
  <c r="H789" i="4"/>
  <c r="I789" i="4"/>
  <c r="J789" i="4"/>
  <c r="K789" i="4"/>
  <c r="B790" i="4"/>
  <c r="C790" i="4"/>
  <c r="D790" i="4"/>
  <c r="E790" i="4"/>
  <c r="F790" i="4"/>
  <c r="G790" i="4"/>
  <c r="H790" i="4"/>
  <c r="I790" i="4"/>
  <c r="J790" i="4"/>
  <c r="K790" i="4"/>
  <c r="B791" i="4"/>
  <c r="C791" i="4"/>
  <c r="D791" i="4"/>
  <c r="E791" i="4"/>
  <c r="F791" i="4"/>
  <c r="G791" i="4"/>
  <c r="H791" i="4"/>
  <c r="I791" i="4"/>
  <c r="J791" i="4"/>
  <c r="K791" i="4"/>
  <c r="B792" i="4"/>
  <c r="C792" i="4"/>
  <c r="D792" i="4"/>
  <c r="E792" i="4"/>
  <c r="F792" i="4"/>
  <c r="G792" i="4"/>
  <c r="H792" i="4"/>
  <c r="I792" i="4"/>
  <c r="J792" i="4"/>
  <c r="K792" i="4"/>
  <c r="B793" i="4"/>
  <c r="C793" i="4"/>
  <c r="D793" i="4"/>
  <c r="E793" i="4"/>
  <c r="F793" i="4"/>
  <c r="G793" i="4"/>
  <c r="H793" i="4"/>
  <c r="I793" i="4"/>
  <c r="J793" i="4"/>
  <c r="K793" i="4"/>
  <c r="B794" i="4"/>
  <c r="C794" i="4"/>
  <c r="D794" i="4"/>
  <c r="E794" i="4"/>
  <c r="F794" i="4"/>
  <c r="G794" i="4"/>
  <c r="H794" i="4"/>
  <c r="I794" i="4"/>
  <c r="J794" i="4"/>
  <c r="K794" i="4"/>
  <c r="B795" i="4"/>
  <c r="C795" i="4"/>
  <c r="D795" i="4"/>
  <c r="E795" i="4"/>
  <c r="F795" i="4"/>
  <c r="G795" i="4"/>
  <c r="H795" i="4"/>
  <c r="I795" i="4"/>
  <c r="J795" i="4"/>
  <c r="K795" i="4"/>
  <c r="B796" i="4"/>
  <c r="C796" i="4"/>
  <c r="D796" i="4"/>
  <c r="E796" i="4"/>
  <c r="F796" i="4"/>
  <c r="G796" i="4"/>
  <c r="H796" i="4"/>
  <c r="I796" i="4"/>
  <c r="J796" i="4"/>
  <c r="K796" i="4"/>
  <c r="B797" i="4"/>
  <c r="C797" i="4"/>
  <c r="D797" i="4"/>
  <c r="E797" i="4"/>
  <c r="F797" i="4"/>
  <c r="G797" i="4"/>
  <c r="H797" i="4"/>
  <c r="I797" i="4"/>
  <c r="J797" i="4"/>
  <c r="K797" i="4"/>
  <c r="B798" i="4"/>
  <c r="C798" i="4"/>
  <c r="D798" i="4"/>
  <c r="E798" i="4"/>
  <c r="F798" i="4"/>
  <c r="G798" i="4"/>
  <c r="H798" i="4"/>
  <c r="I798" i="4"/>
  <c r="J798" i="4"/>
  <c r="K798" i="4"/>
  <c r="B799" i="4"/>
  <c r="C799" i="4"/>
  <c r="D799" i="4"/>
  <c r="E799" i="4"/>
  <c r="F799" i="4"/>
  <c r="G799" i="4"/>
  <c r="H799" i="4"/>
  <c r="I799" i="4"/>
  <c r="J799" i="4"/>
  <c r="K799" i="4"/>
  <c r="B800" i="4"/>
  <c r="C800" i="4"/>
  <c r="D800" i="4"/>
  <c r="E800" i="4"/>
  <c r="F800" i="4"/>
  <c r="G800" i="4"/>
  <c r="H800" i="4"/>
  <c r="I800" i="4"/>
  <c r="J800" i="4"/>
  <c r="K800" i="4"/>
  <c r="B801" i="4"/>
  <c r="C801" i="4"/>
  <c r="D801" i="4"/>
  <c r="E801" i="4"/>
  <c r="F801" i="4"/>
  <c r="G801" i="4"/>
  <c r="H801" i="4"/>
  <c r="I801" i="4"/>
  <c r="J801" i="4"/>
  <c r="K801" i="4"/>
  <c r="B802" i="4"/>
  <c r="C802" i="4"/>
  <c r="D802" i="4"/>
  <c r="E802" i="4"/>
  <c r="F802" i="4"/>
  <c r="G802" i="4"/>
  <c r="H802" i="4"/>
  <c r="I802" i="4"/>
  <c r="J802" i="4"/>
  <c r="K802" i="4"/>
  <c r="B803" i="4"/>
  <c r="C803" i="4"/>
  <c r="D803" i="4"/>
  <c r="E803" i="4"/>
  <c r="F803" i="4"/>
  <c r="G803" i="4"/>
  <c r="H803" i="4"/>
  <c r="I803" i="4"/>
  <c r="J803" i="4"/>
  <c r="K803" i="4"/>
  <c r="B804" i="4"/>
  <c r="C804" i="4"/>
  <c r="D804" i="4"/>
  <c r="E804" i="4"/>
  <c r="F804" i="4"/>
  <c r="G804" i="4"/>
  <c r="H804" i="4"/>
  <c r="I804" i="4"/>
  <c r="J804" i="4"/>
  <c r="K804" i="4"/>
  <c r="B805" i="4"/>
  <c r="C805" i="4"/>
  <c r="D805" i="4"/>
  <c r="E805" i="4"/>
  <c r="F805" i="4"/>
  <c r="G805" i="4"/>
  <c r="H805" i="4"/>
  <c r="I805" i="4"/>
  <c r="J805" i="4"/>
  <c r="K805" i="4"/>
  <c r="B806" i="4"/>
  <c r="C806" i="4"/>
  <c r="D806" i="4"/>
  <c r="E806" i="4"/>
  <c r="F806" i="4"/>
  <c r="G806" i="4"/>
  <c r="H806" i="4"/>
  <c r="I806" i="4"/>
  <c r="J806" i="4"/>
  <c r="K806" i="4"/>
  <c r="B807" i="4"/>
  <c r="C807" i="4"/>
  <c r="D807" i="4"/>
  <c r="E807" i="4"/>
  <c r="F807" i="4"/>
  <c r="G807" i="4"/>
  <c r="H807" i="4"/>
  <c r="I807" i="4"/>
  <c r="J807" i="4"/>
  <c r="K807" i="4"/>
  <c r="B808" i="4"/>
  <c r="C808" i="4"/>
  <c r="D808" i="4"/>
  <c r="E808" i="4"/>
  <c r="F808" i="4"/>
  <c r="G808" i="4"/>
  <c r="H808" i="4"/>
  <c r="I808" i="4"/>
  <c r="J808" i="4"/>
  <c r="K808" i="4"/>
  <c r="B809" i="4"/>
  <c r="C809" i="4"/>
  <c r="D809" i="4"/>
  <c r="E809" i="4"/>
  <c r="F809" i="4"/>
  <c r="G809" i="4"/>
  <c r="H809" i="4"/>
  <c r="I809" i="4"/>
  <c r="J809" i="4"/>
  <c r="K809" i="4"/>
  <c r="B810" i="4"/>
  <c r="C810" i="4"/>
  <c r="D810" i="4"/>
  <c r="E810" i="4"/>
  <c r="F810" i="4"/>
  <c r="G810" i="4"/>
  <c r="H810" i="4"/>
  <c r="I810" i="4"/>
  <c r="J810" i="4"/>
  <c r="K810" i="4"/>
  <c r="B811" i="4"/>
  <c r="C811" i="4"/>
  <c r="D811" i="4"/>
  <c r="E811" i="4"/>
  <c r="F811" i="4"/>
  <c r="G811" i="4"/>
  <c r="H811" i="4"/>
  <c r="I811" i="4"/>
  <c r="J811" i="4"/>
  <c r="K811" i="4"/>
  <c r="B812" i="4"/>
  <c r="C812" i="4"/>
  <c r="D812" i="4"/>
  <c r="E812" i="4"/>
  <c r="F812" i="4"/>
  <c r="G812" i="4"/>
  <c r="H812" i="4"/>
  <c r="I812" i="4"/>
  <c r="J812" i="4"/>
  <c r="K812" i="4"/>
  <c r="B813" i="4"/>
  <c r="C813" i="4"/>
  <c r="D813" i="4"/>
  <c r="E813" i="4"/>
  <c r="F813" i="4"/>
  <c r="G813" i="4"/>
  <c r="H813" i="4"/>
  <c r="I813" i="4"/>
  <c r="J813" i="4"/>
  <c r="K813" i="4"/>
  <c r="B814" i="4"/>
  <c r="C814" i="4"/>
  <c r="D814" i="4"/>
  <c r="E814" i="4"/>
  <c r="F814" i="4"/>
  <c r="G814" i="4"/>
  <c r="H814" i="4"/>
  <c r="I814" i="4"/>
  <c r="J814" i="4"/>
  <c r="K814" i="4"/>
  <c r="B815" i="4"/>
  <c r="C815" i="4"/>
  <c r="D815" i="4"/>
  <c r="E815" i="4"/>
  <c r="F815" i="4"/>
  <c r="G815" i="4"/>
  <c r="H815" i="4"/>
  <c r="I815" i="4"/>
  <c r="J815" i="4"/>
  <c r="K815" i="4"/>
  <c r="B816" i="4"/>
  <c r="C816" i="4"/>
  <c r="D816" i="4"/>
  <c r="E816" i="4"/>
  <c r="F816" i="4"/>
  <c r="G816" i="4"/>
  <c r="H816" i="4"/>
  <c r="I816" i="4"/>
  <c r="J816" i="4"/>
  <c r="K816" i="4"/>
  <c r="B817" i="4"/>
  <c r="C817" i="4"/>
  <c r="D817" i="4"/>
  <c r="E817" i="4"/>
  <c r="F817" i="4"/>
  <c r="G817" i="4"/>
  <c r="H817" i="4"/>
  <c r="I817" i="4"/>
  <c r="J817" i="4"/>
  <c r="K817" i="4"/>
  <c r="B818" i="4"/>
  <c r="C818" i="4"/>
  <c r="D818" i="4"/>
  <c r="E818" i="4"/>
  <c r="F818" i="4"/>
  <c r="G818" i="4"/>
  <c r="H818" i="4"/>
  <c r="I818" i="4"/>
  <c r="J818" i="4"/>
  <c r="K818" i="4"/>
  <c r="B819" i="4"/>
  <c r="C819" i="4"/>
  <c r="D819" i="4"/>
  <c r="E819" i="4"/>
  <c r="F819" i="4"/>
  <c r="G819" i="4"/>
  <c r="H819" i="4"/>
  <c r="I819" i="4"/>
  <c r="J819" i="4"/>
  <c r="K819" i="4"/>
  <c r="B820" i="4"/>
  <c r="C820" i="4"/>
  <c r="D820" i="4"/>
  <c r="E820" i="4"/>
  <c r="F820" i="4"/>
  <c r="G820" i="4"/>
  <c r="H820" i="4"/>
  <c r="I820" i="4"/>
  <c r="J820" i="4"/>
  <c r="K820" i="4"/>
  <c r="B821" i="4"/>
  <c r="C821" i="4"/>
  <c r="D821" i="4"/>
  <c r="E821" i="4"/>
  <c r="F821" i="4"/>
  <c r="G821" i="4"/>
  <c r="H821" i="4"/>
  <c r="I821" i="4"/>
  <c r="J821" i="4"/>
  <c r="K821" i="4"/>
  <c r="B822" i="4"/>
  <c r="C822" i="4"/>
  <c r="D822" i="4"/>
  <c r="E822" i="4"/>
  <c r="F822" i="4"/>
  <c r="G822" i="4"/>
  <c r="H822" i="4"/>
  <c r="I822" i="4"/>
  <c r="J822" i="4"/>
  <c r="K822" i="4"/>
  <c r="B823" i="4"/>
  <c r="C823" i="4"/>
  <c r="D823" i="4"/>
  <c r="E823" i="4"/>
  <c r="F823" i="4"/>
  <c r="G823" i="4"/>
  <c r="H823" i="4"/>
  <c r="I823" i="4"/>
  <c r="J823" i="4"/>
  <c r="K823" i="4"/>
  <c r="B824" i="4"/>
  <c r="C824" i="4"/>
  <c r="D824" i="4"/>
  <c r="E824" i="4"/>
  <c r="F824" i="4"/>
  <c r="G824" i="4"/>
  <c r="H824" i="4"/>
  <c r="I824" i="4"/>
  <c r="J824" i="4"/>
  <c r="K824" i="4"/>
  <c r="B825" i="4"/>
  <c r="C825" i="4"/>
  <c r="D825" i="4"/>
  <c r="E825" i="4"/>
  <c r="F825" i="4"/>
  <c r="G825" i="4"/>
  <c r="H825" i="4"/>
  <c r="I825" i="4"/>
  <c r="J825" i="4"/>
  <c r="K825" i="4"/>
  <c r="B826" i="4"/>
  <c r="C826" i="4"/>
  <c r="D826" i="4"/>
  <c r="E826" i="4"/>
  <c r="F826" i="4"/>
  <c r="G826" i="4"/>
  <c r="H826" i="4"/>
  <c r="I826" i="4"/>
  <c r="J826" i="4"/>
  <c r="K826" i="4"/>
  <c r="B827" i="4"/>
  <c r="C827" i="4"/>
  <c r="D827" i="4"/>
  <c r="E827" i="4"/>
  <c r="F827" i="4"/>
  <c r="G827" i="4"/>
  <c r="H827" i="4"/>
  <c r="I827" i="4"/>
  <c r="J827" i="4"/>
  <c r="K827" i="4"/>
  <c r="B828" i="4"/>
  <c r="C828" i="4"/>
  <c r="D828" i="4"/>
  <c r="E828" i="4"/>
  <c r="F828" i="4"/>
  <c r="G828" i="4"/>
  <c r="H828" i="4"/>
  <c r="I828" i="4"/>
  <c r="J828" i="4"/>
  <c r="K828" i="4"/>
  <c r="B829" i="4"/>
  <c r="C829" i="4"/>
  <c r="D829" i="4"/>
  <c r="E829" i="4"/>
  <c r="F829" i="4"/>
  <c r="G829" i="4"/>
  <c r="H829" i="4"/>
  <c r="I829" i="4"/>
  <c r="J829" i="4"/>
  <c r="K829" i="4"/>
  <c r="B830" i="4"/>
  <c r="C830" i="4"/>
  <c r="D830" i="4"/>
  <c r="E830" i="4"/>
  <c r="F830" i="4"/>
  <c r="G830" i="4"/>
  <c r="H830" i="4"/>
  <c r="I830" i="4"/>
  <c r="J830" i="4"/>
  <c r="K830" i="4"/>
  <c r="B831" i="4"/>
  <c r="C831" i="4"/>
  <c r="D831" i="4"/>
  <c r="E831" i="4"/>
  <c r="F831" i="4"/>
  <c r="G831" i="4"/>
  <c r="H831" i="4"/>
  <c r="I831" i="4"/>
  <c r="J831" i="4"/>
  <c r="K831" i="4"/>
  <c r="B832" i="4"/>
  <c r="C832" i="4"/>
  <c r="D832" i="4"/>
  <c r="E832" i="4"/>
  <c r="F832" i="4"/>
  <c r="G832" i="4"/>
  <c r="H832" i="4"/>
  <c r="I832" i="4"/>
  <c r="J832" i="4"/>
  <c r="K832" i="4"/>
  <c r="B833" i="4"/>
  <c r="C833" i="4"/>
  <c r="D833" i="4"/>
  <c r="E833" i="4"/>
  <c r="F833" i="4"/>
  <c r="G833" i="4"/>
  <c r="H833" i="4"/>
  <c r="I833" i="4"/>
  <c r="J833" i="4"/>
  <c r="K833" i="4"/>
  <c r="B834" i="4"/>
  <c r="C834" i="4"/>
  <c r="D834" i="4"/>
  <c r="E834" i="4"/>
  <c r="F834" i="4"/>
  <c r="G834" i="4"/>
  <c r="H834" i="4"/>
  <c r="I834" i="4"/>
  <c r="J834" i="4"/>
  <c r="K834" i="4"/>
  <c r="B835" i="4"/>
  <c r="C835" i="4"/>
  <c r="D835" i="4"/>
  <c r="E835" i="4"/>
  <c r="F835" i="4"/>
  <c r="G835" i="4"/>
  <c r="H835" i="4"/>
  <c r="I835" i="4"/>
  <c r="J835" i="4"/>
  <c r="K835" i="4"/>
  <c r="B836" i="4"/>
  <c r="C836" i="4"/>
  <c r="D836" i="4"/>
  <c r="E836" i="4"/>
  <c r="F836" i="4"/>
  <c r="G836" i="4"/>
  <c r="H836" i="4"/>
  <c r="I836" i="4"/>
  <c r="J836" i="4"/>
  <c r="K836" i="4"/>
  <c r="B837" i="4"/>
  <c r="C837" i="4"/>
  <c r="D837" i="4"/>
  <c r="E837" i="4"/>
  <c r="F837" i="4"/>
  <c r="G837" i="4"/>
  <c r="H837" i="4"/>
  <c r="I837" i="4"/>
  <c r="J837" i="4"/>
  <c r="K837" i="4"/>
  <c r="B838" i="4"/>
  <c r="C838" i="4"/>
  <c r="D838" i="4"/>
  <c r="E838" i="4"/>
  <c r="F838" i="4"/>
  <c r="G838" i="4"/>
  <c r="H838" i="4"/>
  <c r="I838" i="4"/>
  <c r="J838" i="4"/>
  <c r="K838" i="4"/>
  <c r="B839" i="4"/>
  <c r="C839" i="4"/>
  <c r="D839" i="4"/>
  <c r="E839" i="4"/>
  <c r="F839" i="4"/>
  <c r="G839" i="4"/>
  <c r="H839" i="4"/>
  <c r="I839" i="4"/>
  <c r="J839" i="4"/>
  <c r="K839" i="4"/>
  <c r="B840" i="4"/>
  <c r="C840" i="4"/>
  <c r="D840" i="4"/>
  <c r="E840" i="4"/>
  <c r="F840" i="4"/>
  <c r="G840" i="4"/>
  <c r="H840" i="4"/>
  <c r="I840" i="4"/>
  <c r="J840" i="4"/>
  <c r="K840" i="4"/>
  <c r="B841" i="4"/>
  <c r="C841" i="4"/>
  <c r="D841" i="4"/>
  <c r="E841" i="4"/>
  <c r="F841" i="4"/>
  <c r="G841" i="4"/>
  <c r="H841" i="4"/>
  <c r="I841" i="4"/>
  <c r="J841" i="4"/>
  <c r="K841" i="4"/>
  <c r="B842" i="4"/>
  <c r="C842" i="4"/>
  <c r="D842" i="4"/>
  <c r="E842" i="4"/>
  <c r="F842" i="4"/>
  <c r="G842" i="4"/>
  <c r="H842" i="4"/>
  <c r="I842" i="4"/>
  <c r="J842" i="4"/>
  <c r="K842" i="4"/>
  <c r="B843" i="4"/>
  <c r="C843" i="4"/>
  <c r="D843" i="4"/>
  <c r="E843" i="4"/>
  <c r="F843" i="4"/>
  <c r="G843" i="4"/>
  <c r="H843" i="4"/>
  <c r="I843" i="4"/>
  <c r="J843" i="4"/>
  <c r="K843" i="4"/>
  <c r="B844" i="4"/>
  <c r="C844" i="4"/>
  <c r="D844" i="4"/>
  <c r="E844" i="4"/>
  <c r="F844" i="4"/>
  <c r="G844" i="4"/>
  <c r="H844" i="4"/>
  <c r="I844" i="4"/>
  <c r="J844" i="4"/>
  <c r="K844" i="4"/>
  <c r="B845" i="4"/>
  <c r="C845" i="4"/>
  <c r="D845" i="4"/>
  <c r="E845" i="4"/>
  <c r="F845" i="4"/>
  <c r="G845" i="4"/>
  <c r="H845" i="4"/>
  <c r="I845" i="4"/>
  <c r="J845" i="4"/>
  <c r="K845" i="4"/>
  <c r="B846" i="4"/>
  <c r="C846" i="4"/>
  <c r="D846" i="4"/>
  <c r="E846" i="4"/>
  <c r="F846" i="4"/>
  <c r="G846" i="4"/>
  <c r="H846" i="4"/>
  <c r="I846" i="4"/>
  <c r="J846" i="4"/>
  <c r="K846" i="4"/>
  <c r="B847" i="4"/>
  <c r="C847" i="4"/>
  <c r="D847" i="4"/>
  <c r="E847" i="4"/>
  <c r="F847" i="4"/>
  <c r="G847" i="4"/>
  <c r="H847" i="4"/>
  <c r="I847" i="4"/>
  <c r="J847" i="4"/>
  <c r="K847" i="4"/>
  <c r="B848" i="4"/>
  <c r="C848" i="4"/>
  <c r="D848" i="4"/>
  <c r="E848" i="4"/>
  <c r="F848" i="4"/>
  <c r="G848" i="4"/>
  <c r="H848" i="4"/>
  <c r="I848" i="4"/>
  <c r="J848" i="4"/>
  <c r="K848" i="4"/>
  <c r="B849" i="4"/>
  <c r="C849" i="4"/>
  <c r="D849" i="4"/>
  <c r="E849" i="4"/>
  <c r="F849" i="4"/>
  <c r="G849" i="4"/>
  <c r="H849" i="4"/>
  <c r="I849" i="4"/>
  <c r="J849" i="4"/>
  <c r="K849" i="4"/>
  <c r="B850" i="4"/>
  <c r="C850" i="4"/>
  <c r="D850" i="4"/>
  <c r="E850" i="4"/>
  <c r="F850" i="4"/>
  <c r="G850" i="4"/>
  <c r="H850" i="4"/>
  <c r="I850" i="4"/>
  <c r="J850" i="4"/>
  <c r="K850" i="4"/>
  <c r="B851" i="4"/>
  <c r="C851" i="4"/>
  <c r="D851" i="4"/>
  <c r="E851" i="4"/>
  <c r="F851" i="4"/>
  <c r="G851" i="4"/>
  <c r="H851" i="4"/>
  <c r="I851" i="4"/>
  <c r="J851" i="4"/>
  <c r="K851" i="4"/>
  <c r="B852" i="4"/>
  <c r="C852" i="4"/>
  <c r="D852" i="4"/>
  <c r="E852" i="4"/>
  <c r="F852" i="4"/>
  <c r="G852" i="4"/>
  <c r="H852" i="4"/>
  <c r="I852" i="4"/>
  <c r="J852" i="4"/>
  <c r="K852" i="4"/>
  <c r="B853" i="4"/>
  <c r="C853" i="4"/>
  <c r="D853" i="4"/>
  <c r="E853" i="4"/>
  <c r="F853" i="4"/>
  <c r="G853" i="4"/>
  <c r="H853" i="4"/>
  <c r="I853" i="4"/>
  <c r="J853" i="4"/>
  <c r="K853" i="4"/>
  <c r="B854" i="4"/>
  <c r="C854" i="4"/>
  <c r="D854" i="4"/>
  <c r="E854" i="4"/>
  <c r="F854" i="4"/>
  <c r="G854" i="4"/>
  <c r="H854" i="4"/>
  <c r="I854" i="4"/>
  <c r="J854" i="4"/>
  <c r="K854" i="4"/>
  <c r="B855" i="4"/>
  <c r="C855" i="4"/>
  <c r="D855" i="4"/>
  <c r="E855" i="4"/>
  <c r="F855" i="4"/>
  <c r="G855" i="4"/>
  <c r="H855" i="4"/>
  <c r="I855" i="4"/>
  <c r="J855" i="4"/>
  <c r="K855" i="4"/>
  <c r="B856" i="4"/>
  <c r="C856" i="4"/>
  <c r="D856" i="4"/>
  <c r="E856" i="4"/>
  <c r="F856" i="4"/>
  <c r="G856" i="4"/>
  <c r="H856" i="4"/>
  <c r="I856" i="4"/>
  <c r="J856" i="4"/>
  <c r="K856" i="4"/>
  <c r="B857" i="4"/>
  <c r="C857" i="4"/>
  <c r="D857" i="4"/>
  <c r="E857" i="4"/>
  <c r="F857" i="4"/>
  <c r="G857" i="4"/>
  <c r="H857" i="4"/>
  <c r="I857" i="4"/>
  <c r="J857" i="4"/>
  <c r="K857" i="4"/>
  <c r="B858" i="4"/>
  <c r="C858" i="4"/>
  <c r="D858" i="4"/>
  <c r="E858" i="4"/>
  <c r="F858" i="4"/>
  <c r="G858" i="4"/>
  <c r="H858" i="4"/>
  <c r="I858" i="4"/>
  <c r="J858" i="4"/>
  <c r="K858" i="4"/>
  <c r="B859" i="4"/>
  <c r="C859" i="4"/>
  <c r="D859" i="4"/>
  <c r="E859" i="4"/>
  <c r="F859" i="4"/>
  <c r="G859" i="4"/>
  <c r="H859" i="4"/>
  <c r="I859" i="4"/>
  <c r="J859" i="4"/>
  <c r="K859" i="4"/>
  <c r="B860" i="4"/>
  <c r="C860" i="4"/>
  <c r="D860" i="4"/>
  <c r="E860" i="4"/>
  <c r="F860" i="4"/>
  <c r="G860" i="4"/>
  <c r="H860" i="4"/>
  <c r="I860" i="4"/>
  <c r="J860" i="4"/>
  <c r="K860" i="4"/>
  <c r="B861" i="4"/>
  <c r="C861" i="4"/>
  <c r="D861" i="4"/>
  <c r="E861" i="4"/>
  <c r="F861" i="4"/>
  <c r="G861" i="4"/>
  <c r="H861" i="4"/>
  <c r="I861" i="4"/>
  <c r="J861" i="4"/>
  <c r="K861" i="4"/>
  <c r="B862" i="4"/>
  <c r="C862" i="4"/>
  <c r="D862" i="4"/>
  <c r="E862" i="4"/>
  <c r="F862" i="4"/>
  <c r="G862" i="4"/>
  <c r="H862" i="4"/>
  <c r="I862" i="4"/>
  <c r="J862" i="4"/>
  <c r="K862" i="4"/>
  <c r="B863" i="4"/>
  <c r="C863" i="4"/>
  <c r="D863" i="4"/>
  <c r="E863" i="4"/>
  <c r="F863" i="4"/>
  <c r="G863" i="4"/>
  <c r="H863" i="4"/>
  <c r="I863" i="4"/>
  <c r="J863" i="4"/>
  <c r="K863" i="4"/>
  <c r="B864" i="4"/>
  <c r="C864" i="4"/>
  <c r="D864" i="4"/>
  <c r="E864" i="4"/>
  <c r="F864" i="4"/>
  <c r="G864" i="4"/>
  <c r="H864" i="4"/>
  <c r="I864" i="4"/>
  <c r="J864" i="4"/>
  <c r="K864" i="4"/>
  <c r="B865" i="4"/>
  <c r="C865" i="4"/>
  <c r="D865" i="4"/>
  <c r="E865" i="4"/>
  <c r="F865" i="4"/>
  <c r="G865" i="4"/>
  <c r="H865" i="4"/>
  <c r="I865" i="4"/>
  <c r="J865" i="4"/>
  <c r="K865" i="4"/>
  <c r="B866" i="4"/>
  <c r="C866" i="4"/>
  <c r="D866" i="4"/>
  <c r="E866" i="4"/>
  <c r="F866" i="4"/>
  <c r="G866" i="4"/>
  <c r="H866" i="4"/>
  <c r="I866" i="4"/>
  <c r="J866" i="4"/>
  <c r="K866" i="4"/>
  <c r="B867" i="4"/>
  <c r="C867" i="4"/>
  <c r="D867" i="4"/>
  <c r="E867" i="4"/>
  <c r="F867" i="4"/>
  <c r="G867" i="4"/>
  <c r="H867" i="4"/>
  <c r="I867" i="4"/>
  <c r="J867" i="4"/>
  <c r="K867" i="4"/>
  <c r="B868" i="4"/>
  <c r="C868" i="4"/>
  <c r="D868" i="4"/>
  <c r="E868" i="4"/>
  <c r="F868" i="4"/>
  <c r="G868" i="4"/>
  <c r="H868" i="4"/>
  <c r="I868" i="4"/>
  <c r="J868" i="4"/>
  <c r="K868" i="4"/>
  <c r="B869" i="4"/>
  <c r="C869" i="4"/>
  <c r="D869" i="4"/>
  <c r="E869" i="4"/>
  <c r="F869" i="4"/>
  <c r="G869" i="4"/>
  <c r="H869" i="4"/>
  <c r="I869" i="4"/>
  <c r="J869" i="4"/>
  <c r="K869" i="4"/>
  <c r="B870" i="4"/>
  <c r="C870" i="4"/>
  <c r="D870" i="4"/>
  <c r="E870" i="4"/>
  <c r="F870" i="4"/>
  <c r="G870" i="4"/>
  <c r="H870" i="4"/>
  <c r="I870" i="4"/>
  <c r="J870" i="4"/>
  <c r="K870" i="4"/>
  <c r="B871" i="4"/>
  <c r="C871" i="4"/>
  <c r="D871" i="4"/>
  <c r="E871" i="4"/>
  <c r="F871" i="4"/>
  <c r="G871" i="4"/>
  <c r="H871" i="4"/>
  <c r="I871" i="4"/>
  <c r="J871" i="4"/>
  <c r="K871" i="4"/>
  <c r="B872" i="4"/>
  <c r="C872" i="4"/>
  <c r="D872" i="4"/>
  <c r="E872" i="4"/>
  <c r="F872" i="4"/>
  <c r="G872" i="4"/>
  <c r="H872" i="4"/>
  <c r="I872" i="4"/>
  <c r="J872" i="4"/>
  <c r="K872" i="4"/>
  <c r="B873" i="4"/>
  <c r="C873" i="4"/>
  <c r="D873" i="4"/>
  <c r="E873" i="4"/>
  <c r="F873" i="4"/>
  <c r="G873" i="4"/>
  <c r="H873" i="4"/>
  <c r="I873" i="4"/>
  <c r="J873" i="4"/>
  <c r="K873" i="4"/>
  <c r="B874" i="4"/>
  <c r="C874" i="4"/>
  <c r="D874" i="4"/>
  <c r="E874" i="4"/>
  <c r="F874" i="4"/>
  <c r="G874" i="4"/>
  <c r="H874" i="4"/>
  <c r="I874" i="4"/>
  <c r="J874" i="4"/>
  <c r="K874" i="4"/>
  <c r="B875" i="4"/>
  <c r="C875" i="4"/>
  <c r="D875" i="4"/>
  <c r="E875" i="4"/>
  <c r="F875" i="4"/>
  <c r="G875" i="4"/>
  <c r="H875" i="4"/>
  <c r="I875" i="4"/>
  <c r="J875" i="4"/>
  <c r="K875" i="4"/>
  <c r="B876" i="4"/>
  <c r="C876" i="4"/>
  <c r="D876" i="4"/>
  <c r="E876" i="4"/>
  <c r="F876" i="4"/>
  <c r="G876" i="4"/>
  <c r="H876" i="4"/>
  <c r="I876" i="4"/>
  <c r="J876" i="4"/>
  <c r="K876" i="4"/>
  <c r="B877" i="4"/>
  <c r="C877" i="4"/>
  <c r="D877" i="4"/>
  <c r="E877" i="4"/>
  <c r="F877" i="4"/>
  <c r="G877" i="4"/>
  <c r="H877" i="4"/>
  <c r="I877" i="4"/>
  <c r="J877" i="4"/>
  <c r="K877" i="4"/>
  <c r="B878" i="4"/>
  <c r="C878" i="4"/>
  <c r="D878" i="4"/>
  <c r="E878" i="4"/>
  <c r="F878" i="4"/>
  <c r="G878" i="4"/>
  <c r="H878" i="4"/>
  <c r="I878" i="4"/>
  <c r="J878" i="4"/>
  <c r="K878" i="4"/>
  <c r="B879" i="4"/>
  <c r="C879" i="4"/>
  <c r="D879" i="4"/>
  <c r="E879" i="4"/>
  <c r="F879" i="4"/>
  <c r="G879" i="4"/>
  <c r="H879" i="4"/>
  <c r="I879" i="4"/>
  <c r="J879" i="4"/>
  <c r="K879" i="4"/>
  <c r="B880" i="4"/>
  <c r="C880" i="4"/>
  <c r="D880" i="4"/>
  <c r="E880" i="4"/>
  <c r="F880" i="4"/>
  <c r="G880" i="4"/>
  <c r="H880" i="4"/>
  <c r="I880" i="4"/>
  <c r="J880" i="4"/>
  <c r="K880" i="4"/>
  <c r="B881" i="4"/>
  <c r="C881" i="4"/>
  <c r="D881" i="4"/>
  <c r="E881" i="4"/>
  <c r="F881" i="4"/>
  <c r="G881" i="4"/>
  <c r="H881" i="4"/>
  <c r="I881" i="4"/>
  <c r="J881" i="4"/>
  <c r="K881" i="4"/>
  <c r="B882" i="4"/>
  <c r="C882" i="4"/>
  <c r="D882" i="4"/>
  <c r="E882" i="4"/>
  <c r="F882" i="4"/>
  <c r="G882" i="4"/>
  <c r="H882" i="4"/>
  <c r="I882" i="4"/>
  <c r="J882" i="4"/>
  <c r="K882" i="4"/>
  <c r="B883" i="4"/>
  <c r="C883" i="4"/>
  <c r="D883" i="4"/>
  <c r="E883" i="4"/>
  <c r="F883" i="4"/>
  <c r="G883" i="4"/>
  <c r="H883" i="4"/>
  <c r="I883" i="4"/>
  <c r="J883" i="4"/>
  <c r="K883" i="4"/>
  <c r="B884" i="4"/>
  <c r="C884" i="4"/>
  <c r="D884" i="4"/>
  <c r="E884" i="4"/>
  <c r="F884" i="4"/>
  <c r="G884" i="4"/>
  <c r="H884" i="4"/>
  <c r="I884" i="4"/>
  <c r="J884" i="4"/>
  <c r="K884" i="4"/>
  <c r="B885" i="4"/>
  <c r="C885" i="4"/>
  <c r="D885" i="4"/>
  <c r="E885" i="4"/>
  <c r="F885" i="4"/>
  <c r="G885" i="4"/>
  <c r="H885" i="4"/>
  <c r="I885" i="4"/>
  <c r="J885" i="4"/>
  <c r="K885" i="4"/>
  <c r="B886" i="4"/>
  <c r="C886" i="4"/>
  <c r="D886" i="4"/>
  <c r="E886" i="4"/>
  <c r="F886" i="4"/>
  <c r="G886" i="4"/>
  <c r="H886" i="4"/>
  <c r="I886" i="4"/>
  <c r="J886" i="4"/>
  <c r="K886" i="4"/>
  <c r="B887" i="4"/>
  <c r="C887" i="4"/>
  <c r="D887" i="4"/>
  <c r="E887" i="4"/>
  <c r="F887" i="4"/>
  <c r="G887" i="4"/>
  <c r="H887" i="4"/>
  <c r="I887" i="4"/>
  <c r="J887" i="4"/>
  <c r="K887" i="4"/>
  <c r="B888" i="4"/>
  <c r="C888" i="4"/>
  <c r="D888" i="4"/>
  <c r="E888" i="4"/>
  <c r="F888" i="4"/>
  <c r="G888" i="4"/>
  <c r="H888" i="4"/>
  <c r="I888" i="4"/>
  <c r="J888" i="4"/>
  <c r="K888" i="4"/>
  <c r="B889" i="4"/>
  <c r="C889" i="4"/>
  <c r="D889" i="4"/>
  <c r="E889" i="4"/>
  <c r="F889" i="4"/>
  <c r="G889" i="4"/>
  <c r="H889" i="4"/>
  <c r="I889" i="4"/>
  <c r="J889" i="4"/>
  <c r="K889" i="4"/>
  <c r="B890" i="4"/>
  <c r="C890" i="4"/>
  <c r="D890" i="4"/>
  <c r="E890" i="4"/>
  <c r="F890" i="4"/>
  <c r="G890" i="4"/>
  <c r="H890" i="4"/>
  <c r="I890" i="4"/>
  <c r="J890" i="4"/>
  <c r="K890" i="4"/>
  <c r="B891" i="4"/>
  <c r="C891" i="4"/>
  <c r="D891" i="4"/>
  <c r="E891" i="4"/>
  <c r="F891" i="4"/>
  <c r="G891" i="4"/>
  <c r="H891" i="4"/>
  <c r="I891" i="4"/>
  <c r="J891" i="4"/>
  <c r="K891" i="4"/>
  <c r="B892" i="4"/>
  <c r="C892" i="4"/>
  <c r="D892" i="4"/>
  <c r="E892" i="4"/>
  <c r="F892" i="4"/>
  <c r="G892" i="4"/>
  <c r="H892" i="4"/>
  <c r="I892" i="4"/>
  <c r="J892" i="4"/>
  <c r="K892" i="4"/>
  <c r="B893" i="4"/>
  <c r="C893" i="4"/>
  <c r="D893" i="4"/>
  <c r="E893" i="4"/>
  <c r="F893" i="4"/>
  <c r="G893" i="4"/>
  <c r="H893" i="4"/>
  <c r="I893" i="4"/>
  <c r="J893" i="4"/>
  <c r="K893" i="4"/>
  <c r="B894" i="4"/>
  <c r="C894" i="4"/>
  <c r="D894" i="4"/>
  <c r="E894" i="4"/>
  <c r="F894" i="4"/>
  <c r="G894" i="4"/>
  <c r="H894" i="4"/>
  <c r="I894" i="4"/>
  <c r="J894" i="4"/>
  <c r="K894" i="4"/>
  <c r="B895" i="4"/>
  <c r="C895" i="4"/>
  <c r="D895" i="4"/>
  <c r="E895" i="4"/>
  <c r="F895" i="4"/>
  <c r="G895" i="4"/>
  <c r="H895" i="4"/>
  <c r="I895" i="4"/>
  <c r="J895" i="4"/>
  <c r="K895" i="4"/>
  <c r="B896" i="4"/>
  <c r="C896" i="4"/>
  <c r="D896" i="4"/>
  <c r="E896" i="4"/>
  <c r="F896" i="4"/>
  <c r="G896" i="4"/>
  <c r="H896" i="4"/>
  <c r="I896" i="4"/>
  <c r="J896" i="4"/>
  <c r="K896" i="4"/>
  <c r="B897" i="4"/>
  <c r="C897" i="4"/>
  <c r="D897" i="4"/>
  <c r="E897" i="4"/>
  <c r="F897" i="4"/>
  <c r="G897" i="4"/>
  <c r="H897" i="4"/>
  <c r="I897" i="4"/>
  <c r="J897" i="4"/>
  <c r="K897" i="4"/>
  <c r="B898" i="4"/>
  <c r="C898" i="4"/>
  <c r="D898" i="4"/>
  <c r="E898" i="4"/>
  <c r="F898" i="4"/>
  <c r="G898" i="4"/>
  <c r="H898" i="4"/>
  <c r="I898" i="4"/>
  <c r="J898" i="4"/>
  <c r="K898" i="4"/>
  <c r="B899" i="4"/>
  <c r="C899" i="4"/>
  <c r="D899" i="4"/>
  <c r="E899" i="4"/>
  <c r="F899" i="4"/>
  <c r="G899" i="4"/>
  <c r="H899" i="4"/>
  <c r="I899" i="4"/>
  <c r="J899" i="4"/>
  <c r="K899" i="4"/>
  <c r="B900" i="4"/>
  <c r="C900" i="4"/>
  <c r="D900" i="4"/>
  <c r="E900" i="4"/>
  <c r="F900" i="4"/>
  <c r="G900" i="4"/>
  <c r="H900" i="4"/>
  <c r="I900" i="4"/>
  <c r="J900" i="4"/>
  <c r="K900" i="4"/>
  <c r="B901" i="4"/>
  <c r="C901" i="4"/>
  <c r="D901" i="4"/>
  <c r="E901" i="4"/>
  <c r="F901" i="4"/>
  <c r="G901" i="4"/>
  <c r="H901" i="4"/>
  <c r="I901" i="4"/>
  <c r="J901" i="4"/>
  <c r="K901" i="4"/>
  <c r="B902" i="4"/>
  <c r="C902" i="4"/>
  <c r="D902" i="4"/>
  <c r="E902" i="4"/>
  <c r="F902" i="4"/>
  <c r="G902" i="4"/>
  <c r="H902" i="4"/>
  <c r="I902" i="4"/>
  <c r="J902" i="4"/>
  <c r="K902" i="4"/>
  <c r="B903" i="4"/>
  <c r="C903" i="4"/>
  <c r="D903" i="4"/>
  <c r="E903" i="4"/>
  <c r="F903" i="4"/>
  <c r="G903" i="4"/>
  <c r="H903" i="4"/>
  <c r="I903" i="4"/>
  <c r="J903" i="4"/>
  <c r="K903" i="4"/>
  <c r="B904" i="4"/>
  <c r="C904" i="4"/>
  <c r="D904" i="4"/>
  <c r="E904" i="4"/>
  <c r="F904" i="4"/>
  <c r="G904" i="4"/>
  <c r="H904" i="4"/>
  <c r="I904" i="4"/>
  <c r="J904" i="4"/>
  <c r="K904" i="4"/>
  <c r="B905" i="4"/>
  <c r="C905" i="4"/>
  <c r="D905" i="4"/>
  <c r="E905" i="4"/>
  <c r="F905" i="4"/>
  <c r="G905" i="4"/>
  <c r="H905" i="4"/>
  <c r="I905" i="4"/>
  <c r="J905" i="4"/>
  <c r="K905" i="4"/>
  <c r="B906" i="4"/>
  <c r="C906" i="4"/>
  <c r="D906" i="4"/>
  <c r="E906" i="4"/>
  <c r="F906" i="4"/>
  <c r="G906" i="4"/>
  <c r="H906" i="4"/>
  <c r="I906" i="4"/>
  <c r="J906" i="4"/>
  <c r="K906" i="4"/>
  <c r="B907" i="4"/>
  <c r="C907" i="4"/>
  <c r="D907" i="4"/>
  <c r="E907" i="4"/>
  <c r="F907" i="4"/>
  <c r="G907" i="4"/>
  <c r="H907" i="4"/>
  <c r="I907" i="4"/>
  <c r="J907" i="4"/>
  <c r="K907" i="4"/>
  <c r="B908" i="4"/>
  <c r="C908" i="4"/>
  <c r="D908" i="4"/>
  <c r="E908" i="4"/>
  <c r="F908" i="4"/>
  <c r="G908" i="4"/>
  <c r="H908" i="4"/>
  <c r="I908" i="4"/>
  <c r="J908" i="4"/>
  <c r="K908" i="4"/>
  <c r="B909" i="4"/>
  <c r="C909" i="4"/>
  <c r="D909" i="4"/>
  <c r="E909" i="4"/>
  <c r="F909" i="4"/>
  <c r="G909" i="4"/>
  <c r="H909" i="4"/>
  <c r="I909" i="4"/>
  <c r="J909" i="4"/>
  <c r="K909" i="4"/>
  <c r="B910" i="4"/>
  <c r="C910" i="4"/>
  <c r="D910" i="4"/>
  <c r="E910" i="4"/>
  <c r="F910" i="4"/>
  <c r="G910" i="4"/>
  <c r="H910" i="4"/>
  <c r="I910" i="4"/>
  <c r="J910" i="4"/>
  <c r="K910" i="4"/>
  <c r="B911" i="4"/>
  <c r="C911" i="4"/>
  <c r="D911" i="4"/>
  <c r="E911" i="4"/>
  <c r="F911" i="4"/>
  <c r="G911" i="4"/>
  <c r="H911" i="4"/>
  <c r="I911" i="4"/>
  <c r="J911" i="4"/>
  <c r="K911" i="4"/>
  <c r="B912" i="4"/>
  <c r="C912" i="4"/>
  <c r="D912" i="4"/>
  <c r="E912" i="4"/>
  <c r="F912" i="4"/>
  <c r="G912" i="4"/>
  <c r="H912" i="4"/>
  <c r="I912" i="4"/>
  <c r="J912" i="4"/>
  <c r="K912" i="4"/>
  <c r="B913" i="4"/>
  <c r="C913" i="4"/>
  <c r="D913" i="4"/>
  <c r="E913" i="4"/>
  <c r="F913" i="4"/>
  <c r="G913" i="4"/>
  <c r="H913" i="4"/>
  <c r="I913" i="4"/>
  <c r="J913" i="4"/>
  <c r="K913" i="4"/>
  <c r="B914" i="4"/>
  <c r="C914" i="4"/>
  <c r="D914" i="4"/>
  <c r="E914" i="4"/>
  <c r="F914" i="4"/>
  <c r="G914" i="4"/>
  <c r="H914" i="4"/>
  <c r="I914" i="4"/>
  <c r="J914" i="4"/>
  <c r="K914" i="4"/>
  <c r="B915" i="4"/>
  <c r="C915" i="4"/>
  <c r="D915" i="4"/>
  <c r="E915" i="4"/>
  <c r="F915" i="4"/>
  <c r="G915" i="4"/>
  <c r="H915" i="4"/>
  <c r="I915" i="4"/>
  <c r="J915" i="4"/>
  <c r="K915" i="4"/>
  <c r="B916" i="4"/>
  <c r="C916" i="4"/>
  <c r="D916" i="4"/>
  <c r="E916" i="4"/>
  <c r="F916" i="4"/>
  <c r="G916" i="4"/>
  <c r="H916" i="4"/>
  <c r="I916" i="4"/>
  <c r="J916" i="4"/>
  <c r="K916" i="4"/>
  <c r="B917" i="4"/>
  <c r="C917" i="4"/>
  <c r="D917" i="4"/>
  <c r="E917" i="4"/>
  <c r="F917" i="4"/>
  <c r="G917" i="4"/>
  <c r="H917" i="4"/>
  <c r="I917" i="4"/>
  <c r="J917" i="4"/>
  <c r="K917" i="4"/>
  <c r="B918" i="4"/>
  <c r="C918" i="4"/>
  <c r="D918" i="4"/>
  <c r="E918" i="4"/>
  <c r="F918" i="4"/>
  <c r="G918" i="4"/>
  <c r="H918" i="4"/>
  <c r="I918" i="4"/>
  <c r="J918" i="4"/>
  <c r="K918" i="4"/>
  <c r="B919" i="4"/>
  <c r="C919" i="4"/>
  <c r="D919" i="4"/>
  <c r="E919" i="4"/>
  <c r="F919" i="4"/>
  <c r="G919" i="4"/>
  <c r="H919" i="4"/>
  <c r="I919" i="4"/>
  <c r="J919" i="4"/>
  <c r="K919" i="4"/>
  <c r="B920" i="4"/>
  <c r="C920" i="4"/>
  <c r="D920" i="4"/>
  <c r="E920" i="4"/>
  <c r="F920" i="4"/>
  <c r="G920" i="4"/>
  <c r="H920" i="4"/>
  <c r="I920" i="4"/>
  <c r="J920" i="4"/>
  <c r="K920" i="4"/>
  <c r="B921" i="4"/>
  <c r="C921" i="4"/>
  <c r="D921" i="4"/>
  <c r="E921" i="4"/>
  <c r="F921" i="4"/>
  <c r="G921" i="4"/>
  <c r="H921" i="4"/>
  <c r="I921" i="4"/>
  <c r="J921" i="4"/>
  <c r="K921" i="4"/>
  <c r="B922" i="4"/>
  <c r="C922" i="4"/>
  <c r="D922" i="4"/>
  <c r="E922" i="4"/>
  <c r="F922" i="4"/>
  <c r="G922" i="4"/>
  <c r="H922" i="4"/>
  <c r="I922" i="4"/>
  <c r="J922" i="4"/>
  <c r="K922" i="4"/>
  <c r="B923" i="4"/>
  <c r="C923" i="4"/>
  <c r="D923" i="4"/>
  <c r="E923" i="4"/>
  <c r="F923" i="4"/>
  <c r="G923" i="4"/>
  <c r="H923" i="4"/>
  <c r="I923" i="4"/>
  <c r="J923" i="4"/>
  <c r="K923" i="4"/>
  <c r="B924" i="4"/>
  <c r="C924" i="4"/>
  <c r="D924" i="4"/>
  <c r="E924" i="4"/>
  <c r="F924" i="4"/>
  <c r="G924" i="4"/>
  <c r="H924" i="4"/>
  <c r="I924" i="4"/>
  <c r="J924" i="4"/>
  <c r="K924" i="4"/>
  <c r="B925" i="4"/>
  <c r="C925" i="4"/>
  <c r="D925" i="4"/>
  <c r="E925" i="4"/>
  <c r="F925" i="4"/>
  <c r="G925" i="4"/>
  <c r="H925" i="4"/>
  <c r="I925" i="4"/>
  <c r="J925" i="4"/>
  <c r="K925" i="4"/>
  <c r="B926" i="4"/>
  <c r="C926" i="4"/>
  <c r="D926" i="4"/>
  <c r="E926" i="4"/>
  <c r="F926" i="4"/>
  <c r="G926" i="4"/>
  <c r="H926" i="4"/>
  <c r="I926" i="4"/>
  <c r="J926" i="4"/>
  <c r="K926" i="4"/>
  <c r="B927" i="4"/>
  <c r="C927" i="4"/>
  <c r="D927" i="4"/>
  <c r="E927" i="4"/>
  <c r="F927" i="4"/>
  <c r="G927" i="4"/>
  <c r="H927" i="4"/>
  <c r="I927" i="4"/>
  <c r="J927" i="4"/>
  <c r="K927" i="4"/>
  <c r="B928" i="4"/>
  <c r="C928" i="4"/>
  <c r="D928" i="4"/>
  <c r="E928" i="4"/>
  <c r="F928" i="4"/>
  <c r="G928" i="4"/>
  <c r="H928" i="4"/>
  <c r="I928" i="4"/>
  <c r="J928" i="4"/>
  <c r="K928" i="4"/>
  <c r="B929" i="4"/>
  <c r="C929" i="4"/>
  <c r="D929" i="4"/>
  <c r="E929" i="4"/>
  <c r="F929" i="4"/>
  <c r="G929" i="4"/>
  <c r="H929" i="4"/>
  <c r="I929" i="4"/>
  <c r="J929" i="4"/>
  <c r="K929" i="4"/>
  <c r="B930" i="4"/>
  <c r="C930" i="4"/>
  <c r="D930" i="4"/>
  <c r="E930" i="4"/>
  <c r="F930" i="4"/>
  <c r="G930" i="4"/>
  <c r="H930" i="4"/>
  <c r="I930" i="4"/>
  <c r="J930" i="4"/>
  <c r="K930" i="4"/>
  <c r="B931" i="4"/>
  <c r="C931" i="4"/>
  <c r="D931" i="4"/>
  <c r="E931" i="4"/>
  <c r="F931" i="4"/>
  <c r="G931" i="4"/>
  <c r="H931" i="4"/>
  <c r="I931" i="4"/>
  <c r="J931" i="4"/>
  <c r="K931" i="4"/>
  <c r="B932" i="4"/>
  <c r="C932" i="4"/>
  <c r="D932" i="4"/>
  <c r="E932" i="4"/>
  <c r="F932" i="4"/>
  <c r="G932" i="4"/>
  <c r="H932" i="4"/>
  <c r="I932" i="4"/>
  <c r="J932" i="4"/>
  <c r="K932" i="4"/>
  <c r="B933" i="4"/>
  <c r="C933" i="4"/>
  <c r="D933" i="4"/>
  <c r="E933" i="4"/>
  <c r="F933" i="4"/>
  <c r="G933" i="4"/>
  <c r="H933" i="4"/>
  <c r="I933" i="4"/>
  <c r="J933" i="4"/>
  <c r="K933" i="4"/>
  <c r="B934" i="4"/>
  <c r="C934" i="4"/>
  <c r="D934" i="4"/>
  <c r="E934" i="4"/>
  <c r="F934" i="4"/>
  <c r="G934" i="4"/>
  <c r="H934" i="4"/>
  <c r="I934" i="4"/>
  <c r="J934" i="4"/>
  <c r="K934" i="4"/>
  <c r="B935" i="4"/>
  <c r="C935" i="4"/>
  <c r="D935" i="4"/>
  <c r="E935" i="4"/>
  <c r="F935" i="4"/>
  <c r="G935" i="4"/>
  <c r="H935" i="4"/>
  <c r="I935" i="4"/>
  <c r="J935" i="4"/>
  <c r="K935" i="4"/>
  <c r="B936" i="4"/>
  <c r="C936" i="4"/>
  <c r="D936" i="4"/>
  <c r="E936" i="4"/>
  <c r="F936" i="4"/>
  <c r="G936" i="4"/>
  <c r="H936" i="4"/>
  <c r="I936" i="4"/>
  <c r="J936" i="4"/>
  <c r="K936" i="4"/>
  <c r="B937" i="4"/>
  <c r="C937" i="4"/>
  <c r="D937" i="4"/>
  <c r="E937" i="4"/>
  <c r="F937" i="4"/>
  <c r="G937" i="4"/>
  <c r="H937" i="4"/>
  <c r="I937" i="4"/>
  <c r="J937" i="4"/>
  <c r="K937" i="4"/>
  <c r="B938" i="4"/>
  <c r="C938" i="4"/>
  <c r="D938" i="4"/>
  <c r="E938" i="4"/>
  <c r="F938" i="4"/>
  <c r="G938" i="4"/>
  <c r="H938" i="4"/>
  <c r="I938" i="4"/>
  <c r="J938" i="4"/>
  <c r="K938" i="4"/>
  <c r="B939" i="4"/>
  <c r="C939" i="4"/>
  <c r="D939" i="4"/>
  <c r="E939" i="4"/>
  <c r="F939" i="4"/>
  <c r="G939" i="4"/>
  <c r="H939" i="4"/>
  <c r="I939" i="4"/>
  <c r="J939" i="4"/>
  <c r="K939" i="4"/>
  <c r="B940" i="4"/>
  <c r="C940" i="4"/>
  <c r="D940" i="4"/>
  <c r="E940" i="4"/>
  <c r="F940" i="4"/>
  <c r="G940" i="4"/>
  <c r="H940" i="4"/>
  <c r="I940" i="4"/>
  <c r="J940" i="4"/>
  <c r="K940" i="4"/>
  <c r="B941" i="4"/>
  <c r="C941" i="4"/>
  <c r="D941" i="4"/>
  <c r="E941" i="4"/>
  <c r="F941" i="4"/>
  <c r="G941" i="4"/>
  <c r="H941" i="4"/>
  <c r="I941" i="4"/>
  <c r="J941" i="4"/>
  <c r="K941" i="4"/>
  <c r="B942" i="4"/>
  <c r="C942" i="4"/>
  <c r="D942" i="4"/>
  <c r="E942" i="4"/>
  <c r="F942" i="4"/>
  <c r="G942" i="4"/>
  <c r="H942" i="4"/>
  <c r="I942" i="4"/>
  <c r="J942" i="4"/>
  <c r="K942" i="4"/>
  <c r="B943" i="4"/>
  <c r="C943" i="4"/>
  <c r="D943" i="4"/>
  <c r="E943" i="4"/>
  <c r="F943" i="4"/>
  <c r="G943" i="4"/>
  <c r="H943" i="4"/>
  <c r="I943" i="4"/>
  <c r="J943" i="4"/>
  <c r="K943" i="4"/>
  <c r="B944" i="4"/>
  <c r="C944" i="4"/>
  <c r="D944" i="4"/>
  <c r="E944" i="4"/>
  <c r="F944" i="4"/>
  <c r="G944" i="4"/>
  <c r="H944" i="4"/>
  <c r="I944" i="4"/>
  <c r="J944" i="4"/>
  <c r="K944" i="4"/>
  <c r="B945" i="4"/>
  <c r="C945" i="4"/>
  <c r="D945" i="4"/>
  <c r="E945" i="4"/>
  <c r="F945" i="4"/>
  <c r="G945" i="4"/>
  <c r="H945" i="4"/>
  <c r="I945" i="4"/>
  <c r="J945" i="4"/>
  <c r="K945" i="4"/>
  <c r="B946" i="4"/>
  <c r="C946" i="4"/>
  <c r="D946" i="4"/>
  <c r="E946" i="4"/>
  <c r="F946" i="4"/>
  <c r="G946" i="4"/>
  <c r="H946" i="4"/>
  <c r="I946" i="4"/>
  <c r="J946" i="4"/>
  <c r="K946" i="4"/>
  <c r="B947" i="4"/>
  <c r="C947" i="4"/>
  <c r="D947" i="4"/>
  <c r="E947" i="4"/>
  <c r="F947" i="4"/>
  <c r="G947" i="4"/>
  <c r="H947" i="4"/>
  <c r="I947" i="4"/>
  <c r="J947" i="4"/>
  <c r="K947" i="4"/>
  <c r="B948" i="4"/>
  <c r="C948" i="4"/>
  <c r="D948" i="4"/>
  <c r="E948" i="4"/>
  <c r="F948" i="4"/>
  <c r="G948" i="4"/>
  <c r="H948" i="4"/>
  <c r="I948" i="4"/>
  <c r="J948" i="4"/>
  <c r="K948" i="4"/>
  <c r="B949" i="4"/>
  <c r="C949" i="4"/>
  <c r="D949" i="4"/>
  <c r="E949" i="4"/>
  <c r="F949" i="4"/>
  <c r="G949" i="4"/>
  <c r="H949" i="4"/>
  <c r="I949" i="4"/>
  <c r="J949" i="4"/>
  <c r="K949" i="4"/>
  <c r="B950" i="4"/>
  <c r="C950" i="4"/>
  <c r="D950" i="4"/>
  <c r="E950" i="4"/>
  <c r="F950" i="4"/>
  <c r="G950" i="4"/>
  <c r="H950" i="4"/>
  <c r="I950" i="4"/>
  <c r="J950" i="4"/>
  <c r="K950" i="4"/>
  <c r="B951" i="4"/>
  <c r="C951" i="4"/>
  <c r="D951" i="4"/>
  <c r="E951" i="4"/>
  <c r="F951" i="4"/>
  <c r="G951" i="4"/>
  <c r="H951" i="4"/>
  <c r="I951" i="4"/>
  <c r="J951" i="4"/>
  <c r="K951" i="4"/>
  <c r="B952" i="4"/>
  <c r="C952" i="4"/>
  <c r="D952" i="4"/>
  <c r="E952" i="4"/>
  <c r="F952" i="4"/>
  <c r="G952" i="4"/>
  <c r="H952" i="4"/>
  <c r="I952" i="4"/>
  <c r="J952" i="4"/>
  <c r="K952" i="4"/>
  <c r="B953" i="4"/>
  <c r="C953" i="4"/>
  <c r="D953" i="4"/>
  <c r="E953" i="4"/>
  <c r="F953" i="4"/>
  <c r="G953" i="4"/>
  <c r="H953" i="4"/>
  <c r="I953" i="4"/>
  <c r="J953" i="4"/>
  <c r="K953" i="4"/>
  <c r="B954" i="4"/>
  <c r="C954" i="4"/>
  <c r="D954" i="4"/>
  <c r="E954" i="4"/>
  <c r="F954" i="4"/>
  <c r="G954" i="4"/>
  <c r="H954" i="4"/>
  <c r="I954" i="4"/>
  <c r="J954" i="4"/>
  <c r="K954" i="4"/>
  <c r="B955" i="4"/>
  <c r="C955" i="4"/>
  <c r="D955" i="4"/>
  <c r="E955" i="4"/>
  <c r="F955" i="4"/>
  <c r="G955" i="4"/>
  <c r="H955" i="4"/>
  <c r="I955" i="4"/>
  <c r="J955" i="4"/>
  <c r="K955" i="4"/>
  <c r="B956" i="4"/>
  <c r="C956" i="4"/>
  <c r="D956" i="4"/>
  <c r="E956" i="4"/>
  <c r="F956" i="4"/>
  <c r="G956" i="4"/>
  <c r="H956" i="4"/>
  <c r="I956" i="4"/>
  <c r="J956" i="4"/>
  <c r="K956" i="4"/>
  <c r="B957" i="4"/>
  <c r="C957" i="4"/>
  <c r="D957" i="4"/>
  <c r="E957" i="4"/>
  <c r="F957" i="4"/>
  <c r="G957" i="4"/>
  <c r="H957" i="4"/>
  <c r="I957" i="4"/>
  <c r="J957" i="4"/>
  <c r="K957" i="4"/>
  <c r="B958" i="4"/>
  <c r="C958" i="4"/>
  <c r="D958" i="4"/>
  <c r="E958" i="4"/>
  <c r="F958" i="4"/>
  <c r="G958" i="4"/>
  <c r="H958" i="4"/>
  <c r="I958" i="4"/>
  <c r="J958" i="4"/>
  <c r="K958" i="4"/>
  <c r="B959" i="4"/>
  <c r="C959" i="4"/>
  <c r="D959" i="4"/>
  <c r="E959" i="4"/>
  <c r="F959" i="4"/>
  <c r="G959" i="4"/>
  <c r="H959" i="4"/>
  <c r="I959" i="4"/>
  <c r="J959" i="4"/>
  <c r="K959" i="4"/>
  <c r="B960" i="4"/>
  <c r="C960" i="4"/>
  <c r="D960" i="4"/>
  <c r="E960" i="4"/>
  <c r="F960" i="4"/>
  <c r="G960" i="4"/>
  <c r="H960" i="4"/>
  <c r="I960" i="4"/>
  <c r="J960" i="4"/>
  <c r="K960" i="4"/>
  <c r="B961" i="4"/>
  <c r="C961" i="4"/>
  <c r="D961" i="4"/>
  <c r="E961" i="4"/>
  <c r="F961" i="4"/>
  <c r="G961" i="4"/>
  <c r="H961" i="4"/>
  <c r="I961" i="4"/>
  <c r="J961" i="4"/>
  <c r="K961" i="4"/>
  <c r="B962" i="4"/>
  <c r="C962" i="4"/>
  <c r="D962" i="4"/>
  <c r="E962" i="4"/>
  <c r="F962" i="4"/>
  <c r="G962" i="4"/>
  <c r="H962" i="4"/>
  <c r="I962" i="4"/>
  <c r="J962" i="4"/>
  <c r="K962" i="4"/>
  <c r="B963" i="4"/>
  <c r="C963" i="4"/>
  <c r="D963" i="4"/>
  <c r="E963" i="4"/>
  <c r="F963" i="4"/>
  <c r="G963" i="4"/>
  <c r="H963" i="4"/>
  <c r="I963" i="4"/>
  <c r="J963" i="4"/>
  <c r="K963" i="4"/>
  <c r="B964" i="4"/>
  <c r="C964" i="4"/>
  <c r="D964" i="4"/>
  <c r="E964" i="4"/>
  <c r="F964" i="4"/>
  <c r="G964" i="4"/>
  <c r="H964" i="4"/>
  <c r="I964" i="4"/>
  <c r="J964" i="4"/>
  <c r="K964" i="4"/>
  <c r="B965" i="4"/>
  <c r="C965" i="4"/>
  <c r="D965" i="4"/>
  <c r="E965" i="4"/>
  <c r="F965" i="4"/>
  <c r="G965" i="4"/>
  <c r="H965" i="4"/>
  <c r="I965" i="4"/>
  <c r="J965" i="4"/>
  <c r="K965" i="4"/>
  <c r="B966" i="4"/>
  <c r="C966" i="4"/>
  <c r="D966" i="4"/>
  <c r="E966" i="4"/>
  <c r="F966" i="4"/>
  <c r="G966" i="4"/>
  <c r="H966" i="4"/>
  <c r="I966" i="4"/>
  <c r="J966" i="4"/>
  <c r="K966" i="4"/>
  <c r="B967" i="4"/>
  <c r="C967" i="4"/>
  <c r="D967" i="4"/>
  <c r="E967" i="4"/>
  <c r="F967" i="4"/>
  <c r="G967" i="4"/>
  <c r="H967" i="4"/>
  <c r="I967" i="4"/>
  <c r="J967" i="4"/>
  <c r="K967" i="4"/>
  <c r="B968" i="4"/>
  <c r="C968" i="4"/>
  <c r="D968" i="4"/>
  <c r="E968" i="4"/>
  <c r="F968" i="4"/>
  <c r="G968" i="4"/>
  <c r="H968" i="4"/>
  <c r="I968" i="4"/>
  <c r="J968" i="4"/>
  <c r="K968" i="4"/>
  <c r="B969" i="4"/>
  <c r="C969" i="4"/>
  <c r="D969" i="4"/>
  <c r="E969" i="4"/>
  <c r="F969" i="4"/>
  <c r="G969" i="4"/>
  <c r="H969" i="4"/>
  <c r="I969" i="4"/>
  <c r="J969" i="4"/>
  <c r="K969" i="4"/>
  <c r="B970" i="4"/>
  <c r="C970" i="4"/>
  <c r="D970" i="4"/>
  <c r="E970" i="4"/>
  <c r="F970" i="4"/>
  <c r="G970" i="4"/>
  <c r="H970" i="4"/>
  <c r="I970" i="4"/>
  <c r="J970" i="4"/>
  <c r="K970" i="4"/>
  <c r="B971" i="4"/>
  <c r="C971" i="4"/>
  <c r="D971" i="4"/>
  <c r="E971" i="4"/>
  <c r="F971" i="4"/>
  <c r="G971" i="4"/>
  <c r="H971" i="4"/>
  <c r="I971" i="4"/>
  <c r="J971" i="4"/>
  <c r="K971" i="4"/>
  <c r="B972" i="4"/>
  <c r="C972" i="4"/>
  <c r="D972" i="4"/>
  <c r="E972" i="4"/>
  <c r="F972" i="4"/>
  <c r="G972" i="4"/>
  <c r="H972" i="4"/>
  <c r="I972" i="4"/>
  <c r="J972" i="4"/>
  <c r="K972" i="4"/>
  <c r="B973" i="4"/>
  <c r="C973" i="4"/>
  <c r="D973" i="4"/>
  <c r="E973" i="4"/>
  <c r="F973" i="4"/>
  <c r="G973" i="4"/>
  <c r="H973" i="4"/>
  <c r="I973" i="4"/>
  <c r="J973" i="4"/>
  <c r="K973" i="4"/>
  <c r="B974" i="4"/>
  <c r="C974" i="4"/>
  <c r="D974" i="4"/>
  <c r="E974" i="4"/>
  <c r="F974" i="4"/>
  <c r="G974" i="4"/>
  <c r="H974" i="4"/>
  <c r="I974" i="4"/>
  <c r="J974" i="4"/>
  <c r="K974" i="4"/>
  <c r="B975" i="4"/>
  <c r="C975" i="4"/>
  <c r="D975" i="4"/>
  <c r="E975" i="4"/>
  <c r="F975" i="4"/>
  <c r="G975" i="4"/>
  <c r="H975" i="4"/>
  <c r="I975" i="4"/>
  <c r="J975" i="4"/>
  <c r="K975" i="4"/>
  <c r="B976" i="4"/>
  <c r="C976" i="4"/>
  <c r="D976" i="4"/>
  <c r="E976" i="4"/>
  <c r="F976" i="4"/>
  <c r="G976" i="4"/>
  <c r="H976" i="4"/>
  <c r="I976" i="4"/>
  <c r="J976" i="4"/>
  <c r="K976" i="4"/>
  <c r="B977" i="4"/>
  <c r="C977" i="4"/>
  <c r="D977" i="4"/>
  <c r="E977" i="4"/>
  <c r="F977" i="4"/>
  <c r="G977" i="4"/>
  <c r="H977" i="4"/>
  <c r="I977" i="4"/>
  <c r="J977" i="4"/>
  <c r="K977" i="4"/>
  <c r="B978" i="4"/>
  <c r="C978" i="4"/>
  <c r="D978" i="4"/>
  <c r="E978" i="4"/>
  <c r="F978" i="4"/>
  <c r="G978" i="4"/>
  <c r="H978" i="4"/>
  <c r="I978" i="4"/>
  <c r="J978" i="4"/>
  <c r="K978" i="4"/>
  <c r="B979" i="4"/>
  <c r="C979" i="4"/>
  <c r="D979" i="4"/>
  <c r="E979" i="4"/>
  <c r="F979" i="4"/>
  <c r="G979" i="4"/>
  <c r="H979" i="4"/>
  <c r="I979" i="4"/>
  <c r="J979" i="4"/>
  <c r="K979" i="4"/>
  <c r="B980" i="4"/>
  <c r="C980" i="4"/>
  <c r="D980" i="4"/>
  <c r="E980" i="4"/>
  <c r="F980" i="4"/>
  <c r="G980" i="4"/>
  <c r="H980" i="4"/>
  <c r="I980" i="4"/>
  <c r="J980" i="4"/>
  <c r="K980" i="4"/>
  <c r="B981" i="4"/>
  <c r="C981" i="4"/>
  <c r="D981" i="4"/>
  <c r="E981" i="4"/>
  <c r="F981" i="4"/>
  <c r="G981" i="4"/>
  <c r="H981" i="4"/>
  <c r="I981" i="4"/>
  <c r="J981" i="4"/>
  <c r="K981" i="4"/>
  <c r="B982" i="4"/>
  <c r="C982" i="4"/>
  <c r="D982" i="4"/>
  <c r="E982" i="4"/>
  <c r="F982" i="4"/>
  <c r="G982" i="4"/>
  <c r="H982" i="4"/>
  <c r="I982" i="4"/>
  <c r="J982" i="4"/>
  <c r="K982" i="4"/>
  <c r="B983" i="4"/>
  <c r="C983" i="4"/>
  <c r="D983" i="4"/>
  <c r="E983" i="4"/>
  <c r="F983" i="4"/>
  <c r="G983" i="4"/>
  <c r="H983" i="4"/>
  <c r="I983" i="4"/>
  <c r="J983" i="4"/>
  <c r="K983" i="4"/>
  <c r="B984" i="4"/>
  <c r="C984" i="4"/>
  <c r="D984" i="4"/>
  <c r="E984" i="4"/>
  <c r="F984" i="4"/>
  <c r="G984" i="4"/>
  <c r="H984" i="4"/>
  <c r="I984" i="4"/>
  <c r="J984" i="4"/>
  <c r="K984" i="4"/>
  <c r="B985" i="4"/>
  <c r="C985" i="4"/>
  <c r="D985" i="4"/>
  <c r="E985" i="4"/>
  <c r="F985" i="4"/>
  <c r="G985" i="4"/>
  <c r="H985" i="4"/>
  <c r="I985" i="4"/>
  <c r="J985" i="4"/>
  <c r="K985" i="4"/>
  <c r="B986" i="4"/>
  <c r="C986" i="4"/>
  <c r="D986" i="4"/>
  <c r="E986" i="4"/>
  <c r="F986" i="4"/>
  <c r="G986" i="4"/>
  <c r="H986" i="4"/>
  <c r="I986" i="4"/>
  <c r="J986" i="4"/>
  <c r="K986" i="4"/>
  <c r="B987" i="4"/>
  <c r="C987" i="4"/>
  <c r="D987" i="4"/>
  <c r="E987" i="4"/>
  <c r="F987" i="4"/>
  <c r="G987" i="4"/>
  <c r="H987" i="4"/>
  <c r="I987" i="4"/>
  <c r="J987" i="4"/>
  <c r="K987" i="4"/>
  <c r="B988" i="4"/>
  <c r="C988" i="4"/>
  <c r="D988" i="4"/>
  <c r="E988" i="4"/>
  <c r="F988" i="4"/>
  <c r="G988" i="4"/>
  <c r="H988" i="4"/>
  <c r="I988" i="4"/>
  <c r="J988" i="4"/>
  <c r="K988" i="4"/>
  <c r="B989" i="4"/>
  <c r="C989" i="4"/>
  <c r="D989" i="4"/>
  <c r="E989" i="4"/>
  <c r="F989" i="4"/>
  <c r="G989" i="4"/>
  <c r="H989" i="4"/>
  <c r="I989" i="4"/>
  <c r="J989" i="4"/>
  <c r="K989" i="4"/>
  <c r="B990" i="4"/>
  <c r="C990" i="4"/>
  <c r="D990" i="4"/>
  <c r="E990" i="4"/>
  <c r="F990" i="4"/>
  <c r="G990" i="4"/>
  <c r="H990" i="4"/>
  <c r="I990" i="4"/>
  <c r="J990" i="4"/>
  <c r="K990" i="4"/>
  <c r="B991" i="4"/>
  <c r="C991" i="4"/>
  <c r="D991" i="4"/>
  <c r="E991" i="4"/>
  <c r="F991" i="4"/>
  <c r="G991" i="4"/>
  <c r="H991" i="4"/>
  <c r="I991" i="4"/>
  <c r="J991" i="4"/>
  <c r="K991" i="4"/>
  <c r="B992" i="4"/>
  <c r="C992" i="4"/>
  <c r="D992" i="4"/>
  <c r="E992" i="4"/>
  <c r="F992" i="4"/>
  <c r="G992" i="4"/>
  <c r="H992" i="4"/>
  <c r="I992" i="4"/>
  <c r="J992" i="4"/>
  <c r="K992" i="4"/>
  <c r="B993" i="4"/>
  <c r="C993" i="4"/>
  <c r="D993" i="4"/>
  <c r="E993" i="4"/>
  <c r="F993" i="4"/>
  <c r="G993" i="4"/>
  <c r="H993" i="4"/>
  <c r="I993" i="4"/>
  <c r="J993" i="4"/>
  <c r="K993" i="4"/>
  <c r="B994" i="4"/>
  <c r="C994" i="4"/>
  <c r="D994" i="4"/>
  <c r="E994" i="4"/>
  <c r="F994" i="4"/>
  <c r="G994" i="4"/>
  <c r="H994" i="4"/>
  <c r="I994" i="4"/>
  <c r="J994" i="4"/>
  <c r="K994" i="4"/>
  <c r="B995" i="4"/>
  <c r="C995" i="4"/>
  <c r="D995" i="4"/>
  <c r="E995" i="4"/>
  <c r="F995" i="4"/>
  <c r="G995" i="4"/>
  <c r="H995" i="4"/>
  <c r="I995" i="4"/>
  <c r="J995" i="4"/>
  <c r="K995" i="4"/>
  <c r="B996" i="4"/>
  <c r="C996" i="4"/>
  <c r="D996" i="4"/>
  <c r="E996" i="4"/>
  <c r="F996" i="4"/>
  <c r="G996" i="4"/>
  <c r="H996" i="4"/>
  <c r="I996" i="4"/>
  <c r="J996" i="4"/>
  <c r="K996" i="4"/>
  <c r="B997" i="4"/>
  <c r="C997" i="4"/>
  <c r="D997" i="4"/>
  <c r="E997" i="4"/>
  <c r="F997" i="4"/>
  <c r="G997" i="4"/>
  <c r="H997" i="4"/>
  <c r="I997" i="4"/>
  <c r="J997" i="4"/>
  <c r="K997" i="4"/>
  <c r="B998" i="4"/>
  <c r="C998" i="4"/>
  <c r="D998" i="4"/>
  <c r="E998" i="4"/>
  <c r="F998" i="4"/>
  <c r="G998" i="4"/>
  <c r="H998" i="4"/>
  <c r="I998" i="4"/>
  <c r="J998" i="4"/>
  <c r="K998" i="4"/>
  <c r="B999" i="4"/>
  <c r="C999" i="4"/>
  <c r="D999" i="4"/>
  <c r="E999" i="4"/>
  <c r="F999" i="4"/>
  <c r="G999" i="4"/>
  <c r="H999" i="4"/>
  <c r="I999" i="4"/>
  <c r="J999" i="4"/>
  <c r="K999" i="4"/>
  <c r="B1000" i="4"/>
  <c r="C1000" i="4"/>
  <c r="D1000" i="4"/>
  <c r="E1000" i="4"/>
  <c r="F1000" i="4"/>
  <c r="G1000" i="4"/>
  <c r="H1000" i="4"/>
  <c r="I1000" i="4"/>
  <c r="J1000" i="4"/>
  <c r="K1000" i="4"/>
  <c r="B1001" i="4"/>
  <c r="C1001" i="4"/>
  <c r="D1001" i="4"/>
  <c r="E1001" i="4"/>
  <c r="F1001" i="4"/>
  <c r="G1001" i="4"/>
  <c r="H1001" i="4"/>
  <c r="I1001" i="4"/>
  <c r="J1001" i="4"/>
  <c r="K1001" i="4"/>
  <c r="B1002" i="4"/>
  <c r="C1002" i="4"/>
  <c r="D1002" i="4"/>
  <c r="E1002" i="4"/>
  <c r="F1002" i="4"/>
  <c r="G1002" i="4"/>
  <c r="H1002" i="4"/>
  <c r="I1002" i="4"/>
  <c r="J1002" i="4"/>
  <c r="K1002" i="4"/>
  <c r="B1003" i="4"/>
  <c r="C1003" i="4"/>
  <c r="D1003" i="4"/>
  <c r="E1003" i="4"/>
  <c r="F1003" i="4"/>
  <c r="G1003" i="4"/>
  <c r="H1003" i="4"/>
  <c r="I1003" i="4"/>
  <c r="J1003" i="4"/>
  <c r="K1003" i="4"/>
  <c r="B1004" i="4"/>
  <c r="C1004" i="4"/>
  <c r="D1004" i="4"/>
  <c r="E1004" i="4"/>
  <c r="F1004" i="4"/>
  <c r="G1004" i="4"/>
  <c r="H1004" i="4"/>
  <c r="I1004" i="4"/>
  <c r="J1004" i="4"/>
  <c r="K1004" i="4"/>
  <c r="B1005" i="4"/>
  <c r="C1005" i="4"/>
  <c r="D1005" i="4"/>
  <c r="E1005" i="4"/>
  <c r="F1005" i="4"/>
  <c r="G1005" i="4"/>
  <c r="H1005" i="4"/>
  <c r="I1005" i="4"/>
  <c r="J1005" i="4"/>
  <c r="K1005" i="4"/>
  <c r="B1006" i="4"/>
  <c r="C1006" i="4"/>
  <c r="D1006" i="4"/>
  <c r="E1006" i="4"/>
  <c r="F1006" i="4"/>
  <c r="G1006" i="4"/>
  <c r="H1006" i="4"/>
  <c r="I1006" i="4"/>
  <c r="J1006" i="4"/>
  <c r="K1006" i="4"/>
  <c r="B1007" i="4"/>
  <c r="C1007" i="4"/>
  <c r="D1007" i="4"/>
  <c r="E1007" i="4"/>
  <c r="F1007" i="4"/>
  <c r="G1007" i="4"/>
  <c r="H1007" i="4"/>
  <c r="I1007" i="4"/>
  <c r="J1007" i="4"/>
  <c r="K1007" i="4"/>
  <c r="B1008" i="4"/>
  <c r="C1008" i="4"/>
  <c r="D1008" i="4"/>
  <c r="E1008" i="4"/>
  <c r="F1008" i="4"/>
  <c r="G1008" i="4"/>
  <c r="H1008" i="4"/>
  <c r="I1008" i="4"/>
  <c r="J1008" i="4"/>
  <c r="K1008" i="4"/>
  <c r="B1009" i="4"/>
  <c r="C1009" i="4"/>
  <c r="D1009" i="4"/>
  <c r="E1009" i="4"/>
  <c r="F1009" i="4"/>
  <c r="G1009" i="4"/>
  <c r="H1009" i="4"/>
  <c r="I1009" i="4"/>
  <c r="J1009" i="4"/>
  <c r="K1009" i="4"/>
  <c r="B1010" i="4"/>
  <c r="C1010" i="4"/>
  <c r="D1010" i="4"/>
  <c r="E1010" i="4"/>
  <c r="F1010" i="4"/>
  <c r="G1010" i="4"/>
  <c r="H1010" i="4"/>
  <c r="I1010" i="4"/>
  <c r="J1010" i="4"/>
  <c r="K1010" i="4"/>
  <c r="B1011" i="4"/>
  <c r="C1011" i="4"/>
  <c r="D1011" i="4"/>
  <c r="E1011" i="4"/>
  <c r="F1011" i="4"/>
  <c r="G1011" i="4"/>
  <c r="H1011" i="4"/>
  <c r="I1011" i="4"/>
  <c r="J1011" i="4"/>
  <c r="K1011" i="4"/>
  <c r="B1012" i="4"/>
  <c r="C1012" i="4"/>
  <c r="D1012" i="4"/>
  <c r="E1012" i="4"/>
  <c r="F1012" i="4"/>
  <c r="G1012" i="4"/>
  <c r="H1012" i="4"/>
  <c r="I1012" i="4"/>
  <c r="J1012" i="4"/>
  <c r="K1012" i="4"/>
  <c r="B1013" i="4"/>
  <c r="C1013" i="4"/>
  <c r="D1013" i="4"/>
  <c r="E1013" i="4"/>
  <c r="F1013" i="4"/>
  <c r="G1013" i="4"/>
  <c r="H1013" i="4"/>
  <c r="I1013" i="4"/>
  <c r="J1013" i="4"/>
  <c r="K1013" i="4"/>
  <c r="B1014" i="4"/>
  <c r="C1014" i="4"/>
  <c r="D1014" i="4"/>
  <c r="E1014" i="4"/>
  <c r="F1014" i="4"/>
  <c r="G1014" i="4"/>
  <c r="H1014" i="4"/>
  <c r="I1014" i="4"/>
  <c r="J1014" i="4"/>
  <c r="K1014" i="4"/>
  <c r="B1015" i="4"/>
  <c r="C1015" i="4"/>
  <c r="D1015" i="4"/>
  <c r="E1015" i="4"/>
  <c r="F1015" i="4"/>
  <c r="G1015" i="4"/>
  <c r="H1015" i="4"/>
  <c r="I1015" i="4"/>
  <c r="J1015" i="4"/>
  <c r="K1015" i="4"/>
  <c r="B1016" i="4"/>
  <c r="C1016" i="4"/>
  <c r="D1016" i="4"/>
  <c r="E1016" i="4"/>
  <c r="F1016" i="4"/>
  <c r="G1016" i="4"/>
  <c r="H1016" i="4"/>
  <c r="I1016" i="4"/>
  <c r="J1016" i="4"/>
  <c r="K1016" i="4"/>
  <c r="B1017" i="4"/>
  <c r="C1017" i="4"/>
  <c r="D1017" i="4"/>
  <c r="E1017" i="4"/>
  <c r="F1017" i="4"/>
  <c r="G1017" i="4"/>
  <c r="H1017" i="4"/>
  <c r="I1017" i="4"/>
  <c r="J1017" i="4"/>
  <c r="K1017" i="4"/>
  <c r="B1018" i="4"/>
  <c r="C1018" i="4"/>
  <c r="D1018" i="4"/>
  <c r="E1018" i="4"/>
  <c r="F1018" i="4"/>
  <c r="G1018" i="4"/>
  <c r="H1018" i="4"/>
  <c r="I1018" i="4"/>
  <c r="J1018" i="4"/>
  <c r="K1018" i="4"/>
  <c r="B1019" i="4"/>
  <c r="C1019" i="4"/>
  <c r="D1019" i="4"/>
  <c r="E1019" i="4"/>
  <c r="F1019" i="4"/>
  <c r="G1019" i="4"/>
  <c r="H1019" i="4"/>
  <c r="I1019" i="4"/>
  <c r="J1019" i="4"/>
  <c r="K1019" i="4"/>
  <c r="B1020" i="4"/>
  <c r="C1020" i="4"/>
  <c r="D1020" i="4"/>
  <c r="E1020" i="4"/>
  <c r="F1020" i="4"/>
  <c r="G1020" i="4"/>
  <c r="H1020" i="4"/>
  <c r="I1020" i="4"/>
  <c r="J1020" i="4"/>
  <c r="K1020" i="4"/>
  <c r="B1021" i="4"/>
  <c r="C1021" i="4"/>
  <c r="D1021" i="4"/>
  <c r="E1021" i="4"/>
  <c r="F1021" i="4"/>
  <c r="G1021" i="4"/>
  <c r="H1021" i="4"/>
  <c r="I1021" i="4"/>
  <c r="J1021" i="4"/>
  <c r="K1021" i="4"/>
  <c r="B1022" i="4"/>
  <c r="C1022" i="4"/>
  <c r="D1022" i="4"/>
  <c r="E1022" i="4"/>
  <c r="F1022" i="4"/>
  <c r="G1022" i="4"/>
  <c r="H1022" i="4"/>
  <c r="I1022" i="4"/>
  <c r="J1022" i="4"/>
  <c r="K1022" i="4"/>
  <c r="B1023" i="4"/>
  <c r="C1023" i="4"/>
  <c r="D1023" i="4"/>
  <c r="E1023" i="4"/>
  <c r="F1023" i="4"/>
  <c r="G1023" i="4"/>
  <c r="H1023" i="4"/>
  <c r="I1023" i="4"/>
  <c r="J1023" i="4"/>
  <c r="K1023" i="4"/>
  <c r="B1024" i="4"/>
  <c r="C1024" i="4"/>
  <c r="D1024" i="4"/>
  <c r="E1024" i="4"/>
  <c r="F1024" i="4"/>
  <c r="G1024" i="4"/>
  <c r="H1024" i="4"/>
  <c r="I1024" i="4"/>
  <c r="J1024" i="4"/>
  <c r="K1024" i="4"/>
  <c r="B1025" i="4"/>
  <c r="C1025" i="4"/>
  <c r="D1025" i="4"/>
  <c r="E1025" i="4"/>
  <c r="F1025" i="4"/>
  <c r="G1025" i="4"/>
  <c r="H1025" i="4"/>
  <c r="I1025" i="4"/>
  <c r="J1025" i="4"/>
  <c r="K1025" i="4"/>
  <c r="B1026" i="4"/>
  <c r="C1026" i="4"/>
  <c r="D1026" i="4"/>
  <c r="E1026" i="4"/>
  <c r="F1026" i="4"/>
  <c r="G1026" i="4"/>
  <c r="H1026" i="4"/>
  <c r="I1026" i="4"/>
  <c r="J1026" i="4"/>
  <c r="K1026" i="4"/>
  <c r="B1027" i="4"/>
  <c r="C1027" i="4"/>
  <c r="D1027" i="4"/>
  <c r="E1027" i="4"/>
  <c r="F1027" i="4"/>
  <c r="G1027" i="4"/>
  <c r="H1027" i="4"/>
  <c r="I1027" i="4"/>
  <c r="J1027" i="4"/>
  <c r="K1027" i="4"/>
  <c r="B1028" i="4"/>
  <c r="C1028" i="4"/>
  <c r="D1028" i="4"/>
  <c r="E1028" i="4"/>
  <c r="F1028" i="4"/>
  <c r="G1028" i="4"/>
  <c r="H1028" i="4"/>
  <c r="I1028" i="4"/>
  <c r="J1028" i="4"/>
  <c r="K1028" i="4"/>
  <c r="B1029" i="4"/>
  <c r="C1029" i="4"/>
  <c r="D1029" i="4"/>
  <c r="E1029" i="4"/>
  <c r="F1029" i="4"/>
  <c r="G1029" i="4"/>
  <c r="H1029" i="4"/>
  <c r="I1029" i="4"/>
  <c r="J1029" i="4"/>
  <c r="K1029" i="4"/>
  <c r="B1030" i="4"/>
  <c r="C1030" i="4"/>
  <c r="D1030" i="4"/>
  <c r="E1030" i="4"/>
  <c r="F1030" i="4"/>
  <c r="G1030" i="4"/>
  <c r="H1030" i="4"/>
  <c r="I1030" i="4"/>
  <c r="J1030" i="4"/>
  <c r="K1030" i="4"/>
  <c r="B1031" i="4"/>
  <c r="C1031" i="4"/>
  <c r="D1031" i="4"/>
  <c r="E1031" i="4"/>
  <c r="F1031" i="4"/>
  <c r="G1031" i="4"/>
  <c r="H1031" i="4"/>
  <c r="I1031" i="4"/>
  <c r="J1031" i="4"/>
  <c r="K1031" i="4"/>
  <c r="B1032" i="4"/>
  <c r="C1032" i="4"/>
  <c r="D1032" i="4"/>
  <c r="E1032" i="4"/>
  <c r="F1032" i="4"/>
  <c r="G1032" i="4"/>
  <c r="H1032" i="4"/>
  <c r="I1032" i="4"/>
  <c r="J1032" i="4"/>
  <c r="K1032" i="4"/>
  <c r="B1033" i="4"/>
  <c r="C1033" i="4"/>
  <c r="D1033" i="4"/>
  <c r="E1033" i="4"/>
  <c r="F1033" i="4"/>
  <c r="G1033" i="4"/>
  <c r="H1033" i="4"/>
  <c r="I1033" i="4"/>
  <c r="J1033" i="4"/>
  <c r="K1033" i="4"/>
  <c r="B1034" i="4"/>
  <c r="C1034" i="4"/>
  <c r="D1034" i="4"/>
  <c r="E1034" i="4"/>
  <c r="F1034" i="4"/>
  <c r="G1034" i="4"/>
  <c r="H1034" i="4"/>
  <c r="I1034" i="4"/>
  <c r="J1034" i="4"/>
  <c r="K1034" i="4"/>
  <c r="B1035" i="4"/>
  <c r="C1035" i="4"/>
  <c r="D1035" i="4"/>
  <c r="E1035" i="4"/>
  <c r="F1035" i="4"/>
  <c r="G1035" i="4"/>
  <c r="H1035" i="4"/>
  <c r="I1035" i="4"/>
  <c r="J1035" i="4"/>
  <c r="K1035" i="4"/>
  <c r="B1036" i="4"/>
  <c r="C1036" i="4"/>
  <c r="D1036" i="4"/>
  <c r="E1036" i="4"/>
  <c r="F1036" i="4"/>
  <c r="G1036" i="4"/>
  <c r="H1036" i="4"/>
  <c r="I1036" i="4"/>
  <c r="J1036" i="4"/>
  <c r="K1036" i="4"/>
  <c r="B1037" i="4"/>
  <c r="C1037" i="4"/>
  <c r="D1037" i="4"/>
  <c r="E1037" i="4"/>
  <c r="F1037" i="4"/>
  <c r="G1037" i="4"/>
  <c r="H1037" i="4"/>
  <c r="I1037" i="4"/>
  <c r="J1037" i="4"/>
  <c r="K1037" i="4"/>
  <c r="B1038" i="4"/>
  <c r="C1038" i="4"/>
  <c r="D1038" i="4"/>
  <c r="E1038" i="4"/>
  <c r="F1038" i="4"/>
  <c r="G1038" i="4"/>
  <c r="H1038" i="4"/>
  <c r="I1038" i="4"/>
  <c r="J1038" i="4"/>
  <c r="K1038" i="4"/>
  <c r="B1039" i="4"/>
  <c r="C1039" i="4"/>
  <c r="D1039" i="4"/>
  <c r="E1039" i="4"/>
  <c r="F1039" i="4"/>
  <c r="G1039" i="4"/>
  <c r="H1039" i="4"/>
  <c r="I1039" i="4"/>
  <c r="J1039" i="4"/>
  <c r="K1039" i="4"/>
  <c r="B1040" i="4"/>
  <c r="C1040" i="4"/>
  <c r="D1040" i="4"/>
  <c r="E1040" i="4"/>
  <c r="F1040" i="4"/>
  <c r="G1040" i="4"/>
  <c r="H1040" i="4"/>
  <c r="I1040" i="4"/>
  <c r="J1040" i="4"/>
  <c r="K1040" i="4"/>
  <c r="B1041" i="4"/>
  <c r="C1041" i="4"/>
  <c r="D1041" i="4"/>
  <c r="E1041" i="4"/>
  <c r="F1041" i="4"/>
  <c r="G1041" i="4"/>
  <c r="H1041" i="4"/>
  <c r="I1041" i="4"/>
  <c r="J1041" i="4"/>
  <c r="K1041" i="4"/>
  <c r="B1042" i="4"/>
  <c r="C1042" i="4"/>
  <c r="D1042" i="4"/>
  <c r="E1042" i="4"/>
  <c r="F1042" i="4"/>
  <c r="G1042" i="4"/>
  <c r="H1042" i="4"/>
  <c r="I1042" i="4"/>
  <c r="J1042" i="4"/>
  <c r="K1042" i="4"/>
  <c r="B1043" i="4"/>
  <c r="C1043" i="4"/>
  <c r="D1043" i="4"/>
  <c r="E1043" i="4"/>
  <c r="F1043" i="4"/>
  <c r="G1043" i="4"/>
  <c r="H1043" i="4"/>
  <c r="I1043" i="4"/>
  <c r="J1043" i="4"/>
  <c r="K1043" i="4"/>
  <c r="C13" i="3"/>
  <c r="E13" i="3"/>
  <c r="B17" i="3"/>
  <c r="C17" i="3"/>
  <c r="D17" i="3"/>
  <c r="E17" i="3"/>
  <c r="B18" i="3"/>
  <c r="C18" i="3"/>
  <c r="D18" i="3"/>
  <c r="E18" i="3"/>
  <c r="B19" i="3"/>
  <c r="C19" i="3"/>
  <c r="D19" i="3"/>
  <c r="E19" i="3"/>
  <c r="B20" i="3"/>
  <c r="C20" i="3"/>
  <c r="D20" i="3"/>
  <c r="E20" i="3"/>
  <c r="B21" i="3"/>
  <c r="C21" i="3"/>
  <c r="D21" i="3"/>
  <c r="E21" i="3"/>
  <c r="B22" i="3"/>
  <c r="C22" i="3"/>
  <c r="D22" i="3"/>
  <c r="E22" i="3"/>
  <c r="B23" i="3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B32" i="3"/>
  <c r="C32" i="3"/>
  <c r="D32" i="3"/>
  <c r="E32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37" i="3"/>
  <c r="C37" i="3"/>
  <c r="D37" i="3"/>
  <c r="E37" i="3"/>
  <c r="B38" i="3"/>
  <c r="C38" i="3"/>
  <c r="D38" i="3"/>
  <c r="E38" i="3"/>
  <c r="B39" i="3"/>
  <c r="C39" i="3"/>
  <c r="D39" i="3"/>
  <c r="E39" i="3"/>
  <c r="B40" i="3"/>
  <c r="C40" i="3"/>
  <c r="D40" i="3"/>
  <c r="E40" i="3"/>
  <c r="B41" i="3"/>
  <c r="C41" i="3"/>
  <c r="D41" i="3"/>
  <c r="E41" i="3"/>
  <c r="B42" i="3"/>
  <c r="C42" i="3"/>
  <c r="D42" i="3"/>
  <c r="E42" i="3"/>
  <c r="B43" i="3"/>
  <c r="C43" i="3"/>
  <c r="D43" i="3"/>
  <c r="E43" i="3"/>
  <c r="B44" i="3"/>
  <c r="C44" i="3"/>
  <c r="D44" i="3"/>
  <c r="E44" i="3"/>
  <c r="B45" i="3"/>
  <c r="C45" i="3"/>
  <c r="D45" i="3"/>
  <c r="E45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C59" i="3"/>
  <c r="D59" i="3"/>
  <c r="E59" i="3"/>
  <c r="B60" i="3"/>
  <c r="C60" i="3"/>
  <c r="D60" i="3"/>
  <c r="E60" i="3"/>
  <c r="B61" i="3"/>
  <c r="C61" i="3"/>
  <c r="D61" i="3"/>
  <c r="E61" i="3"/>
  <c r="B62" i="3"/>
  <c r="C62" i="3"/>
  <c r="D62" i="3"/>
  <c r="E62" i="3"/>
  <c r="B63" i="3"/>
  <c r="C63" i="3"/>
  <c r="D63" i="3"/>
  <c r="E63" i="3"/>
  <c r="B64" i="3"/>
  <c r="C64" i="3"/>
  <c r="D64" i="3"/>
  <c r="E64" i="3"/>
  <c r="B65" i="3"/>
  <c r="C65" i="3"/>
  <c r="D65" i="3"/>
  <c r="E65" i="3"/>
  <c r="B66" i="3"/>
  <c r="C66" i="3"/>
  <c r="D66" i="3"/>
  <c r="E66" i="3"/>
  <c r="B67" i="3"/>
  <c r="C67" i="3"/>
  <c r="D67" i="3"/>
  <c r="E67" i="3"/>
  <c r="B68" i="3"/>
  <c r="C68" i="3"/>
  <c r="D68" i="3"/>
  <c r="E68" i="3"/>
  <c r="B69" i="3"/>
  <c r="C69" i="3"/>
  <c r="D69" i="3"/>
  <c r="E69" i="3"/>
  <c r="B70" i="3"/>
  <c r="C70" i="3"/>
  <c r="D70" i="3"/>
  <c r="E70" i="3"/>
  <c r="B71" i="3"/>
  <c r="C71" i="3"/>
  <c r="D71" i="3"/>
  <c r="E71" i="3"/>
  <c r="B72" i="3"/>
  <c r="C72" i="3"/>
  <c r="D72" i="3"/>
  <c r="E72" i="3"/>
  <c r="B73" i="3"/>
  <c r="C73" i="3"/>
  <c r="D73" i="3"/>
  <c r="E73" i="3"/>
  <c r="B74" i="3"/>
  <c r="C74" i="3"/>
  <c r="D74" i="3"/>
  <c r="E74" i="3"/>
  <c r="B75" i="3"/>
  <c r="C75" i="3"/>
  <c r="D75" i="3"/>
  <c r="E75" i="3"/>
  <c r="B76" i="3"/>
  <c r="C76" i="3"/>
  <c r="D76" i="3"/>
  <c r="E76" i="3"/>
  <c r="B77" i="3"/>
  <c r="C77" i="3"/>
  <c r="D77" i="3"/>
  <c r="E77" i="3"/>
  <c r="B78" i="3"/>
  <c r="C78" i="3"/>
  <c r="D78" i="3"/>
  <c r="E78" i="3"/>
  <c r="B79" i="3"/>
  <c r="C79" i="3"/>
  <c r="D79" i="3"/>
  <c r="E79" i="3"/>
  <c r="B80" i="3"/>
  <c r="C80" i="3"/>
  <c r="D80" i="3"/>
  <c r="E80" i="3"/>
  <c r="B81" i="3"/>
  <c r="C81" i="3"/>
  <c r="D81" i="3"/>
  <c r="E81" i="3"/>
  <c r="B82" i="3"/>
  <c r="C82" i="3"/>
  <c r="D82" i="3"/>
  <c r="E82" i="3"/>
  <c r="B83" i="3"/>
  <c r="C83" i="3"/>
  <c r="D83" i="3"/>
  <c r="E83" i="3"/>
  <c r="B84" i="3"/>
  <c r="C84" i="3"/>
  <c r="D84" i="3"/>
  <c r="E84" i="3"/>
  <c r="B85" i="3"/>
  <c r="C85" i="3"/>
  <c r="D85" i="3"/>
  <c r="E85" i="3"/>
  <c r="B86" i="3"/>
  <c r="C86" i="3"/>
  <c r="D86" i="3"/>
  <c r="E86" i="3"/>
  <c r="B87" i="3"/>
  <c r="C87" i="3"/>
  <c r="D87" i="3"/>
  <c r="E87" i="3"/>
  <c r="B88" i="3"/>
  <c r="C88" i="3"/>
  <c r="D88" i="3"/>
  <c r="E88" i="3"/>
  <c r="B89" i="3"/>
  <c r="C89" i="3"/>
  <c r="D89" i="3"/>
  <c r="E89" i="3"/>
  <c r="B90" i="3"/>
  <c r="C90" i="3"/>
  <c r="D90" i="3"/>
  <c r="E90" i="3"/>
  <c r="B91" i="3"/>
  <c r="C91" i="3"/>
  <c r="D91" i="3"/>
  <c r="E91" i="3"/>
  <c r="B92" i="3"/>
  <c r="C92" i="3"/>
  <c r="D92" i="3"/>
  <c r="E92" i="3"/>
  <c r="B93" i="3"/>
  <c r="C93" i="3"/>
  <c r="D93" i="3"/>
  <c r="E93" i="3"/>
  <c r="B94" i="3"/>
  <c r="C94" i="3"/>
  <c r="D94" i="3"/>
  <c r="E94" i="3"/>
  <c r="B95" i="3"/>
  <c r="C95" i="3"/>
  <c r="D95" i="3"/>
  <c r="E95" i="3"/>
  <c r="B96" i="3"/>
  <c r="C96" i="3"/>
  <c r="D96" i="3"/>
  <c r="E96" i="3"/>
  <c r="B97" i="3"/>
  <c r="C97" i="3"/>
  <c r="D97" i="3"/>
  <c r="E97" i="3"/>
  <c r="B98" i="3"/>
  <c r="C98" i="3"/>
  <c r="D98" i="3"/>
  <c r="E98" i="3"/>
  <c r="B99" i="3"/>
  <c r="C99" i="3"/>
  <c r="D99" i="3"/>
  <c r="E99" i="3"/>
  <c r="B100" i="3"/>
  <c r="C100" i="3"/>
  <c r="D100" i="3"/>
  <c r="E100" i="3"/>
  <c r="B101" i="3"/>
  <c r="C101" i="3"/>
  <c r="D101" i="3"/>
  <c r="E101" i="3"/>
  <c r="B102" i="3"/>
  <c r="C102" i="3"/>
  <c r="D102" i="3"/>
  <c r="E102" i="3"/>
  <c r="B103" i="3"/>
  <c r="C103" i="3"/>
  <c r="D103" i="3"/>
  <c r="E103" i="3"/>
  <c r="B104" i="3"/>
  <c r="C104" i="3"/>
  <c r="D104" i="3"/>
  <c r="E104" i="3"/>
  <c r="B105" i="3"/>
  <c r="C105" i="3"/>
  <c r="D105" i="3"/>
  <c r="E105" i="3"/>
  <c r="B106" i="3"/>
  <c r="C106" i="3"/>
  <c r="D106" i="3"/>
  <c r="E106" i="3"/>
  <c r="B107" i="3"/>
  <c r="C107" i="3"/>
  <c r="D107" i="3"/>
  <c r="E107" i="3"/>
  <c r="B108" i="3"/>
  <c r="C108" i="3"/>
  <c r="D108" i="3"/>
  <c r="E108" i="3"/>
  <c r="B109" i="3"/>
  <c r="C109" i="3"/>
  <c r="D109" i="3"/>
  <c r="E109" i="3"/>
  <c r="B110" i="3"/>
  <c r="C110" i="3"/>
  <c r="D110" i="3"/>
  <c r="E110" i="3"/>
  <c r="B111" i="3"/>
  <c r="C111" i="3"/>
  <c r="D111" i="3"/>
  <c r="E111" i="3"/>
  <c r="B112" i="3"/>
  <c r="C112" i="3"/>
  <c r="D112" i="3"/>
  <c r="E112" i="3"/>
  <c r="B113" i="3"/>
  <c r="C113" i="3"/>
  <c r="D113" i="3"/>
  <c r="E113" i="3"/>
  <c r="B114" i="3"/>
  <c r="C114" i="3"/>
  <c r="D114" i="3"/>
  <c r="E114" i="3"/>
  <c r="B115" i="3"/>
  <c r="C115" i="3"/>
  <c r="D115" i="3"/>
  <c r="E115" i="3"/>
  <c r="B116" i="3"/>
  <c r="C116" i="3"/>
  <c r="D116" i="3"/>
  <c r="E116" i="3"/>
  <c r="B117" i="3"/>
  <c r="C117" i="3"/>
  <c r="D117" i="3"/>
  <c r="E117" i="3"/>
  <c r="B118" i="3"/>
  <c r="C118" i="3"/>
  <c r="D118" i="3"/>
  <c r="E118" i="3"/>
  <c r="B119" i="3"/>
  <c r="C119" i="3"/>
  <c r="D119" i="3"/>
  <c r="E119" i="3"/>
  <c r="B120" i="3"/>
  <c r="C120" i="3"/>
  <c r="D120" i="3"/>
  <c r="E120" i="3"/>
  <c r="B121" i="3"/>
  <c r="C121" i="3"/>
  <c r="D121" i="3"/>
  <c r="E121" i="3"/>
  <c r="B122" i="3"/>
  <c r="C122" i="3"/>
  <c r="D122" i="3"/>
  <c r="E122" i="3"/>
  <c r="B123" i="3"/>
  <c r="C123" i="3"/>
  <c r="D123" i="3"/>
  <c r="E123" i="3"/>
  <c r="B124" i="3"/>
  <c r="C124" i="3"/>
  <c r="D124" i="3"/>
  <c r="E124" i="3"/>
  <c r="B125" i="3"/>
  <c r="C125" i="3"/>
  <c r="D125" i="3"/>
  <c r="E125" i="3"/>
  <c r="B126" i="3"/>
  <c r="C126" i="3"/>
  <c r="D126" i="3"/>
  <c r="E126" i="3"/>
  <c r="B127" i="3"/>
  <c r="C127" i="3"/>
  <c r="D127" i="3"/>
  <c r="E127" i="3"/>
  <c r="B128" i="3"/>
  <c r="C128" i="3"/>
  <c r="D128" i="3"/>
  <c r="E128" i="3"/>
  <c r="B129" i="3"/>
  <c r="C129" i="3"/>
  <c r="D129" i="3"/>
  <c r="E129" i="3"/>
  <c r="B130" i="3"/>
  <c r="C130" i="3"/>
  <c r="D130" i="3"/>
  <c r="E130" i="3"/>
  <c r="B131" i="3"/>
  <c r="C131" i="3"/>
  <c r="D131" i="3"/>
  <c r="E131" i="3"/>
  <c r="B132" i="3"/>
  <c r="C132" i="3"/>
  <c r="D132" i="3"/>
  <c r="E132" i="3"/>
  <c r="B133" i="3"/>
  <c r="C133" i="3"/>
  <c r="D133" i="3"/>
  <c r="E133" i="3"/>
  <c r="B134" i="3"/>
  <c r="C134" i="3"/>
  <c r="D134" i="3"/>
  <c r="E134" i="3"/>
  <c r="B135" i="3"/>
  <c r="C135" i="3"/>
  <c r="D135" i="3"/>
  <c r="E135" i="3"/>
  <c r="B136" i="3"/>
  <c r="C136" i="3"/>
  <c r="D136" i="3"/>
  <c r="E136" i="3"/>
  <c r="B137" i="3"/>
  <c r="C137" i="3"/>
  <c r="D137" i="3"/>
  <c r="E137" i="3"/>
  <c r="B138" i="3"/>
  <c r="C138" i="3"/>
  <c r="D138" i="3"/>
  <c r="E138" i="3"/>
  <c r="B139" i="3"/>
  <c r="C139" i="3"/>
  <c r="D139" i="3"/>
  <c r="E139" i="3"/>
  <c r="B140" i="3"/>
  <c r="C140" i="3"/>
  <c r="D140" i="3"/>
  <c r="E140" i="3"/>
  <c r="B141" i="3"/>
  <c r="C141" i="3"/>
  <c r="D141" i="3"/>
  <c r="E141" i="3"/>
  <c r="B142" i="3"/>
  <c r="C142" i="3"/>
  <c r="D142" i="3"/>
  <c r="E142" i="3"/>
  <c r="B143" i="3"/>
  <c r="C143" i="3"/>
  <c r="D143" i="3"/>
  <c r="E143" i="3"/>
  <c r="B144" i="3"/>
  <c r="C144" i="3"/>
  <c r="D144" i="3"/>
  <c r="E144" i="3"/>
  <c r="B145" i="3"/>
  <c r="C145" i="3"/>
  <c r="D145" i="3"/>
  <c r="E145" i="3"/>
  <c r="B146" i="3"/>
  <c r="C146" i="3"/>
  <c r="D146" i="3"/>
  <c r="E146" i="3"/>
  <c r="B147" i="3"/>
  <c r="C147" i="3"/>
  <c r="D147" i="3"/>
  <c r="E147" i="3"/>
  <c r="B148" i="3"/>
  <c r="C148" i="3"/>
  <c r="D148" i="3"/>
  <c r="E148" i="3"/>
  <c r="B149" i="3"/>
  <c r="C149" i="3"/>
  <c r="D149" i="3"/>
  <c r="E149" i="3"/>
  <c r="B150" i="3"/>
  <c r="C150" i="3"/>
  <c r="D150" i="3"/>
  <c r="E150" i="3"/>
  <c r="B151" i="3"/>
  <c r="C151" i="3"/>
  <c r="D151" i="3"/>
  <c r="E151" i="3"/>
  <c r="B152" i="3"/>
  <c r="C152" i="3"/>
  <c r="D152" i="3"/>
  <c r="E152" i="3"/>
  <c r="B153" i="3"/>
  <c r="C153" i="3"/>
  <c r="D153" i="3"/>
  <c r="E153" i="3"/>
  <c r="B154" i="3"/>
  <c r="C154" i="3"/>
  <c r="D154" i="3"/>
  <c r="E154" i="3"/>
  <c r="B155" i="3"/>
  <c r="C155" i="3"/>
  <c r="D155" i="3"/>
  <c r="E155" i="3"/>
  <c r="B156" i="3"/>
  <c r="C156" i="3"/>
  <c r="D156" i="3"/>
  <c r="E156" i="3"/>
  <c r="B157" i="3"/>
  <c r="C157" i="3"/>
  <c r="D157" i="3"/>
  <c r="E157" i="3"/>
  <c r="B158" i="3"/>
  <c r="C158" i="3"/>
  <c r="D158" i="3"/>
  <c r="E158" i="3"/>
  <c r="B159" i="3"/>
  <c r="C159" i="3"/>
  <c r="D159" i="3"/>
  <c r="E159" i="3"/>
  <c r="B160" i="3"/>
  <c r="C160" i="3"/>
  <c r="D160" i="3"/>
  <c r="E160" i="3"/>
  <c r="B161" i="3"/>
  <c r="C161" i="3"/>
  <c r="D161" i="3"/>
  <c r="E161" i="3"/>
  <c r="B162" i="3"/>
  <c r="C162" i="3"/>
  <c r="D162" i="3"/>
  <c r="E162" i="3"/>
  <c r="B163" i="3"/>
  <c r="C163" i="3"/>
  <c r="D163" i="3"/>
  <c r="E163" i="3"/>
  <c r="B164" i="3"/>
  <c r="C164" i="3"/>
  <c r="D164" i="3"/>
  <c r="E164" i="3"/>
  <c r="B165" i="3"/>
  <c r="C165" i="3"/>
  <c r="D165" i="3"/>
  <c r="E165" i="3"/>
  <c r="B166" i="3"/>
  <c r="C166" i="3"/>
  <c r="D166" i="3"/>
  <c r="E166" i="3"/>
  <c r="B167" i="3"/>
  <c r="C167" i="3"/>
  <c r="D167" i="3"/>
  <c r="E167" i="3"/>
  <c r="B168" i="3"/>
  <c r="C168" i="3"/>
  <c r="D168" i="3"/>
  <c r="E168" i="3"/>
  <c r="B169" i="3"/>
  <c r="C169" i="3"/>
  <c r="D169" i="3"/>
  <c r="E169" i="3"/>
  <c r="B170" i="3"/>
  <c r="C170" i="3"/>
  <c r="D170" i="3"/>
  <c r="E170" i="3"/>
  <c r="B171" i="3"/>
  <c r="C171" i="3"/>
  <c r="D171" i="3"/>
  <c r="E171" i="3"/>
  <c r="B172" i="3"/>
  <c r="C172" i="3"/>
  <c r="D172" i="3"/>
  <c r="E172" i="3"/>
  <c r="B173" i="3"/>
  <c r="C173" i="3"/>
  <c r="D173" i="3"/>
  <c r="E173" i="3"/>
  <c r="B174" i="3"/>
  <c r="C174" i="3"/>
  <c r="D174" i="3"/>
  <c r="E174" i="3"/>
  <c r="B175" i="3"/>
  <c r="C175" i="3"/>
  <c r="D175" i="3"/>
  <c r="E175" i="3"/>
  <c r="B176" i="3"/>
  <c r="C176" i="3"/>
  <c r="D176" i="3"/>
  <c r="E176" i="3"/>
  <c r="B177" i="3"/>
  <c r="C177" i="3"/>
  <c r="D177" i="3"/>
  <c r="E177" i="3"/>
  <c r="B178" i="3"/>
  <c r="C178" i="3"/>
  <c r="D178" i="3"/>
  <c r="E178" i="3"/>
  <c r="B179" i="3"/>
  <c r="C179" i="3"/>
  <c r="D179" i="3"/>
  <c r="E179" i="3"/>
  <c r="B180" i="3"/>
  <c r="C180" i="3"/>
  <c r="D180" i="3"/>
  <c r="E180" i="3"/>
  <c r="B181" i="3"/>
  <c r="C181" i="3"/>
  <c r="D181" i="3"/>
  <c r="E181" i="3"/>
  <c r="B182" i="3"/>
  <c r="C182" i="3"/>
  <c r="D182" i="3"/>
  <c r="E182" i="3"/>
  <c r="B183" i="3"/>
  <c r="C183" i="3"/>
  <c r="D183" i="3"/>
  <c r="E183" i="3"/>
  <c r="B184" i="3"/>
  <c r="C184" i="3"/>
  <c r="D184" i="3"/>
  <c r="E184" i="3"/>
  <c r="B185" i="3"/>
  <c r="C185" i="3"/>
  <c r="D185" i="3"/>
  <c r="E185" i="3"/>
  <c r="B186" i="3"/>
  <c r="C186" i="3"/>
  <c r="D186" i="3"/>
  <c r="E186" i="3"/>
  <c r="B187" i="3"/>
  <c r="C187" i="3"/>
  <c r="D187" i="3"/>
  <c r="E187" i="3"/>
  <c r="B188" i="3"/>
  <c r="C188" i="3"/>
  <c r="D188" i="3"/>
  <c r="E188" i="3"/>
  <c r="B189" i="3"/>
  <c r="C189" i="3"/>
  <c r="D189" i="3"/>
  <c r="E189" i="3"/>
  <c r="B190" i="3"/>
  <c r="C190" i="3"/>
  <c r="D190" i="3"/>
  <c r="E190" i="3"/>
  <c r="B191" i="3"/>
  <c r="C191" i="3"/>
  <c r="D191" i="3"/>
  <c r="E191" i="3"/>
  <c r="B192" i="3"/>
  <c r="C192" i="3"/>
  <c r="D192" i="3"/>
  <c r="E192" i="3"/>
  <c r="B193" i="3"/>
  <c r="C193" i="3"/>
  <c r="D193" i="3"/>
  <c r="E193" i="3"/>
  <c r="B194" i="3"/>
  <c r="C194" i="3"/>
  <c r="D194" i="3"/>
  <c r="E194" i="3"/>
  <c r="B195" i="3"/>
  <c r="C195" i="3"/>
  <c r="D195" i="3"/>
  <c r="E195" i="3"/>
  <c r="B196" i="3"/>
  <c r="C196" i="3"/>
  <c r="D196" i="3"/>
  <c r="E196" i="3"/>
  <c r="B197" i="3"/>
  <c r="C197" i="3"/>
  <c r="D197" i="3"/>
  <c r="E197" i="3"/>
  <c r="B198" i="3"/>
  <c r="C198" i="3"/>
  <c r="D198" i="3"/>
  <c r="E198" i="3"/>
  <c r="B199" i="3"/>
  <c r="C199" i="3"/>
  <c r="D199" i="3"/>
  <c r="E199" i="3"/>
  <c r="B200" i="3"/>
  <c r="C200" i="3"/>
  <c r="D200" i="3"/>
  <c r="E200" i="3"/>
  <c r="B201" i="3"/>
  <c r="C201" i="3"/>
  <c r="D201" i="3"/>
  <c r="E201" i="3"/>
  <c r="B202" i="3"/>
  <c r="C202" i="3"/>
  <c r="D202" i="3"/>
  <c r="E202" i="3"/>
  <c r="B203" i="3"/>
  <c r="C203" i="3"/>
  <c r="D203" i="3"/>
  <c r="E203" i="3"/>
  <c r="B204" i="3"/>
  <c r="C204" i="3"/>
  <c r="D204" i="3"/>
  <c r="E204" i="3"/>
  <c r="B205" i="3"/>
  <c r="C205" i="3"/>
  <c r="D205" i="3"/>
  <c r="E205" i="3"/>
  <c r="B206" i="3"/>
  <c r="C206" i="3"/>
  <c r="D206" i="3"/>
  <c r="E206" i="3"/>
  <c r="B207" i="3"/>
  <c r="C207" i="3"/>
  <c r="D207" i="3"/>
  <c r="E207" i="3"/>
  <c r="B208" i="3"/>
  <c r="C208" i="3"/>
  <c r="D208" i="3"/>
  <c r="E208" i="3"/>
  <c r="B209" i="3"/>
  <c r="C209" i="3"/>
  <c r="D209" i="3"/>
  <c r="E209" i="3"/>
  <c r="B210" i="3"/>
  <c r="C210" i="3"/>
  <c r="D210" i="3"/>
  <c r="E210" i="3"/>
  <c r="B211" i="3"/>
  <c r="C211" i="3"/>
  <c r="D211" i="3"/>
  <c r="E211" i="3"/>
  <c r="B212" i="3"/>
  <c r="C212" i="3"/>
  <c r="D212" i="3"/>
  <c r="E212" i="3"/>
  <c r="B213" i="3"/>
  <c r="C213" i="3"/>
  <c r="D213" i="3"/>
  <c r="E213" i="3"/>
  <c r="B214" i="3"/>
  <c r="C214" i="3"/>
  <c r="D214" i="3"/>
  <c r="E214" i="3"/>
  <c r="B215" i="3"/>
  <c r="C215" i="3"/>
  <c r="D215" i="3"/>
  <c r="E215" i="3"/>
  <c r="B216" i="3"/>
  <c r="C216" i="3"/>
  <c r="D216" i="3"/>
  <c r="E216" i="3"/>
  <c r="B217" i="3"/>
  <c r="C217" i="3"/>
  <c r="D217" i="3"/>
  <c r="E217" i="3"/>
  <c r="B218" i="3"/>
  <c r="C218" i="3"/>
  <c r="D218" i="3"/>
  <c r="E218" i="3"/>
  <c r="B219" i="3"/>
  <c r="C219" i="3"/>
  <c r="D219" i="3"/>
  <c r="E219" i="3"/>
  <c r="B220" i="3"/>
  <c r="C220" i="3"/>
  <c r="D220" i="3"/>
  <c r="E220" i="3"/>
  <c r="B221" i="3"/>
  <c r="C221" i="3"/>
  <c r="D221" i="3"/>
  <c r="E221" i="3"/>
  <c r="B222" i="3"/>
  <c r="C222" i="3"/>
  <c r="D222" i="3"/>
  <c r="E222" i="3"/>
  <c r="B223" i="3"/>
  <c r="C223" i="3"/>
  <c r="D223" i="3"/>
  <c r="E223" i="3"/>
  <c r="B224" i="3"/>
  <c r="C224" i="3"/>
  <c r="D224" i="3"/>
  <c r="E224" i="3"/>
  <c r="B225" i="3"/>
  <c r="C225" i="3"/>
  <c r="D225" i="3"/>
  <c r="E225" i="3"/>
  <c r="B226" i="3"/>
  <c r="C226" i="3"/>
  <c r="D226" i="3"/>
  <c r="E226" i="3"/>
  <c r="B227" i="3"/>
  <c r="C227" i="3"/>
  <c r="D227" i="3"/>
  <c r="E227" i="3"/>
  <c r="B228" i="3"/>
  <c r="C228" i="3"/>
  <c r="D228" i="3"/>
  <c r="E228" i="3"/>
  <c r="B229" i="3"/>
  <c r="C229" i="3"/>
  <c r="D229" i="3"/>
  <c r="E229" i="3"/>
  <c r="B230" i="3"/>
  <c r="C230" i="3"/>
  <c r="D230" i="3"/>
  <c r="E230" i="3"/>
  <c r="B231" i="3"/>
  <c r="C231" i="3"/>
  <c r="D231" i="3"/>
  <c r="E231" i="3"/>
  <c r="B232" i="3"/>
  <c r="C232" i="3"/>
  <c r="D232" i="3"/>
  <c r="E232" i="3"/>
  <c r="B233" i="3"/>
  <c r="C233" i="3"/>
  <c r="D233" i="3"/>
  <c r="E233" i="3"/>
  <c r="B234" i="3"/>
  <c r="C234" i="3"/>
  <c r="D234" i="3"/>
  <c r="E234" i="3"/>
  <c r="B235" i="3"/>
  <c r="C235" i="3"/>
  <c r="D235" i="3"/>
  <c r="E235" i="3"/>
  <c r="B236" i="3"/>
  <c r="C236" i="3"/>
  <c r="D236" i="3"/>
  <c r="E236" i="3"/>
  <c r="B237" i="3"/>
  <c r="C237" i="3"/>
  <c r="D237" i="3"/>
  <c r="E237" i="3"/>
  <c r="B238" i="3"/>
  <c r="C238" i="3"/>
  <c r="D238" i="3"/>
  <c r="E238" i="3"/>
  <c r="B239" i="3"/>
  <c r="C239" i="3"/>
  <c r="D239" i="3"/>
  <c r="E239" i="3"/>
  <c r="B240" i="3"/>
  <c r="C240" i="3"/>
  <c r="D240" i="3"/>
  <c r="E240" i="3"/>
  <c r="B241" i="3"/>
  <c r="C241" i="3"/>
  <c r="D241" i="3"/>
  <c r="E241" i="3"/>
  <c r="B242" i="3"/>
  <c r="C242" i="3"/>
  <c r="D242" i="3"/>
  <c r="E242" i="3"/>
  <c r="B243" i="3"/>
  <c r="C243" i="3"/>
  <c r="D243" i="3"/>
  <c r="E243" i="3"/>
  <c r="B244" i="3"/>
  <c r="C244" i="3"/>
  <c r="D244" i="3"/>
  <c r="E244" i="3"/>
  <c r="B245" i="3"/>
  <c r="C245" i="3"/>
  <c r="D245" i="3"/>
  <c r="E245" i="3"/>
  <c r="B246" i="3"/>
  <c r="C246" i="3"/>
  <c r="D246" i="3"/>
  <c r="E246" i="3"/>
  <c r="B247" i="3"/>
  <c r="C247" i="3"/>
  <c r="D247" i="3"/>
  <c r="E247" i="3"/>
  <c r="B248" i="3"/>
  <c r="C248" i="3"/>
  <c r="D248" i="3"/>
  <c r="E248" i="3"/>
  <c r="B249" i="3"/>
  <c r="C249" i="3"/>
  <c r="D249" i="3"/>
  <c r="E249" i="3"/>
  <c r="B250" i="3"/>
  <c r="C250" i="3"/>
  <c r="D250" i="3"/>
  <c r="E250" i="3"/>
  <c r="B251" i="3"/>
  <c r="C251" i="3"/>
  <c r="D251" i="3"/>
  <c r="E251" i="3"/>
  <c r="B252" i="3"/>
  <c r="C252" i="3"/>
  <c r="D252" i="3"/>
  <c r="E252" i="3"/>
  <c r="B253" i="3"/>
  <c r="C253" i="3"/>
  <c r="D253" i="3"/>
  <c r="E253" i="3"/>
  <c r="B254" i="3"/>
  <c r="C254" i="3"/>
  <c r="D254" i="3"/>
  <c r="E254" i="3"/>
  <c r="B255" i="3"/>
  <c r="C255" i="3"/>
  <c r="D255" i="3"/>
  <c r="E255" i="3"/>
  <c r="B256" i="3"/>
  <c r="C256" i="3"/>
  <c r="D256" i="3"/>
  <c r="E256" i="3"/>
  <c r="B257" i="3"/>
  <c r="C257" i="3"/>
  <c r="D257" i="3"/>
  <c r="E257" i="3"/>
  <c r="B258" i="3"/>
  <c r="C258" i="3"/>
  <c r="D258" i="3"/>
  <c r="E258" i="3"/>
  <c r="B259" i="3"/>
  <c r="C259" i="3"/>
  <c r="D259" i="3"/>
  <c r="E259" i="3"/>
  <c r="B260" i="3"/>
  <c r="C260" i="3"/>
  <c r="D260" i="3"/>
  <c r="E260" i="3"/>
  <c r="B261" i="3"/>
  <c r="C261" i="3"/>
  <c r="D261" i="3"/>
  <c r="E261" i="3"/>
  <c r="B262" i="3"/>
  <c r="C262" i="3"/>
  <c r="D262" i="3"/>
  <c r="E262" i="3"/>
  <c r="B263" i="3"/>
  <c r="C263" i="3"/>
  <c r="D263" i="3"/>
  <c r="E263" i="3"/>
  <c r="B264" i="3"/>
  <c r="C264" i="3"/>
  <c r="D264" i="3"/>
  <c r="E264" i="3"/>
  <c r="B265" i="3"/>
  <c r="C265" i="3"/>
  <c r="D265" i="3"/>
  <c r="E265" i="3"/>
  <c r="B266" i="3"/>
  <c r="C266" i="3"/>
  <c r="D266" i="3"/>
  <c r="E266" i="3"/>
  <c r="B267" i="3"/>
  <c r="C267" i="3"/>
  <c r="D267" i="3"/>
  <c r="E267" i="3"/>
  <c r="B268" i="3"/>
  <c r="C268" i="3"/>
  <c r="D268" i="3"/>
  <c r="E268" i="3"/>
  <c r="B269" i="3"/>
  <c r="C269" i="3"/>
  <c r="D269" i="3"/>
  <c r="E269" i="3"/>
  <c r="B270" i="3"/>
  <c r="C270" i="3"/>
  <c r="D270" i="3"/>
  <c r="E270" i="3"/>
  <c r="B271" i="3"/>
  <c r="C271" i="3"/>
  <c r="D271" i="3"/>
  <c r="E271" i="3"/>
  <c r="B272" i="3"/>
  <c r="C272" i="3"/>
  <c r="D272" i="3"/>
  <c r="E272" i="3"/>
  <c r="B273" i="3"/>
  <c r="C273" i="3"/>
  <c r="D273" i="3"/>
  <c r="E273" i="3"/>
  <c r="B274" i="3"/>
  <c r="C274" i="3"/>
  <c r="D274" i="3"/>
  <c r="E274" i="3"/>
  <c r="B275" i="3"/>
  <c r="C275" i="3"/>
  <c r="D275" i="3"/>
  <c r="E275" i="3"/>
  <c r="B276" i="3"/>
  <c r="C276" i="3"/>
  <c r="D276" i="3"/>
  <c r="E276" i="3"/>
  <c r="B277" i="3"/>
  <c r="C277" i="3"/>
  <c r="D277" i="3"/>
  <c r="E277" i="3"/>
  <c r="B278" i="3"/>
  <c r="C278" i="3"/>
  <c r="D278" i="3"/>
  <c r="E278" i="3"/>
  <c r="B279" i="3"/>
  <c r="C279" i="3"/>
  <c r="D279" i="3"/>
  <c r="E279" i="3"/>
  <c r="B280" i="3"/>
  <c r="C280" i="3"/>
  <c r="D280" i="3"/>
  <c r="E280" i="3"/>
  <c r="B281" i="3"/>
  <c r="C281" i="3"/>
  <c r="D281" i="3"/>
  <c r="E281" i="3"/>
  <c r="B282" i="3"/>
  <c r="C282" i="3"/>
  <c r="D282" i="3"/>
  <c r="E282" i="3"/>
  <c r="B283" i="3"/>
  <c r="C283" i="3"/>
  <c r="D283" i="3"/>
  <c r="E283" i="3"/>
  <c r="B284" i="3"/>
  <c r="C284" i="3"/>
  <c r="D284" i="3"/>
  <c r="E284" i="3"/>
  <c r="B285" i="3"/>
  <c r="C285" i="3"/>
  <c r="D285" i="3"/>
  <c r="E285" i="3"/>
  <c r="B286" i="3"/>
  <c r="C286" i="3"/>
  <c r="D286" i="3"/>
  <c r="E286" i="3"/>
  <c r="B287" i="3"/>
  <c r="C287" i="3"/>
  <c r="D287" i="3"/>
  <c r="E287" i="3"/>
  <c r="B288" i="3"/>
  <c r="C288" i="3"/>
  <c r="D288" i="3"/>
  <c r="E288" i="3"/>
  <c r="B289" i="3"/>
  <c r="C289" i="3"/>
  <c r="D289" i="3"/>
  <c r="E289" i="3"/>
  <c r="B290" i="3"/>
  <c r="C290" i="3"/>
  <c r="D290" i="3"/>
  <c r="E290" i="3"/>
  <c r="B291" i="3"/>
  <c r="C291" i="3"/>
  <c r="D291" i="3"/>
  <c r="E291" i="3"/>
  <c r="B292" i="3"/>
  <c r="C292" i="3"/>
  <c r="D292" i="3"/>
  <c r="E292" i="3"/>
  <c r="B293" i="3"/>
  <c r="C293" i="3"/>
  <c r="D293" i="3"/>
  <c r="E293" i="3"/>
  <c r="B294" i="3"/>
  <c r="C294" i="3"/>
  <c r="D294" i="3"/>
  <c r="E294" i="3"/>
  <c r="B295" i="3"/>
  <c r="C295" i="3"/>
  <c r="D295" i="3"/>
  <c r="E295" i="3"/>
  <c r="B296" i="3"/>
  <c r="C296" i="3"/>
  <c r="D296" i="3"/>
  <c r="E296" i="3"/>
  <c r="B297" i="3"/>
  <c r="C297" i="3"/>
  <c r="D297" i="3"/>
  <c r="E297" i="3"/>
  <c r="B298" i="3"/>
  <c r="C298" i="3"/>
  <c r="D298" i="3"/>
  <c r="E298" i="3"/>
  <c r="B299" i="3"/>
  <c r="C299" i="3"/>
  <c r="D299" i="3"/>
  <c r="E299" i="3"/>
  <c r="B300" i="3"/>
  <c r="C300" i="3"/>
  <c r="D300" i="3"/>
  <c r="E300" i="3"/>
  <c r="B301" i="3"/>
  <c r="C301" i="3"/>
  <c r="D301" i="3"/>
  <c r="E301" i="3"/>
  <c r="B302" i="3"/>
  <c r="C302" i="3"/>
  <c r="D302" i="3"/>
  <c r="E302" i="3"/>
  <c r="B303" i="3"/>
  <c r="C303" i="3"/>
  <c r="D303" i="3"/>
  <c r="E303" i="3"/>
  <c r="B304" i="3"/>
  <c r="C304" i="3"/>
  <c r="D304" i="3"/>
  <c r="E304" i="3"/>
  <c r="B305" i="3"/>
  <c r="C305" i="3"/>
  <c r="D305" i="3"/>
  <c r="E305" i="3"/>
  <c r="B306" i="3"/>
  <c r="C306" i="3"/>
  <c r="D306" i="3"/>
  <c r="E306" i="3"/>
  <c r="B307" i="3"/>
  <c r="C307" i="3"/>
  <c r="D307" i="3"/>
  <c r="E307" i="3"/>
  <c r="B308" i="3"/>
  <c r="C308" i="3"/>
  <c r="D308" i="3"/>
  <c r="E308" i="3"/>
  <c r="B309" i="3"/>
  <c r="C309" i="3"/>
  <c r="D309" i="3"/>
  <c r="E309" i="3"/>
  <c r="B310" i="3"/>
  <c r="C310" i="3"/>
  <c r="D310" i="3"/>
  <c r="E310" i="3"/>
  <c r="B311" i="3"/>
  <c r="C311" i="3"/>
  <c r="D311" i="3"/>
  <c r="E311" i="3"/>
  <c r="B312" i="3"/>
  <c r="C312" i="3"/>
  <c r="D312" i="3"/>
  <c r="E312" i="3"/>
  <c r="B313" i="3"/>
  <c r="C313" i="3"/>
  <c r="D313" i="3"/>
  <c r="E313" i="3"/>
  <c r="B314" i="3"/>
  <c r="C314" i="3"/>
  <c r="D314" i="3"/>
  <c r="E314" i="3"/>
  <c r="B315" i="3"/>
  <c r="C315" i="3"/>
  <c r="D315" i="3"/>
  <c r="E315" i="3"/>
  <c r="B316" i="3"/>
  <c r="C316" i="3"/>
  <c r="D316" i="3"/>
  <c r="E316" i="3"/>
  <c r="B317" i="3"/>
  <c r="C317" i="3"/>
  <c r="D317" i="3"/>
  <c r="E317" i="3"/>
  <c r="B318" i="3"/>
  <c r="C318" i="3"/>
  <c r="D318" i="3"/>
  <c r="E318" i="3"/>
  <c r="B319" i="3"/>
  <c r="C319" i="3"/>
  <c r="D319" i="3"/>
  <c r="E319" i="3"/>
  <c r="B320" i="3"/>
  <c r="C320" i="3"/>
  <c r="D320" i="3"/>
  <c r="E320" i="3"/>
  <c r="B321" i="3"/>
  <c r="C321" i="3"/>
  <c r="D321" i="3"/>
  <c r="E321" i="3"/>
  <c r="B322" i="3"/>
  <c r="C322" i="3"/>
  <c r="D322" i="3"/>
  <c r="E322" i="3"/>
  <c r="B323" i="3"/>
  <c r="C323" i="3"/>
  <c r="D323" i="3"/>
  <c r="E323" i="3"/>
  <c r="B324" i="3"/>
  <c r="C324" i="3"/>
  <c r="D324" i="3"/>
  <c r="E324" i="3"/>
  <c r="B325" i="3"/>
  <c r="C325" i="3"/>
  <c r="D325" i="3"/>
  <c r="E325" i="3"/>
  <c r="B326" i="3"/>
  <c r="C326" i="3"/>
  <c r="D326" i="3"/>
  <c r="E326" i="3"/>
  <c r="B327" i="3"/>
  <c r="C327" i="3"/>
  <c r="D327" i="3"/>
  <c r="E327" i="3"/>
  <c r="B328" i="3"/>
  <c r="C328" i="3"/>
  <c r="D328" i="3"/>
  <c r="E328" i="3"/>
  <c r="B329" i="3"/>
  <c r="C329" i="3"/>
  <c r="D329" i="3"/>
  <c r="E329" i="3"/>
  <c r="B330" i="3"/>
  <c r="C330" i="3"/>
  <c r="D330" i="3"/>
  <c r="E330" i="3"/>
  <c r="B331" i="3"/>
  <c r="C331" i="3"/>
  <c r="D331" i="3"/>
  <c r="E331" i="3"/>
  <c r="B332" i="3"/>
  <c r="C332" i="3"/>
  <c r="D332" i="3"/>
  <c r="E332" i="3"/>
  <c r="B333" i="3"/>
  <c r="C333" i="3"/>
  <c r="D333" i="3"/>
  <c r="E333" i="3"/>
  <c r="B334" i="3"/>
  <c r="C334" i="3"/>
  <c r="D334" i="3"/>
  <c r="E334" i="3"/>
  <c r="B335" i="3"/>
  <c r="C335" i="3"/>
  <c r="D335" i="3"/>
  <c r="E335" i="3"/>
  <c r="B336" i="3"/>
  <c r="C336" i="3"/>
  <c r="D336" i="3"/>
  <c r="E336" i="3"/>
  <c r="B337" i="3"/>
  <c r="C337" i="3"/>
  <c r="D337" i="3"/>
  <c r="E337" i="3"/>
  <c r="B338" i="3"/>
  <c r="C338" i="3"/>
  <c r="D338" i="3"/>
  <c r="E338" i="3"/>
  <c r="B339" i="3"/>
  <c r="C339" i="3"/>
  <c r="D339" i="3"/>
  <c r="E339" i="3"/>
  <c r="B340" i="3"/>
  <c r="C340" i="3"/>
  <c r="D340" i="3"/>
  <c r="E340" i="3"/>
  <c r="B341" i="3"/>
  <c r="C341" i="3"/>
  <c r="D341" i="3"/>
  <c r="E341" i="3"/>
  <c r="B342" i="3"/>
  <c r="C342" i="3"/>
  <c r="D342" i="3"/>
  <c r="E342" i="3"/>
  <c r="B343" i="3"/>
  <c r="C343" i="3"/>
  <c r="D343" i="3"/>
  <c r="E343" i="3"/>
  <c r="B344" i="3"/>
  <c r="C344" i="3"/>
  <c r="D344" i="3"/>
  <c r="E344" i="3"/>
  <c r="B345" i="3"/>
  <c r="C345" i="3"/>
  <c r="D345" i="3"/>
  <c r="E345" i="3"/>
  <c r="B346" i="3"/>
  <c r="C346" i="3"/>
  <c r="D346" i="3"/>
  <c r="E346" i="3"/>
  <c r="B347" i="3"/>
  <c r="C347" i="3"/>
  <c r="D347" i="3"/>
  <c r="E347" i="3"/>
  <c r="B348" i="3"/>
  <c r="C348" i="3"/>
  <c r="D348" i="3"/>
  <c r="E348" i="3"/>
  <c r="B349" i="3"/>
  <c r="C349" i="3"/>
  <c r="D349" i="3"/>
  <c r="E349" i="3"/>
  <c r="B350" i="3"/>
  <c r="C350" i="3"/>
  <c r="D350" i="3"/>
  <c r="E350" i="3"/>
  <c r="B351" i="3"/>
  <c r="C351" i="3"/>
  <c r="D351" i="3"/>
  <c r="E351" i="3"/>
  <c r="B352" i="3"/>
  <c r="C352" i="3"/>
  <c r="D352" i="3"/>
  <c r="E352" i="3"/>
  <c r="B353" i="3"/>
  <c r="C353" i="3"/>
  <c r="D353" i="3"/>
  <c r="E353" i="3"/>
  <c r="B354" i="3"/>
  <c r="C354" i="3"/>
  <c r="D354" i="3"/>
  <c r="E354" i="3"/>
  <c r="B355" i="3"/>
  <c r="C355" i="3"/>
  <c r="D355" i="3"/>
  <c r="E355" i="3"/>
  <c r="B356" i="3"/>
  <c r="C356" i="3"/>
  <c r="D356" i="3"/>
  <c r="E356" i="3"/>
  <c r="B357" i="3"/>
  <c r="C357" i="3"/>
  <c r="D357" i="3"/>
  <c r="E357" i="3"/>
  <c r="B358" i="3"/>
  <c r="C358" i="3"/>
  <c r="D358" i="3"/>
  <c r="E358" i="3"/>
  <c r="B359" i="3"/>
  <c r="C359" i="3"/>
  <c r="D359" i="3"/>
  <c r="E359" i="3"/>
  <c r="B360" i="3"/>
  <c r="C360" i="3"/>
  <c r="D360" i="3"/>
  <c r="E360" i="3"/>
  <c r="B361" i="3"/>
  <c r="C361" i="3"/>
  <c r="D361" i="3"/>
  <c r="E361" i="3"/>
  <c r="B362" i="3"/>
  <c r="C362" i="3"/>
  <c r="D362" i="3"/>
  <c r="E362" i="3"/>
  <c r="B363" i="3"/>
  <c r="C363" i="3"/>
  <c r="D363" i="3"/>
  <c r="E363" i="3"/>
  <c r="B364" i="3"/>
  <c r="C364" i="3"/>
  <c r="D364" i="3"/>
  <c r="E364" i="3"/>
  <c r="B365" i="3"/>
  <c r="C365" i="3"/>
  <c r="D365" i="3"/>
  <c r="E365" i="3"/>
  <c r="B366" i="3"/>
  <c r="C366" i="3"/>
  <c r="D366" i="3"/>
  <c r="E366" i="3"/>
  <c r="B367" i="3"/>
  <c r="C367" i="3"/>
  <c r="D367" i="3"/>
  <c r="E367" i="3"/>
  <c r="B368" i="3"/>
  <c r="C368" i="3"/>
  <c r="D368" i="3"/>
  <c r="E368" i="3"/>
  <c r="B369" i="3"/>
  <c r="C369" i="3"/>
  <c r="D369" i="3"/>
  <c r="E369" i="3"/>
  <c r="B370" i="3"/>
  <c r="C370" i="3"/>
  <c r="D370" i="3"/>
  <c r="E370" i="3"/>
  <c r="B371" i="3"/>
  <c r="C371" i="3"/>
  <c r="D371" i="3"/>
  <c r="E371" i="3"/>
  <c r="B372" i="3"/>
  <c r="C372" i="3"/>
  <c r="D372" i="3"/>
  <c r="E372" i="3"/>
  <c r="B373" i="3"/>
  <c r="C373" i="3"/>
  <c r="D373" i="3"/>
  <c r="E373" i="3"/>
  <c r="B374" i="3"/>
  <c r="C374" i="3"/>
  <c r="D374" i="3"/>
  <c r="E374" i="3"/>
  <c r="B375" i="3"/>
  <c r="C375" i="3"/>
  <c r="D375" i="3"/>
  <c r="E375" i="3"/>
  <c r="B376" i="3"/>
  <c r="C376" i="3"/>
  <c r="D376" i="3"/>
  <c r="E376" i="3"/>
  <c r="B377" i="3"/>
  <c r="C377" i="3"/>
  <c r="D377" i="3"/>
  <c r="E377" i="3"/>
  <c r="B378" i="3"/>
  <c r="C378" i="3"/>
  <c r="D378" i="3"/>
  <c r="E378" i="3"/>
  <c r="B379" i="3"/>
  <c r="C379" i="3"/>
  <c r="D379" i="3"/>
  <c r="E379" i="3"/>
  <c r="B380" i="3"/>
  <c r="C380" i="3"/>
  <c r="D380" i="3"/>
  <c r="E380" i="3"/>
  <c r="B381" i="3"/>
  <c r="C381" i="3"/>
  <c r="D381" i="3"/>
  <c r="E381" i="3"/>
  <c r="B382" i="3"/>
  <c r="C382" i="3"/>
  <c r="D382" i="3"/>
  <c r="E382" i="3"/>
  <c r="B383" i="3"/>
  <c r="C383" i="3"/>
  <c r="D383" i="3"/>
  <c r="E383" i="3"/>
  <c r="B384" i="3"/>
  <c r="C384" i="3"/>
  <c r="D384" i="3"/>
  <c r="E384" i="3"/>
  <c r="B385" i="3"/>
  <c r="C385" i="3"/>
  <c r="D385" i="3"/>
  <c r="E385" i="3"/>
  <c r="B386" i="3"/>
  <c r="C386" i="3"/>
  <c r="D386" i="3"/>
  <c r="E386" i="3"/>
  <c r="B387" i="3"/>
  <c r="C387" i="3"/>
  <c r="D387" i="3"/>
  <c r="E387" i="3"/>
  <c r="B388" i="3"/>
  <c r="C388" i="3"/>
  <c r="D388" i="3"/>
  <c r="E388" i="3"/>
  <c r="B389" i="3"/>
  <c r="C389" i="3"/>
  <c r="D389" i="3"/>
  <c r="E389" i="3"/>
  <c r="B390" i="3"/>
  <c r="C390" i="3"/>
  <c r="D390" i="3"/>
  <c r="E390" i="3"/>
  <c r="B391" i="3"/>
  <c r="C391" i="3"/>
  <c r="D391" i="3"/>
  <c r="E391" i="3"/>
  <c r="B392" i="3"/>
  <c r="C392" i="3"/>
  <c r="D392" i="3"/>
  <c r="E392" i="3"/>
  <c r="B393" i="3"/>
  <c r="C393" i="3"/>
  <c r="D393" i="3"/>
  <c r="E393" i="3"/>
  <c r="B394" i="3"/>
  <c r="C394" i="3"/>
  <c r="D394" i="3"/>
  <c r="E394" i="3"/>
  <c r="B395" i="3"/>
  <c r="C395" i="3"/>
  <c r="D395" i="3"/>
  <c r="E395" i="3"/>
  <c r="B396" i="3"/>
  <c r="C396" i="3"/>
  <c r="D396" i="3"/>
  <c r="E396" i="3"/>
  <c r="B397" i="3"/>
  <c r="C397" i="3"/>
  <c r="D397" i="3"/>
  <c r="E397" i="3"/>
  <c r="B398" i="3"/>
  <c r="C398" i="3"/>
  <c r="D398" i="3"/>
  <c r="E398" i="3"/>
  <c r="B399" i="3"/>
  <c r="C399" i="3"/>
  <c r="D399" i="3"/>
  <c r="E399" i="3"/>
  <c r="B400" i="3"/>
  <c r="C400" i="3"/>
  <c r="D400" i="3"/>
  <c r="E400" i="3"/>
  <c r="B401" i="3"/>
  <c r="C401" i="3"/>
  <c r="D401" i="3"/>
  <c r="E401" i="3"/>
  <c r="B402" i="3"/>
  <c r="C402" i="3"/>
  <c r="D402" i="3"/>
  <c r="E402" i="3"/>
  <c r="B403" i="3"/>
  <c r="C403" i="3"/>
  <c r="D403" i="3"/>
  <c r="E403" i="3"/>
  <c r="B404" i="3"/>
  <c r="C404" i="3"/>
  <c r="D404" i="3"/>
  <c r="E404" i="3"/>
  <c r="B405" i="3"/>
  <c r="C405" i="3"/>
  <c r="D405" i="3"/>
  <c r="E405" i="3"/>
  <c r="B406" i="3"/>
  <c r="C406" i="3"/>
  <c r="D406" i="3"/>
  <c r="E406" i="3"/>
  <c r="B407" i="3"/>
  <c r="C407" i="3"/>
  <c r="D407" i="3"/>
  <c r="E407" i="3"/>
  <c r="B408" i="3"/>
  <c r="C408" i="3"/>
  <c r="D408" i="3"/>
  <c r="E408" i="3"/>
  <c r="B409" i="3"/>
  <c r="C409" i="3"/>
  <c r="D409" i="3"/>
  <c r="E409" i="3"/>
  <c r="B410" i="3"/>
  <c r="C410" i="3"/>
  <c r="D410" i="3"/>
  <c r="E410" i="3"/>
  <c r="B411" i="3"/>
  <c r="C411" i="3"/>
  <c r="D411" i="3"/>
  <c r="E411" i="3"/>
  <c r="B412" i="3"/>
  <c r="C412" i="3"/>
  <c r="D412" i="3"/>
  <c r="E412" i="3"/>
  <c r="B413" i="3"/>
  <c r="C413" i="3"/>
  <c r="D413" i="3"/>
  <c r="E413" i="3"/>
  <c r="B414" i="3"/>
  <c r="C414" i="3"/>
  <c r="D414" i="3"/>
  <c r="E414" i="3"/>
  <c r="B415" i="3"/>
  <c r="C415" i="3"/>
  <c r="D415" i="3"/>
  <c r="E415" i="3"/>
  <c r="B416" i="3"/>
  <c r="C416" i="3"/>
  <c r="D416" i="3"/>
  <c r="E416" i="3"/>
  <c r="B417" i="3"/>
  <c r="C417" i="3"/>
  <c r="D417" i="3"/>
  <c r="E417" i="3"/>
  <c r="B418" i="3"/>
  <c r="C418" i="3"/>
  <c r="D418" i="3"/>
  <c r="E418" i="3"/>
  <c r="B419" i="3"/>
  <c r="C419" i="3"/>
  <c r="D419" i="3"/>
  <c r="E419" i="3"/>
  <c r="B420" i="3"/>
  <c r="C420" i="3"/>
  <c r="D420" i="3"/>
  <c r="E420" i="3"/>
  <c r="B421" i="3"/>
  <c r="C421" i="3"/>
  <c r="D421" i="3"/>
  <c r="E421" i="3"/>
  <c r="B422" i="3"/>
  <c r="C422" i="3"/>
  <c r="D422" i="3"/>
  <c r="E422" i="3"/>
  <c r="B423" i="3"/>
  <c r="C423" i="3"/>
  <c r="D423" i="3"/>
  <c r="E423" i="3"/>
  <c r="B424" i="3"/>
  <c r="C424" i="3"/>
  <c r="D424" i="3"/>
  <c r="E424" i="3"/>
  <c r="B425" i="3"/>
  <c r="C425" i="3"/>
  <c r="D425" i="3"/>
  <c r="E425" i="3"/>
  <c r="B426" i="3"/>
  <c r="C426" i="3"/>
  <c r="D426" i="3"/>
  <c r="E426" i="3"/>
  <c r="B427" i="3"/>
  <c r="C427" i="3"/>
  <c r="D427" i="3"/>
  <c r="E427" i="3"/>
  <c r="B428" i="3"/>
  <c r="C428" i="3"/>
  <c r="D428" i="3"/>
  <c r="E428" i="3"/>
  <c r="B429" i="3"/>
  <c r="C429" i="3"/>
  <c r="D429" i="3"/>
  <c r="E429" i="3"/>
  <c r="B430" i="3"/>
  <c r="C430" i="3"/>
  <c r="D430" i="3"/>
  <c r="E430" i="3"/>
  <c r="B431" i="3"/>
  <c r="C431" i="3"/>
  <c r="D431" i="3"/>
  <c r="E431" i="3"/>
  <c r="B432" i="3"/>
  <c r="C432" i="3"/>
  <c r="D432" i="3"/>
  <c r="E432" i="3"/>
  <c r="B433" i="3"/>
  <c r="C433" i="3"/>
  <c r="D433" i="3"/>
  <c r="E433" i="3"/>
  <c r="B434" i="3"/>
  <c r="C434" i="3"/>
  <c r="D434" i="3"/>
  <c r="E434" i="3"/>
  <c r="B435" i="3"/>
  <c r="C435" i="3"/>
  <c r="D435" i="3"/>
  <c r="E435" i="3"/>
  <c r="B436" i="3"/>
  <c r="C436" i="3"/>
  <c r="D436" i="3"/>
  <c r="E436" i="3"/>
  <c r="B437" i="3"/>
  <c r="C437" i="3"/>
  <c r="D437" i="3"/>
  <c r="E437" i="3"/>
  <c r="B438" i="3"/>
  <c r="C438" i="3"/>
  <c r="D438" i="3"/>
  <c r="E438" i="3"/>
  <c r="B439" i="3"/>
  <c r="C439" i="3"/>
  <c r="D439" i="3"/>
  <c r="E439" i="3"/>
  <c r="B440" i="3"/>
  <c r="C440" i="3"/>
  <c r="D440" i="3"/>
  <c r="E440" i="3"/>
  <c r="B441" i="3"/>
  <c r="C441" i="3"/>
  <c r="D441" i="3"/>
  <c r="E441" i="3"/>
  <c r="B442" i="3"/>
  <c r="C442" i="3"/>
  <c r="D442" i="3"/>
  <c r="E442" i="3"/>
  <c r="B443" i="3"/>
  <c r="C443" i="3"/>
  <c r="D443" i="3"/>
  <c r="E443" i="3"/>
  <c r="B444" i="3"/>
  <c r="C444" i="3"/>
  <c r="D444" i="3"/>
  <c r="E444" i="3"/>
  <c r="B445" i="3"/>
  <c r="C445" i="3"/>
  <c r="D445" i="3"/>
  <c r="E445" i="3"/>
  <c r="B446" i="3"/>
  <c r="C446" i="3"/>
  <c r="D446" i="3"/>
  <c r="E446" i="3"/>
  <c r="B447" i="3"/>
  <c r="C447" i="3"/>
  <c r="D447" i="3"/>
  <c r="E447" i="3"/>
  <c r="B448" i="3"/>
  <c r="C448" i="3"/>
  <c r="D448" i="3"/>
  <c r="E448" i="3"/>
  <c r="B449" i="3"/>
  <c r="C449" i="3"/>
  <c r="D449" i="3"/>
  <c r="E449" i="3"/>
  <c r="B450" i="3"/>
  <c r="C450" i="3"/>
  <c r="D450" i="3"/>
  <c r="E450" i="3"/>
  <c r="B451" i="3"/>
  <c r="C451" i="3"/>
  <c r="D451" i="3"/>
  <c r="E451" i="3"/>
  <c r="B452" i="3"/>
  <c r="C452" i="3"/>
  <c r="D452" i="3"/>
  <c r="E452" i="3"/>
  <c r="B453" i="3"/>
  <c r="C453" i="3"/>
  <c r="D453" i="3"/>
  <c r="E453" i="3"/>
  <c r="B454" i="3"/>
  <c r="C454" i="3"/>
  <c r="D454" i="3"/>
  <c r="E454" i="3"/>
  <c r="B455" i="3"/>
  <c r="C455" i="3"/>
  <c r="D455" i="3"/>
  <c r="E455" i="3"/>
  <c r="B456" i="3"/>
  <c r="C456" i="3"/>
  <c r="D456" i="3"/>
  <c r="E456" i="3"/>
  <c r="B457" i="3"/>
  <c r="C457" i="3"/>
  <c r="D457" i="3"/>
  <c r="E457" i="3"/>
  <c r="B458" i="3"/>
  <c r="C458" i="3"/>
  <c r="D458" i="3"/>
  <c r="E458" i="3"/>
  <c r="B459" i="3"/>
  <c r="C459" i="3"/>
  <c r="D459" i="3"/>
  <c r="E459" i="3"/>
  <c r="B460" i="3"/>
  <c r="C460" i="3"/>
  <c r="D460" i="3"/>
  <c r="E460" i="3"/>
  <c r="B461" i="3"/>
  <c r="C461" i="3"/>
  <c r="D461" i="3"/>
  <c r="E461" i="3"/>
  <c r="B462" i="3"/>
  <c r="C462" i="3"/>
  <c r="D462" i="3"/>
  <c r="E462" i="3"/>
  <c r="B463" i="3"/>
  <c r="C463" i="3"/>
  <c r="D463" i="3"/>
  <c r="E463" i="3"/>
  <c r="B464" i="3"/>
  <c r="C464" i="3"/>
  <c r="D464" i="3"/>
  <c r="E464" i="3"/>
  <c r="B465" i="3"/>
  <c r="C465" i="3"/>
  <c r="D465" i="3"/>
  <c r="E465" i="3"/>
  <c r="B466" i="3"/>
  <c r="C466" i="3"/>
  <c r="D466" i="3"/>
  <c r="E466" i="3"/>
  <c r="B467" i="3"/>
  <c r="C467" i="3"/>
  <c r="D467" i="3"/>
  <c r="E467" i="3"/>
  <c r="B468" i="3"/>
  <c r="C468" i="3"/>
  <c r="D468" i="3"/>
  <c r="E468" i="3"/>
  <c r="B469" i="3"/>
  <c r="C469" i="3"/>
  <c r="D469" i="3"/>
  <c r="E469" i="3"/>
  <c r="B470" i="3"/>
  <c r="C470" i="3"/>
  <c r="D470" i="3"/>
  <c r="E470" i="3"/>
  <c r="B471" i="3"/>
  <c r="C471" i="3"/>
  <c r="D471" i="3"/>
  <c r="E471" i="3"/>
  <c r="B472" i="3"/>
  <c r="C472" i="3"/>
  <c r="D472" i="3"/>
  <c r="E472" i="3"/>
  <c r="B473" i="3"/>
  <c r="C473" i="3"/>
  <c r="D473" i="3"/>
  <c r="E473" i="3"/>
  <c r="B474" i="3"/>
  <c r="C474" i="3"/>
  <c r="D474" i="3"/>
  <c r="E474" i="3"/>
  <c r="B475" i="3"/>
  <c r="C475" i="3"/>
  <c r="D475" i="3"/>
  <c r="E475" i="3"/>
  <c r="B476" i="3"/>
  <c r="C476" i="3"/>
  <c r="D476" i="3"/>
  <c r="E476" i="3"/>
  <c r="B477" i="3"/>
  <c r="C477" i="3"/>
  <c r="D477" i="3"/>
  <c r="E477" i="3"/>
  <c r="B478" i="3"/>
  <c r="C478" i="3"/>
  <c r="D478" i="3"/>
  <c r="E478" i="3"/>
  <c r="B479" i="3"/>
  <c r="C479" i="3"/>
  <c r="D479" i="3"/>
  <c r="E479" i="3"/>
  <c r="B480" i="3"/>
  <c r="C480" i="3"/>
  <c r="D480" i="3"/>
  <c r="E480" i="3"/>
  <c r="B481" i="3"/>
  <c r="C481" i="3"/>
  <c r="D481" i="3"/>
  <c r="E481" i="3"/>
  <c r="B482" i="3"/>
  <c r="C482" i="3"/>
  <c r="D482" i="3"/>
  <c r="E482" i="3"/>
  <c r="B483" i="3"/>
  <c r="C483" i="3"/>
  <c r="D483" i="3"/>
  <c r="E483" i="3"/>
  <c r="B484" i="3"/>
  <c r="C484" i="3"/>
  <c r="D484" i="3"/>
  <c r="E484" i="3"/>
  <c r="B485" i="3"/>
  <c r="C485" i="3"/>
  <c r="D485" i="3"/>
  <c r="E485" i="3"/>
  <c r="B486" i="3"/>
  <c r="C486" i="3"/>
  <c r="D486" i="3"/>
  <c r="E486" i="3"/>
  <c r="B487" i="3"/>
  <c r="C487" i="3"/>
  <c r="D487" i="3"/>
  <c r="E487" i="3"/>
  <c r="B488" i="3"/>
  <c r="C488" i="3"/>
  <c r="D488" i="3"/>
  <c r="E488" i="3"/>
  <c r="B489" i="3"/>
  <c r="C489" i="3"/>
  <c r="D489" i="3"/>
  <c r="E489" i="3"/>
  <c r="B490" i="3"/>
  <c r="C490" i="3"/>
  <c r="D490" i="3"/>
  <c r="E490" i="3"/>
  <c r="B491" i="3"/>
  <c r="C491" i="3"/>
  <c r="D491" i="3"/>
  <c r="E491" i="3"/>
  <c r="B492" i="3"/>
  <c r="C492" i="3"/>
  <c r="D492" i="3"/>
  <c r="E492" i="3"/>
  <c r="B493" i="3"/>
  <c r="C493" i="3"/>
  <c r="D493" i="3"/>
  <c r="E493" i="3"/>
  <c r="B494" i="3"/>
  <c r="C494" i="3"/>
  <c r="D494" i="3"/>
  <c r="E494" i="3"/>
  <c r="B495" i="3"/>
  <c r="C495" i="3"/>
  <c r="D495" i="3"/>
  <c r="E495" i="3"/>
  <c r="B496" i="3"/>
  <c r="C496" i="3"/>
  <c r="D496" i="3"/>
  <c r="E496" i="3"/>
  <c r="B497" i="3"/>
  <c r="C497" i="3"/>
  <c r="D497" i="3"/>
  <c r="E497" i="3"/>
  <c r="B498" i="3"/>
  <c r="C498" i="3"/>
  <c r="D498" i="3"/>
  <c r="E498" i="3"/>
  <c r="B499" i="3"/>
  <c r="C499" i="3"/>
  <c r="D499" i="3"/>
  <c r="E499" i="3"/>
  <c r="B500" i="3"/>
  <c r="C500" i="3"/>
  <c r="D500" i="3"/>
  <c r="E500" i="3"/>
  <c r="B501" i="3"/>
  <c r="C501" i="3"/>
  <c r="D501" i="3"/>
  <c r="E501" i="3"/>
  <c r="B502" i="3"/>
  <c r="C502" i="3"/>
  <c r="D502" i="3"/>
  <c r="E502" i="3"/>
  <c r="B503" i="3"/>
  <c r="C503" i="3"/>
  <c r="D503" i="3"/>
  <c r="E503" i="3"/>
  <c r="B504" i="3"/>
  <c r="C504" i="3"/>
  <c r="D504" i="3"/>
  <c r="E504" i="3"/>
  <c r="B505" i="3"/>
  <c r="C505" i="3"/>
  <c r="D505" i="3"/>
  <c r="E505" i="3"/>
  <c r="B506" i="3"/>
  <c r="C506" i="3"/>
  <c r="D506" i="3"/>
  <c r="E506" i="3"/>
  <c r="B507" i="3"/>
  <c r="C507" i="3"/>
  <c r="D507" i="3"/>
  <c r="E507" i="3"/>
  <c r="B508" i="3"/>
  <c r="C508" i="3"/>
  <c r="D508" i="3"/>
  <c r="E508" i="3"/>
  <c r="B509" i="3"/>
  <c r="C509" i="3"/>
  <c r="D509" i="3"/>
  <c r="E509" i="3"/>
  <c r="B510" i="3"/>
  <c r="C510" i="3"/>
  <c r="D510" i="3"/>
  <c r="E510" i="3"/>
  <c r="B511" i="3"/>
  <c r="C511" i="3"/>
  <c r="D511" i="3"/>
  <c r="E511" i="3"/>
  <c r="B512" i="3"/>
  <c r="C512" i="3"/>
  <c r="D512" i="3"/>
  <c r="E512" i="3"/>
  <c r="B513" i="3"/>
  <c r="C513" i="3"/>
  <c r="D513" i="3"/>
  <c r="E513" i="3"/>
  <c r="B514" i="3"/>
  <c r="C514" i="3"/>
  <c r="D514" i="3"/>
  <c r="E514" i="3"/>
  <c r="B515" i="3"/>
  <c r="C515" i="3"/>
  <c r="D515" i="3"/>
  <c r="E515" i="3"/>
  <c r="B516" i="3"/>
  <c r="C516" i="3"/>
  <c r="D516" i="3"/>
  <c r="E516" i="3"/>
  <c r="B517" i="3"/>
  <c r="C517" i="3"/>
  <c r="D517" i="3"/>
  <c r="E517" i="3"/>
  <c r="B518" i="3"/>
  <c r="C518" i="3"/>
  <c r="D518" i="3"/>
  <c r="E518" i="3"/>
  <c r="B519" i="3"/>
  <c r="C519" i="3"/>
  <c r="D519" i="3"/>
  <c r="E519" i="3"/>
  <c r="B520" i="3"/>
  <c r="C520" i="3"/>
  <c r="D520" i="3"/>
  <c r="E520" i="3"/>
  <c r="B521" i="3"/>
  <c r="C521" i="3"/>
  <c r="D521" i="3"/>
  <c r="E521" i="3"/>
  <c r="B522" i="3"/>
  <c r="C522" i="3"/>
  <c r="D522" i="3"/>
  <c r="E522" i="3"/>
  <c r="B523" i="3"/>
  <c r="C523" i="3"/>
  <c r="D523" i="3"/>
  <c r="E523" i="3"/>
  <c r="B524" i="3"/>
  <c r="C524" i="3"/>
  <c r="D524" i="3"/>
  <c r="E524" i="3"/>
  <c r="B525" i="3"/>
  <c r="C525" i="3"/>
  <c r="D525" i="3"/>
  <c r="E525" i="3"/>
  <c r="B526" i="3"/>
  <c r="C526" i="3"/>
  <c r="D526" i="3"/>
  <c r="E526" i="3"/>
  <c r="B527" i="3"/>
  <c r="C527" i="3"/>
  <c r="D527" i="3"/>
  <c r="E527" i="3"/>
  <c r="B528" i="3"/>
  <c r="C528" i="3"/>
  <c r="D528" i="3"/>
  <c r="E528" i="3"/>
  <c r="B529" i="3"/>
  <c r="C529" i="3"/>
  <c r="D529" i="3"/>
  <c r="E529" i="3"/>
  <c r="B530" i="3"/>
  <c r="C530" i="3"/>
  <c r="D530" i="3"/>
  <c r="E530" i="3"/>
  <c r="B531" i="3"/>
  <c r="C531" i="3"/>
  <c r="D531" i="3"/>
  <c r="E531" i="3"/>
  <c r="B532" i="3"/>
  <c r="C532" i="3"/>
  <c r="D532" i="3"/>
  <c r="E532" i="3"/>
  <c r="B533" i="3"/>
  <c r="C533" i="3"/>
  <c r="D533" i="3"/>
  <c r="E533" i="3"/>
  <c r="B534" i="3"/>
  <c r="C534" i="3"/>
  <c r="D534" i="3"/>
  <c r="E534" i="3"/>
  <c r="B535" i="3"/>
  <c r="C535" i="3"/>
  <c r="D535" i="3"/>
  <c r="E535" i="3"/>
  <c r="B536" i="3"/>
  <c r="C536" i="3"/>
  <c r="D536" i="3"/>
  <c r="E536" i="3"/>
  <c r="B537" i="3"/>
  <c r="C537" i="3"/>
  <c r="D537" i="3"/>
  <c r="E537" i="3"/>
  <c r="B538" i="3"/>
  <c r="C538" i="3"/>
  <c r="D538" i="3"/>
  <c r="E538" i="3"/>
  <c r="B539" i="3"/>
  <c r="C539" i="3"/>
  <c r="D539" i="3"/>
  <c r="E539" i="3"/>
  <c r="B540" i="3"/>
  <c r="C540" i="3"/>
  <c r="D540" i="3"/>
  <c r="E540" i="3"/>
  <c r="B541" i="3"/>
  <c r="C541" i="3"/>
  <c r="D541" i="3"/>
  <c r="E541" i="3"/>
  <c r="B542" i="3"/>
  <c r="C542" i="3"/>
  <c r="D542" i="3"/>
  <c r="E542" i="3"/>
  <c r="B543" i="3"/>
  <c r="C543" i="3"/>
  <c r="D543" i="3"/>
  <c r="E543" i="3"/>
  <c r="B544" i="3"/>
  <c r="C544" i="3"/>
  <c r="D544" i="3"/>
  <c r="E544" i="3"/>
  <c r="B545" i="3"/>
  <c r="C545" i="3"/>
  <c r="D545" i="3"/>
  <c r="E545" i="3"/>
  <c r="B546" i="3"/>
  <c r="C546" i="3"/>
  <c r="D546" i="3"/>
  <c r="E546" i="3"/>
  <c r="B547" i="3"/>
  <c r="C547" i="3"/>
  <c r="D547" i="3"/>
  <c r="E547" i="3"/>
  <c r="B548" i="3"/>
  <c r="C548" i="3"/>
  <c r="D548" i="3"/>
  <c r="E548" i="3"/>
  <c r="B549" i="3"/>
  <c r="C549" i="3"/>
  <c r="D549" i="3"/>
  <c r="E549" i="3"/>
  <c r="B550" i="3"/>
  <c r="C550" i="3"/>
  <c r="D550" i="3"/>
  <c r="E550" i="3"/>
  <c r="B551" i="3"/>
  <c r="C551" i="3"/>
  <c r="D551" i="3"/>
  <c r="E551" i="3"/>
  <c r="B552" i="3"/>
  <c r="C552" i="3"/>
  <c r="D552" i="3"/>
  <c r="E552" i="3"/>
  <c r="B553" i="3"/>
  <c r="C553" i="3"/>
  <c r="D553" i="3"/>
  <c r="E553" i="3"/>
  <c r="B554" i="3"/>
  <c r="C554" i="3"/>
  <c r="D554" i="3"/>
  <c r="E554" i="3"/>
  <c r="B555" i="3"/>
  <c r="C555" i="3"/>
  <c r="D555" i="3"/>
  <c r="E555" i="3"/>
  <c r="B556" i="3"/>
  <c r="C556" i="3"/>
  <c r="D556" i="3"/>
  <c r="E556" i="3"/>
  <c r="B557" i="3"/>
  <c r="C557" i="3"/>
  <c r="D557" i="3"/>
  <c r="E557" i="3"/>
  <c r="B558" i="3"/>
  <c r="C558" i="3"/>
  <c r="D558" i="3"/>
  <c r="E558" i="3"/>
  <c r="B559" i="3"/>
  <c r="C559" i="3"/>
  <c r="D559" i="3"/>
  <c r="E559" i="3"/>
  <c r="B560" i="3"/>
  <c r="C560" i="3"/>
  <c r="D560" i="3"/>
  <c r="E560" i="3"/>
  <c r="B561" i="3"/>
  <c r="C561" i="3"/>
  <c r="D561" i="3"/>
  <c r="E561" i="3"/>
  <c r="B562" i="3"/>
  <c r="C562" i="3"/>
  <c r="D562" i="3"/>
  <c r="E562" i="3"/>
  <c r="B563" i="3"/>
  <c r="C563" i="3"/>
  <c r="D563" i="3"/>
  <c r="E563" i="3"/>
  <c r="B564" i="3"/>
  <c r="C564" i="3"/>
  <c r="D564" i="3"/>
  <c r="E564" i="3"/>
  <c r="B565" i="3"/>
  <c r="C565" i="3"/>
  <c r="D565" i="3"/>
  <c r="E565" i="3"/>
  <c r="B566" i="3"/>
  <c r="C566" i="3"/>
  <c r="D566" i="3"/>
  <c r="E566" i="3"/>
  <c r="B567" i="3"/>
  <c r="C567" i="3"/>
  <c r="D567" i="3"/>
  <c r="E567" i="3"/>
  <c r="B568" i="3"/>
  <c r="C568" i="3"/>
  <c r="D568" i="3"/>
  <c r="E568" i="3"/>
  <c r="B569" i="3"/>
  <c r="C569" i="3"/>
  <c r="D569" i="3"/>
  <c r="E569" i="3"/>
  <c r="B570" i="3"/>
  <c r="C570" i="3"/>
  <c r="D570" i="3"/>
  <c r="E570" i="3"/>
  <c r="B571" i="3"/>
  <c r="C571" i="3"/>
  <c r="D571" i="3"/>
  <c r="E571" i="3"/>
  <c r="B572" i="3"/>
  <c r="C572" i="3"/>
  <c r="D572" i="3"/>
  <c r="E572" i="3"/>
  <c r="B573" i="3"/>
  <c r="C573" i="3"/>
  <c r="D573" i="3"/>
  <c r="E573" i="3"/>
  <c r="B574" i="3"/>
  <c r="C574" i="3"/>
  <c r="D574" i="3"/>
  <c r="E574" i="3"/>
  <c r="B575" i="3"/>
  <c r="C575" i="3"/>
  <c r="D575" i="3"/>
  <c r="E575" i="3"/>
  <c r="B576" i="3"/>
  <c r="C576" i="3"/>
  <c r="D576" i="3"/>
  <c r="E576" i="3"/>
  <c r="B577" i="3"/>
  <c r="C577" i="3"/>
  <c r="D577" i="3"/>
  <c r="E577" i="3"/>
  <c r="B578" i="3"/>
  <c r="C578" i="3"/>
  <c r="D578" i="3"/>
  <c r="E578" i="3"/>
  <c r="B579" i="3"/>
  <c r="C579" i="3"/>
  <c r="D579" i="3"/>
  <c r="E579" i="3"/>
  <c r="B580" i="3"/>
  <c r="C580" i="3"/>
  <c r="D580" i="3"/>
  <c r="E580" i="3"/>
  <c r="B581" i="3"/>
  <c r="C581" i="3"/>
  <c r="D581" i="3"/>
  <c r="E581" i="3"/>
  <c r="B582" i="3"/>
  <c r="C582" i="3"/>
  <c r="D582" i="3"/>
  <c r="E582" i="3"/>
  <c r="B583" i="3"/>
  <c r="C583" i="3"/>
  <c r="D583" i="3"/>
  <c r="E583" i="3"/>
  <c r="B584" i="3"/>
  <c r="C584" i="3"/>
  <c r="D584" i="3"/>
  <c r="E584" i="3"/>
  <c r="B585" i="3"/>
  <c r="C585" i="3"/>
  <c r="D585" i="3"/>
  <c r="E585" i="3"/>
  <c r="B586" i="3"/>
  <c r="C586" i="3"/>
  <c r="D586" i="3"/>
  <c r="E586" i="3"/>
  <c r="B587" i="3"/>
  <c r="C587" i="3"/>
  <c r="D587" i="3"/>
  <c r="E587" i="3"/>
  <c r="B588" i="3"/>
  <c r="C588" i="3"/>
  <c r="D588" i="3"/>
  <c r="E588" i="3"/>
  <c r="B589" i="3"/>
  <c r="C589" i="3"/>
  <c r="D589" i="3"/>
  <c r="E589" i="3"/>
  <c r="B590" i="3"/>
  <c r="C590" i="3"/>
  <c r="D590" i="3"/>
  <c r="E590" i="3"/>
  <c r="B591" i="3"/>
  <c r="C591" i="3"/>
  <c r="D591" i="3"/>
  <c r="E591" i="3"/>
  <c r="B592" i="3"/>
  <c r="C592" i="3"/>
  <c r="D592" i="3"/>
  <c r="E592" i="3"/>
  <c r="B593" i="3"/>
  <c r="C593" i="3"/>
  <c r="D593" i="3"/>
  <c r="E593" i="3"/>
  <c r="B594" i="3"/>
  <c r="C594" i="3"/>
  <c r="D594" i="3"/>
  <c r="E594" i="3"/>
  <c r="B595" i="3"/>
  <c r="C595" i="3"/>
  <c r="D595" i="3"/>
  <c r="E595" i="3"/>
  <c r="B596" i="3"/>
  <c r="C596" i="3"/>
  <c r="D596" i="3"/>
  <c r="E596" i="3"/>
  <c r="B597" i="3"/>
  <c r="C597" i="3"/>
  <c r="D597" i="3"/>
  <c r="E597" i="3"/>
  <c r="B598" i="3"/>
  <c r="C598" i="3"/>
  <c r="D598" i="3"/>
  <c r="E598" i="3"/>
  <c r="B599" i="3"/>
  <c r="C599" i="3"/>
  <c r="D599" i="3"/>
  <c r="E599" i="3"/>
  <c r="B600" i="3"/>
  <c r="C600" i="3"/>
  <c r="D600" i="3"/>
  <c r="E600" i="3"/>
  <c r="B601" i="3"/>
  <c r="C601" i="3"/>
  <c r="D601" i="3"/>
  <c r="E601" i="3"/>
  <c r="B602" i="3"/>
  <c r="C602" i="3"/>
  <c r="D602" i="3"/>
  <c r="E602" i="3"/>
  <c r="B603" i="3"/>
  <c r="C603" i="3"/>
  <c r="D603" i="3"/>
  <c r="E603" i="3"/>
  <c r="B604" i="3"/>
  <c r="C604" i="3"/>
  <c r="D604" i="3"/>
  <c r="E604" i="3"/>
  <c r="B605" i="3"/>
  <c r="C605" i="3"/>
  <c r="D605" i="3"/>
  <c r="E605" i="3"/>
  <c r="B606" i="3"/>
  <c r="C606" i="3"/>
  <c r="D606" i="3"/>
  <c r="E606" i="3"/>
  <c r="B607" i="3"/>
  <c r="C607" i="3"/>
  <c r="D607" i="3"/>
  <c r="E607" i="3"/>
  <c r="B608" i="3"/>
  <c r="C608" i="3"/>
  <c r="D608" i="3"/>
  <c r="E608" i="3"/>
  <c r="B609" i="3"/>
  <c r="C609" i="3"/>
  <c r="D609" i="3"/>
  <c r="E609" i="3"/>
  <c r="B610" i="3"/>
  <c r="C610" i="3"/>
  <c r="D610" i="3"/>
  <c r="E610" i="3"/>
  <c r="B611" i="3"/>
  <c r="C611" i="3"/>
  <c r="D611" i="3"/>
  <c r="E611" i="3"/>
  <c r="B612" i="3"/>
  <c r="C612" i="3"/>
  <c r="D612" i="3"/>
  <c r="E612" i="3"/>
  <c r="B613" i="3"/>
  <c r="C613" i="3"/>
  <c r="D613" i="3"/>
  <c r="E613" i="3"/>
  <c r="B614" i="3"/>
  <c r="C614" i="3"/>
  <c r="D614" i="3"/>
  <c r="E614" i="3"/>
  <c r="B615" i="3"/>
  <c r="C615" i="3"/>
  <c r="D615" i="3"/>
  <c r="E615" i="3"/>
  <c r="B616" i="3"/>
  <c r="C616" i="3"/>
  <c r="D616" i="3"/>
  <c r="E616" i="3"/>
  <c r="B617" i="3"/>
  <c r="C617" i="3"/>
  <c r="D617" i="3"/>
  <c r="E617" i="3"/>
  <c r="B618" i="3"/>
  <c r="C618" i="3"/>
  <c r="D618" i="3"/>
  <c r="E618" i="3"/>
  <c r="B619" i="3"/>
  <c r="C619" i="3"/>
  <c r="D619" i="3"/>
  <c r="E619" i="3"/>
  <c r="B620" i="3"/>
  <c r="C620" i="3"/>
  <c r="D620" i="3"/>
  <c r="E620" i="3"/>
  <c r="B621" i="3"/>
  <c r="C621" i="3"/>
  <c r="D621" i="3"/>
  <c r="E621" i="3"/>
  <c r="B622" i="3"/>
  <c r="C622" i="3"/>
  <c r="D622" i="3"/>
  <c r="E622" i="3"/>
  <c r="B623" i="3"/>
  <c r="C623" i="3"/>
  <c r="D623" i="3"/>
  <c r="E623" i="3"/>
  <c r="B624" i="3"/>
  <c r="C624" i="3"/>
  <c r="D624" i="3"/>
  <c r="E624" i="3"/>
  <c r="B625" i="3"/>
  <c r="C625" i="3"/>
  <c r="D625" i="3"/>
  <c r="E625" i="3"/>
  <c r="B626" i="3"/>
  <c r="C626" i="3"/>
  <c r="D626" i="3"/>
  <c r="E626" i="3"/>
  <c r="B627" i="3"/>
  <c r="C627" i="3"/>
  <c r="D627" i="3"/>
  <c r="E627" i="3"/>
  <c r="B628" i="3"/>
  <c r="C628" i="3"/>
  <c r="D628" i="3"/>
  <c r="E628" i="3"/>
  <c r="B629" i="3"/>
  <c r="C629" i="3"/>
  <c r="D629" i="3"/>
  <c r="E629" i="3"/>
  <c r="B630" i="3"/>
  <c r="C630" i="3"/>
  <c r="D630" i="3"/>
  <c r="E630" i="3"/>
  <c r="B631" i="3"/>
  <c r="C631" i="3"/>
  <c r="D631" i="3"/>
  <c r="E631" i="3"/>
  <c r="B632" i="3"/>
  <c r="C632" i="3"/>
  <c r="D632" i="3"/>
  <c r="E632" i="3"/>
  <c r="B633" i="3"/>
  <c r="C633" i="3"/>
  <c r="D633" i="3"/>
  <c r="E633" i="3"/>
  <c r="B634" i="3"/>
  <c r="C634" i="3"/>
  <c r="D634" i="3"/>
  <c r="E634" i="3"/>
  <c r="B635" i="3"/>
  <c r="C635" i="3"/>
  <c r="D635" i="3"/>
  <c r="E635" i="3"/>
  <c r="B636" i="3"/>
  <c r="C636" i="3"/>
  <c r="D636" i="3"/>
  <c r="E636" i="3"/>
  <c r="B637" i="3"/>
  <c r="C637" i="3"/>
  <c r="D637" i="3"/>
  <c r="E637" i="3"/>
  <c r="B638" i="3"/>
  <c r="C638" i="3"/>
  <c r="D638" i="3"/>
  <c r="E638" i="3"/>
  <c r="B639" i="3"/>
  <c r="C639" i="3"/>
  <c r="D639" i="3"/>
  <c r="E639" i="3"/>
  <c r="B640" i="3"/>
  <c r="C640" i="3"/>
  <c r="D640" i="3"/>
  <c r="E640" i="3"/>
  <c r="B641" i="3"/>
  <c r="C641" i="3"/>
  <c r="D641" i="3"/>
  <c r="E641" i="3"/>
  <c r="B642" i="3"/>
  <c r="C642" i="3"/>
  <c r="D642" i="3"/>
  <c r="E642" i="3"/>
  <c r="B643" i="3"/>
  <c r="C643" i="3"/>
  <c r="D643" i="3"/>
  <c r="E643" i="3"/>
  <c r="B644" i="3"/>
  <c r="C644" i="3"/>
  <c r="D644" i="3"/>
  <c r="E644" i="3"/>
  <c r="B645" i="3"/>
  <c r="C645" i="3"/>
  <c r="D645" i="3"/>
  <c r="E645" i="3"/>
  <c r="B646" i="3"/>
  <c r="C646" i="3"/>
  <c r="D646" i="3"/>
  <c r="E646" i="3"/>
  <c r="B647" i="3"/>
  <c r="C647" i="3"/>
  <c r="D647" i="3"/>
  <c r="E647" i="3"/>
  <c r="B648" i="3"/>
  <c r="C648" i="3"/>
  <c r="D648" i="3"/>
  <c r="E648" i="3"/>
  <c r="B649" i="3"/>
  <c r="C649" i="3"/>
  <c r="D649" i="3"/>
  <c r="E649" i="3"/>
  <c r="B650" i="3"/>
  <c r="C650" i="3"/>
  <c r="D650" i="3"/>
  <c r="E650" i="3"/>
  <c r="B651" i="3"/>
  <c r="C651" i="3"/>
  <c r="D651" i="3"/>
  <c r="E651" i="3"/>
  <c r="B652" i="3"/>
  <c r="C652" i="3"/>
  <c r="D652" i="3"/>
  <c r="E652" i="3"/>
  <c r="B653" i="3"/>
  <c r="C653" i="3"/>
  <c r="D653" i="3"/>
  <c r="E653" i="3"/>
  <c r="B654" i="3"/>
  <c r="C654" i="3"/>
  <c r="D654" i="3"/>
  <c r="E654" i="3"/>
  <c r="B655" i="3"/>
  <c r="C655" i="3"/>
  <c r="D655" i="3"/>
  <c r="E655" i="3"/>
  <c r="B656" i="3"/>
  <c r="C656" i="3"/>
  <c r="D656" i="3"/>
  <c r="E656" i="3"/>
  <c r="B657" i="3"/>
  <c r="C657" i="3"/>
  <c r="D657" i="3"/>
  <c r="E657" i="3"/>
  <c r="B658" i="3"/>
  <c r="C658" i="3"/>
  <c r="D658" i="3"/>
  <c r="E658" i="3"/>
  <c r="B659" i="3"/>
  <c r="C659" i="3"/>
  <c r="D659" i="3"/>
  <c r="E659" i="3"/>
  <c r="B660" i="3"/>
  <c r="C660" i="3"/>
  <c r="D660" i="3"/>
  <c r="E660" i="3"/>
  <c r="B661" i="3"/>
  <c r="C661" i="3"/>
  <c r="D661" i="3"/>
  <c r="E661" i="3"/>
  <c r="B662" i="3"/>
  <c r="C662" i="3"/>
  <c r="D662" i="3"/>
  <c r="E662" i="3"/>
  <c r="B663" i="3"/>
  <c r="C663" i="3"/>
  <c r="D663" i="3"/>
  <c r="E663" i="3"/>
  <c r="B664" i="3"/>
  <c r="C664" i="3"/>
  <c r="D664" i="3"/>
  <c r="E664" i="3"/>
  <c r="B665" i="3"/>
  <c r="C665" i="3"/>
  <c r="D665" i="3"/>
  <c r="E665" i="3"/>
  <c r="B666" i="3"/>
  <c r="C666" i="3"/>
  <c r="D666" i="3"/>
  <c r="E666" i="3"/>
  <c r="B667" i="3"/>
  <c r="C667" i="3"/>
  <c r="D667" i="3"/>
  <c r="E667" i="3"/>
  <c r="B668" i="3"/>
  <c r="C668" i="3"/>
  <c r="D668" i="3"/>
  <c r="E668" i="3"/>
  <c r="B669" i="3"/>
  <c r="C669" i="3"/>
  <c r="D669" i="3"/>
  <c r="E669" i="3"/>
  <c r="B670" i="3"/>
  <c r="C670" i="3"/>
  <c r="D670" i="3"/>
  <c r="E670" i="3"/>
  <c r="B671" i="3"/>
  <c r="C671" i="3"/>
  <c r="D671" i="3"/>
  <c r="E671" i="3"/>
  <c r="B672" i="3"/>
  <c r="C672" i="3"/>
  <c r="D672" i="3"/>
  <c r="E672" i="3"/>
  <c r="B673" i="3"/>
  <c r="C673" i="3"/>
  <c r="D673" i="3"/>
  <c r="E673" i="3"/>
  <c r="B674" i="3"/>
  <c r="C674" i="3"/>
  <c r="D674" i="3"/>
  <c r="E674" i="3"/>
  <c r="B675" i="3"/>
  <c r="C675" i="3"/>
  <c r="D675" i="3"/>
  <c r="E675" i="3"/>
  <c r="B676" i="3"/>
  <c r="C676" i="3"/>
  <c r="D676" i="3"/>
  <c r="E676" i="3"/>
  <c r="B677" i="3"/>
  <c r="C677" i="3"/>
  <c r="D677" i="3"/>
  <c r="E677" i="3"/>
  <c r="B678" i="3"/>
  <c r="C678" i="3"/>
  <c r="D678" i="3"/>
  <c r="E678" i="3"/>
  <c r="B679" i="3"/>
  <c r="C679" i="3"/>
  <c r="D679" i="3"/>
  <c r="E679" i="3"/>
  <c r="B680" i="3"/>
  <c r="C680" i="3"/>
  <c r="D680" i="3"/>
  <c r="E680" i="3"/>
  <c r="B681" i="3"/>
  <c r="C681" i="3"/>
  <c r="D681" i="3"/>
  <c r="E681" i="3"/>
  <c r="B682" i="3"/>
  <c r="C682" i="3"/>
  <c r="D682" i="3"/>
  <c r="E682" i="3"/>
  <c r="B683" i="3"/>
  <c r="C683" i="3"/>
  <c r="D683" i="3"/>
  <c r="E683" i="3"/>
  <c r="B684" i="3"/>
  <c r="C684" i="3"/>
  <c r="D684" i="3"/>
  <c r="E684" i="3"/>
  <c r="B685" i="3"/>
  <c r="C685" i="3"/>
  <c r="D685" i="3"/>
  <c r="E685" i="3"/>
  <c r="B686" i="3"/>
  <c r="C686" i="3"/>
  <c r="D686" i="3"/>
  <c r="E686" i="3"/>
  <c r="B687" i="3"/>
  <c r="C687" i="3"/>
  <c r="D687" i="3"/>
  <c r="E687" i="3"/>
  <c r="B688" i="3"/>
  <c r="C688" i="3"/>
  <c r="D688" i="3"/>
  <c r="E688" i="3"/>
  <c r="B689" i="3"/>
  <c r="C689" i="3"/>
  <c r="D689" i="3"/>
  <c r="E689" i="3"/>
  <c r="B690" i="3"/>
  <c r="C690" i="3"/>
  <c r="D690" i="3"/>
  <c r="E690" i="3"/>
  <c r="B691" i="3"/>
  <c r="C691" i="3"/>
  <c r="D691" i="3"/>
  <c r="E691" i="3"/>
  <c r="B692" i="3"/>
  <c r="C692" i="3"/>
  <c r="D692" i="3"/>
  <c r="E692" i="3"/>
  <c r="B693" i="3"/>
  <c r="C693" i="3"/>
  <c r="D693" i="3"/>
  <c r="E693" i="3"/>
  <c r="B694" i="3"/>
  <c r="C694" i="3"/>
  <c r="D694" i="3"/>
  <c r="E694" i="3"/>
  <c r="B695" i="3"/>
  <c r="C695" i="3"/>
  <c r="D695" i="3"/>
  <c r="E695" i="3"/>
  <c r="B696" i="3"/>
  <c r="C696" i="3"/>
  <c r="D696" i="3"/>
  <c r="E696" i="3"/>
  <c r="B697" i="3"/>
  <c r="C697" i="3"/>
  <c r="D697" i="3"/>
  <c r="E697" i="3"/>
  <c r="B698" i="3"/>
  <c r="C698" i="3"/>
  <c r="D698" i="3"/>
  <c r="E698" i="3"/>
  <c r="B699" i="3"/>
  <c r="C699" i="3"/>
  <c r="D699" i="3"/>
  <c r="E699" i="3"/>
  <c r="B700" i="3"/>
  <c r="C700" i="3"/>
  <c r="D700" i="3"/>
  <c r="E700" i="3"/>
  <c r="B701" i="3"/>
  <c r="C701" i="3"/>
  <c r="D701" i="3"/>
  <c r="E701" i="3"/>
  <c r="B702" i="3"/>
  <c r="C702" i="3"/>
  <c r="D702" i="3"/>
  <c r="E702" i="3"/>
  <c r="B703" i="3"/>
  <c r="C703" i="3"/>
  <c r="D703" i="3"/>
  <c r="E703" i="3"/>
  <c r="B704" i="3"/>
  <c r="C704" i="3"/>
  <c r="D704" i="3"/>
  <c r="E704" i="3"/>
  <c r="B705" i="3"/>
  <c r="C705" i="3"/>
  <c r="D705" i="3"/>
  <c r="E705" i="3"/>
  <c r="B706" i="3"/>
  <c r="C706" i="3"/>
  <c r="D706" i="3"/>
  <c r="E706" i="3"/>
  <c r="B707" i="3"/>
  <c r="C707" i="3"/>
  <c r="D707" i="3"/>
  <c r="E707" i="3"/>
  <c r="B708" i="3"/>
  <c r="C708" i="3"/>
  <c r="D708" i="3"/>
  <c r="E708" i="3"/>
  <c r="B709" i="3"/>
  <c r="C709" i="3"/>
  <c r="D709" i="3"/>
  <c r="E709" i="3"/>
  <c r="B710" i="3"/>
  <c r="C710" i="3"/>
  <c r="D710" i="3"/>
  <c r="E710" i="3"/>
  <c r="B711" i="3"/>
  <c r="C711" i="3"/>
  <c r="D711" i="3"/>
  <c r="E711" i="3"/>
  <c r="B712" i="3"/>
  <c r="C712" i="3"/>
  <c r="D712" i="3"/>
  <c r="E712" i="3"/>
  <c r="B713" i="3"/>
  <c r="C713" i="3"/>
  <c r="D713" i="3"/>
  <c r="E713" i="3"/>
  <c r="B714" i="3"/>
  <c r="C714" i="3"/>
  <c r="D714" i="3"/>
  <c r="E714" i="3"/>
  <c r="B715" i="3"/>
  <c r="C715" i="3"/>
  <c r="D715" i="3"/>
  <c r="E715" i="3"/>
  <c r="B716" i="3"/>
  <c r="C716" i="3"/>
  <c r="D716" i="3"/>
  <c r="E716" i="3"/>
  <c r="B717" i="3"/>
  <c r="C717" i="3"/>
  <c r="D717" i="3"/>
  <c r="E717" i="3"/>
  <c r="B718" i="3"/>
  <c r="C718" i="3"/>
  <c r="D718" i="3"/>
  <c r="E718" i="3"/>
  <c r="B719" i="3"/>
  <c r="C719" i="3"/>
  <c r="D719" i="3"/>
  <c r="E719" i="3"/>
  <c r="B720" i="3"/>
  <c r="C720" i="3"/>
  <c r="D720" i="3"/>
  <c r="E720" i="3"/>
  <c r="B721" i="3"/>
  <c r="C721" i="3"/>
  <c r="D721" i="3"/>
  <c r="E721" i="3"/>
  <c r="B722" i="3"/>
  <c r="C722" i="3"/>
  <c r="D722" i="3"/>
  <c r="E722" i="3"/>
  <c r="B723" i="3"/>
  <c r="C723" i="3"/>
  <c r="D723" i="3"/>
  <c r="E723" i="3"/>
  <c r="B724" i="3"/>
  <c r="C724" i="3"/>
  <c r="D724" i="3"/>
  <c r="E724" i="3"/>
  <c r="B725" i="3"/>
  <c r="C725" i="3"/>
  <c r="D725" i="3"/>
  <c r="E725" i="3"/>
  <c r="B726" i="3"/>
  <c r="C726" i="3"/>
  <c r="D726" i="3"/>
  <c r="E726" i="3"/>
  <c r="B727" i="3"/>
  <c r="C727" i="3"/>
  <c r="D727" i="3"/>
  <c r="E727" i="3"/>
  <c r="B728" i="3"/>
  <c r="C728" i="3"/>
  <c r="D728" i="3"/>
  <c r="E728" i="3"/>
  <c r="B729" i="3"/>
  <c r="C729" i="3"/>
  <c r="D729" i="3"/>
  <c r="E729" i="3"/>
  <c r="B730" i="3"/>
  <c r="C730" i="3"/>
  <c r="D730" i="3"/>
  <c r="E730" i="3"/>
  <c r="B731" i="3"/>
  <c r="C731" i="3"/>
  <c r="D731" i="3"/>
  <c r="E731" i="3"/>
  <c r="B732" i="3"/>
  <c r="C732" i="3"/>
  <c r="D732" i="3"/>
  <c r="E732" i="3"/>
  <c r="B733" i="3"/>
  <c r="C733" i="3"/>
  <c r="D733" i="3"/>
  <c r="E733" i="3"/>
  <c r="B734" i="3"/>
  <c r="C734" i="3"/>
  <c r="D734" i="3"/>
  <c r="E734" i="3"/>
  <c r="B735" i="3"/>
  <c r="C735" i="3"/>
  <c r="D735" i="3"/>
  <c r="E735" i="3"/>
  <c r="B736" i="3"/>
  <c r="C736" i="3"/>
  <c r="D736" i="3"/>
  <c r="E736" i="3"/>
  <c r="B737" i="3"/>
  <c r="C737" i="3"/>
  <c r="D737" i="3"/>
  <c r="E737" i="3"/>
  <c r="B738" i="3"/>
  <c r="C738" i="3"/>
  <c r="D738" i="3"/>
  <c r="E738" i="3"/>
  <c r="B739" i="3"/>
  <c r="C739" i="3"/>
  <c r="D739" i="3"/>
  <c r="E739" i="3"/>
  <c r="B740" i="3"/>
  <c r="C740" i="3"/>
  <c r="D740" i="3"/>
  <c r="E740" i="3"/>
  <c r="B741" i="3"/>
  <c r="C741" i="3"/>
  <c r="D741" i="3"/>
  <c r="E741" i="3"/>
  <c r="B742" i="3"/>
  <c r="C742" i="3"/>
  <c r="D742" i="3"/>
  <c r="E742" i="3"/>
  <c r="B743" i="3"/>
  <c r="C743" i="3"/>
  <c r="D743" i="3"/>
  <c r="E743" i="3"/>
  <c r="B744" i="3"/>
  <c r="C744" i="3"/>
  <c r="D744" i="3"/>
  <c r="E744" i="3"/>
  <c r="B745" i="3"/>
  <c r="C745" i="3"/>
  <c r="D745" i="3"/>
  <c r="E745" i="3"/>
  <c r="B746" i="3"/>
  <c r="C746" i="3"/>
  <c r="D746" i="3"/>
  <c r="E746" i="3"/>
  <c r="B747" i="3"/>
  <c r="C747" i="3"/>
  <c r="D747" i="3"/>
  <c r="E747" i="3"/>
  <c r="B748" i="3"/>
  <c r="C748" i="3"/>
  <c r="D748" i="3"/>
  <c r="E748" i="3"/>
  <c r="B749" i="3"/>
  <c r="C749" i="3"/>
  <c r="D749" i="3"/>
  <c r="E749" i="3"/>
  <c r="B750" i="3"/>
  <c r="C750" i="3"/>
  <c r="D750" i="3"/>
  <c r="E750" i="3"/>
  <c r="B751" i="3"/>
  <c r="C751" i="3"/>
  <c r="D751" i="3"/>
  <c r="E751" i="3"/>
  <c r="B752" i="3"/>
  <c r="C752" i="3"/>
  <c r="D752" i="3"/>
  <c r="E752" i="3"/>
  <c r="B753" i="3"/>
  <c r="C753" i="3"/>
  <c r="D753" i="3"/>
  <c r="E753" i="3"/>
  <c r="B754" i="3"/>
  <c r="C754" i="3"/>
  <c r="D754" i="3"/>
  <c r="E754" i="3"/>
  <c r="B755" i="3"/>
  <c r="C755" i="3"/>
  <c r="D755" i="3"/>
  <c r="E755" i="3"/>
  <c r="B756" i="3"/>
  <c r="C756" i="3"/>
  <c r="D756" i="3"/>
  <c r="E756" i="3"/>
  <c r="B757" i="3"/>
  <c r="C757" i="3"/>
  <c r="D757" i="3"/>
  <c r="E757" i="3"/>
  <c r="B758" i="3"/>
  <c r="C758" i="3"/>
  <c r="D758" i="3"/>
  <c r="E758" i="3"/>
  <c r="B759" i="3"/>
  <c r="C759" i="3"/>
  <c r="D759" i="3"/>
  <c r="E759" i="3"/>
  <c r="B760" i="3"/>
  <c r="C760" i="3"/>
  <c r="D760" i="3"/>
  <c r="E760" i="3"/>
  <c r="B761" i="3"/>
  <c r="C761" i="3"/>
  <c r="D761" i="3"/>
  <c r="E761" i="3"/>
  <c r="B762" i="3"/>
  <c r="C762" i="3"/>
  <c r="D762" i="3"/>
  <c r="E762" i="3"/>
  <c r="B763" i="3"/>
  <c r="C763" i="3"/>
  <c r="D763" i="3"/>
  <c r="E763" i="3"/>
  <c r="B764" i="3"/>
  <c r="C764" i="3"/>
  <c r="D764" i="3"/>
  <c r="E764" i="3"/>
  <c r="B765" i="3"/>
  <c r="C765" i="3"/>
  <c r="D765" i="3"/>
  <c r="E765" i="3"/>
  <c r="B766" i="3"/>
  <c r="C766" i="3"/>
  <c r="D766" i="3"/>
  <c r="E766" i="3"/>
  <c r="B767" i="3"/>
  <c r="C767" i="3"/>
  <c r="D767" i="3"/>
  <c r="E767" i="3"/>
  <c r="B768" i="3"/>
  <c r="C768" i="3"/>
  <c r="D768" i="3"/>
  <c r="E768" i="3"/>
  <c r="B769" i="3"/>
  <c r="C769" i="3"/>
  <c r="D769" i="3"/>
  <c r="E769" i="3"/>
  <c r="B770" i="3"/>
  <c r="C770" i="3"/>
  <c r="D770" i="3"/>
  <c r="E770" i="3"/>
  <c r="B771" i="3"/>
  <c r="C771" i="3"/>
  <c r="D771" i="3"/>
  <c r="E771" i="3"/>
  <c r="B772" i="3"/>
  <c r="C772" i="3"/>
  <c r="D772" i="3"/>
  <c r="E772" i="3"/>
  <c r="B773" i="3"/>
  <c r="C773" i="3"/>
  <c r="D773" i="3"/>
  <c r="E773" i="3"/>
  <c r="B774" i="3"/>
  <c r="C774" i="3"/>
  <c r="D774" i="3"/>
  <c r="E774" i="3"/>
  <c r="B775" i="3"/>
  <c r="C775" i="3"/>
  <c r="D775" i="3"/>
  <c r="E775" i="3"/>
  <c r="B776" i="3"/>
  <c r="C776" i="3"/>
  <c r="D776" i="3"/>
  <c r="E776" i="3"/>
  <c r="B777" i="3"/>
  <c r="C777" i="3"/>
  <c r="D777" i="3"/>
  <c r="E777" i="3"/>
  <c r="B778" i="3"/>
  <c r="C778" i="3"/>
  <c r="D778" i="3"/>
  <c r="E778" i="3"/>
  <c r="B779" i="3"/>
  <c r="C779" i="3"/>
  <c r="D779" i="3"/>
  <c r="E779" i="3"/>
  <c r="B780" i="3"/>
  <c r="C780" i="3"/>
  <c r="D780" i="3"/>
  <c r="E780" i="3"/>
  <c r="B781" i="3"/>
  <c r="C781" i="3"/>
  <c r="D781" i="3"/>
  <c r="E781" i="3"/>
  <c r="B782" i="3"/>
  <c r="C782" i="3"/>
  <c r="D782" i="3"/>
  <c r="E782" i="3"/>
  <c r="B783" i="3"/>
  <c r="C783" i="3"/>
  <c r="D783" i="3"/>
  <c r="E783" i="3"/>
  <c r="B784" i="3"/>
  <c r="C784" i="3"/>
  <c r="D784" i="3"/>
  <c r="E784" i="3"/>
  <c r="B785" i="3"/>
  <c r="C785" i="3"/>
  <c r="D785" i="3"/>
  <c r="E785" i="3"/>
  <c r="B786" i="3"/>
  <c r="C786" i="3"/>
  <c r="D786" i="3"/>
  <c r="E786" i="3"/>
  <c r="B787" i="3"/>
  <c r="C787" i="3"/>
  <c r="D787" i="3"/>
  <c r="E787" i="3"/>
  <c r="B788" i="3"/>
  <c r="C788" i="3"/>
  <c r="D788" i="3"/>
  <c r="E788" i="3"/>
  <c r="B789" i="3"/>
  <c r="C789" i="3"/>
  <c r="D789" i="3"/>
  <c r="E789" i="3"/>
  <c r="B790" i="3"/>
  <c r="C790" i="3"/>
  <c r="D790" i="3"/>
  <c r="E790" i="3"/>
  <c r="B791" i="3"/>
  <c r="C791" i="3"/>
  <c r="D791" i="3"/>
  <c r="E791" i="3"/>
  <c r="B792" i="3"/>
  <c r="C792" i="3"/>
  <c r="D792" i="3"/>
  <c r="E792" i="3"/>
  <c r="B793" i="3"/>
  <c r="C793" i="3"/>
  <c r="D793" i="3"/>
  <c r="E793" i="3"/>
  <c r="B794" i="3"/>
  <c r="C794" i="3"/>
  <c r="D794" i="3"/>
  <c r="E794" i="3"/>
  <c r="B795" i="3"/>
  <c r="C795" i="3"/>
  <c r="D795" i="3"/>
  <c r="E795" i="3"/>
  <c r="B796" i="3"/>
  <c r="C796" i="3"/>
  <c r="D796" i="3"/>
  <c r="E796" i="3"/>
  <c r="B797" i="3"/>
  <c r="C797" i="3"/>
  <c r="D797" i="3"/>
  <c r="E797" i="3"/>
  <c r="B798" i="3"/>
  <c r="C798" i="3"/>
  <c r="D798" i="3"/>
  <c r="E798" i="3"/>
  <c r="B799" i="3"/>
  <c r="C799" i="3"/>
  <c r="D799" i="3"/>
  <c r="E799" i="3"/>
  <c r="B800" i="3"/>
  <c r="C800" i="3"/>
  <c r="D800" i="3"/>
  <c r="E800" i="3"/>
  <c r="B801" i="3"/>
  <c r="C801" i="3"/>
  <c r="D801" i="3"/>
  <c r="E801" i="3"/>
  <c r="B802" i="3"/>
  <c r="C802" i="3"/>
  <c r="D802" i="3"/>
  <c r="E802" i="3"/>
  <c r="B803" i="3"/>
  <c r="C803" i="3"/>
  <c r="D803" i="3"/>
  <c r="E803" i="3"/>
  <c r="B804" i="3"/>
  <c r="C804" i="3"/>
  <c r="D804" i="3"/>
  <c r="E804" i="3"/>
  <c r="B805" i="3"/>
  <c r="C805" i="3"/>
  <c r="D805" i="3"/>
  <c r="E805" i="3"/>
  <c r="B806" i="3"/>
  <c r="C806" i="3"/>
  <c r="D806" i="3"/>
  <c r="E806" i="3"/>
  <c r="B807" i="3"/>
  <c r="C807" i="3"/>
  <c r="D807" i="3"/>
  <c r="E807" i="3"/>
  <c r="B808" i="3"/>
  <c r="C808" i="3"/>
  <c r="D808" i="3"/>
  <c r="E808" i="3"/>
  <c r="B809" i="3"/>
  <c r="C809" i="3"/>
  <c r="D809" i="3"/>
  <c r="E809" i="3"/>
  <c r="B810" i="3"/>
  <c r="C810" i="3"/>
  <c r="D810" i="3"/>
  <c r="E810" i="3"/>
  <c r="B811" i="3"/>
  <c r="C811" i="3"/>
  <c r="D811" i="3"/>
  <c r="E811" i="3"/>
  <c r="B812" i="3"/>
  <c r="C812" i="3"/>
  <c r="D812" i="3"/>
  <c r="E812" i="3"/>
  <c r="B813" i="3"/>
  <c r="C813" i="3"/>
  <c r="D813" i="3"/>
  <c r="E813" i="3"/>
  <c r="B814" i="3"/>
  <c r="C814" i="3"/>
  <c r="D814" i="3"/>
  <c r="E814" i="3"/>
  <c r="B815" i="3"/>
  <c r="C815" i="3"/>
  <c r="D815" i="3"/>
  <c r="E815" i="3"/>
  <c r="B816" i="3"/>
  <c r="C816" i="3"/>
  <c r="D816" i="3"/>
  <c r="E816" i="3"/>
  <c r="B817" i="3"/>
  <c r="C817" i="3"/>
  <c r="D817" i="3"/>
  <c r="E817" i="3"/>
  <c r="B818" i="3"/>
  <c r="C818" i="3"/>
  <c r="D818" i="3"/>
  <c r="E818" i="3"/>
  <c r="B819" i="3"/>
  <c r="C819" i="3"/>
  <c r="D819" i="3"/>
  <c r="E819" i="3"/>
  <c r="B820" i="3"/>
  <c r="C820" i="3"/>
  <c r="D820" i="3"/>
  <c r="E820" i="3"/>
  <c r="B821" i="3"/>
  <c r="C821" i="3"/>
  <c r="D821" i="3"/>
  <c r="E821" i="3"/>
  <c r="B822" i="3"/>
  <c r="C822" i="3"/>
  <c r="D822" i="3"/>
  <c r="E822" i="3"/>
  <c r="B823" i="3"/>
  <c r="C823" i="3"/>
  <c r="D823" i="3"/>
  <c r="E823" i="3"/>
  <c r="B824" i="3"/>
  <c r="C824" i="3"/>
  <c r="D824" i="3"/>
  <c r="E824" i="3"/>
  <c r="B825" i="3"/>
  <c r="C825" i="3"/>
  <c r="D825" i="3"/>
  <c r="E825" i="3"/>
  <c r="B826" i="3"/>
  <c r="C826" i="3"/>
  <c r="D826" i="3"/>
  <c r="E826" i="3"/>
  <c r="B827" i="3"/>
  <c r="C827" i="3"/>
  <c r="D827" i="3"/>
  <c r="E827" i="3"/>
  <c r="B828" i="3"/>
  <c r="C828" i="3"/>
  <c r="D828" i="3"/>
  <c r="E828" i="3"/>
  <c r="B829" i="3"/>
  <c r="C829" i="3"/>
  <c r="D829" i="3"/>
  <c r="E829" i="3"/>
  <c r="B830" i="3"/>
  <c r="C830" i="3"/>
  <c r="D830" i="3"/>
  <c r="E830" i="3"/>
  <c r="B831" i="3"/>
  <c r="C831" i="3"/>
  <c r="D831" i="3"/>
  <c r="E831" i="3"/>
  <c r="B832" i="3"/>
  <c r="C832" i="3"/>
  <c r="D832" i="3"/>
  <c r="E832" i="3"/>
  <c r="B833" i="3"/>
  <c r="C833" i="3"/>
  <c r="D833" i="3"/>
  <c r="E833" i="3"/>
  <c r="B834" i="3"/>
  <c r="C834" i="3"/>
  <c r="D834" i="3"/>
  <c r="E834" i="3"/>
  <c r="B835" i="3"/>
  <c r="C835" i="3"/>
  <c r="D835" i="3"/>
  <c r="E835" i="3"/>
  <c r="B836" i="3"/>
  <c r="C836" i="3"/>
  <c r="D836" i="3"/>
  <c r="E836" i="3"/>
  <c r="B837" i="3"/>
  <c r="C837" i="3"/>
  <c r="D837" i="3"/>
  <c r="E837" i="3"/>
  <c r="B838" i="3"/>
  <c r="C838" i="3"/>
  <c r="D838" i="3"/>
  <c r="E838" i="3"/>
  <c r="B839" i="3"/>
  <c r="C839" i="3"/>
  <c r="D839" i="3"/>
  <c r="E839" i="3"/>
  <c r="B840" i="3"/>
  <c r="C840" i="3"/>
  <c r="D840" i="3"/>
  <c r="E840" i="3"/>
  <c r="B841" i="3"/>
  <c r="C841" i="3"/>
  <c r="D841" i="3"/>
  <c r="E841" i="3"/>
  <c r="B842" i="3"/>
  <c r="C842" i="3"/>
  <c r="D842" i="3"/>
  <c r="E842" i="3"/>
  <c r="B843" i="3"/>
  <c r="C843" i="3"/>
  <c r="D843" i="3"/>
  <c r="E843" i="3"/>
  <c r="B844" i="3"/>
  <c r="C844" i="3"/>
  <c r="D844" i="3"/>
  <c r="E844" i="3"/>
  <c r="B845" i="3"/>
  <c r="C845" i="3"/>
  <c r="D845" i="3"/>
  <c r="E845" i="3"/>
  <c r="B846" i="3"/>
  <c r="C846" i="3"/>
  <c r="D846" i="3"/>
  <c r="E846" i="3"/>
  <c r="B847" i="3"/>
  <c r="C847" i="3"/>
  <c r="D847" i="3"/>
  <c r="E847" i="3"/>
  <c r="B848" i="3"/>
  <c r="C848" i="3"/>
  <c r="D848" i="3"/>
  <c r="E848" i="3"/>
  <c r="B849" i="3"/>
  <c r="C849" i="3"/>
  <c r="D849" i="3"/>
  <c r="E849" i="3"/>
  <c r="B850" i="3"/>
  <c r="C850" i="3"/>
  <c r="D850" i="3"/>
  <c r="E850" i="3"/>
  <c r="B851" i="3"/>
  <c r="C851" i="3"/>
  <c r="D851" i="3"/>
  <c r="E851" i="3"/>
  <c r="B852" i="3"/>
  <c r="C852" i="3"/>
  <c r="D852" i="3"/>
  <c r="E852" i="3"/>
  <c r="B853" i="3"/>
  <c r="C853" i="3"/>
  <c r="D853" i="3"/>
  <c r="E853" i="3"/>
  <c r="B854" i="3"/>
  <c r="C854" i="3"/>
  <c r="D854" i="3"/>
  <c r="E854" i="3"/>
  <c r="B855" i="3"/>
  <c r="C855" i="3"/>
  <c r="D855" i="3"/>
  <c r="E855" i="3"/>
  <c r="B856" i="3"/>
  <c r="C856" i="3"/>
  <c r="D856" i="3"/>
  <c r="E856" i="3"/>
  <c r="B857" i="3"/>
  <c r="C857" i="3"/>
  <c r="D857" i="3"/>
  <c r="E857" i="3"/>
  <c r="B858" i="3"/>
  <c r="C858" i="3"/>
  <c r="D858" i="3"/>
  <c r="E858" i="3"/>
  <c r="B859" i="3"/>
  <c r="C859" i="3"/>
  <c r="D859" i="3"/>
  <c r="E859" i="3"/>
  <c r="B860" i="3"/>
  <c r="C860" i="3"/>
  <c r="D860" i="3"/>
  <c r="E860" i="3"/>
  <c r="B861" i="3"/>
  <c r="C861" i="3"/>
  <c r="D861" i="3"/>
  <c r="E861" i="3"/>
  <c r="B862" i="3"/>
  <c r="C862" i="3"/>
  <c r="D862" i="3"/>
  <c r="E862" i="3"/>
  <c r="B863" i="3"/>
  <c r="C863" i="3"/>
  <c r="D863" i="3"/>
  <c r="E863" i="3"/>
  <c r="B864" i="3"/>
  <c r="C864" i="3"/>
  <c r="D864" i="3"/>
  <c r="E864" i="3"/>
  <c r="B865" i="3"/>
  <c r="C865" i="3"/>
  <c r="D865" i="3"/>
  <c r="E865" i="3"/>
  <c r="B866" i="3"/>
  <c r="C866" i="3"/>
  <c r="D866" i="3"/>
  <c r="E866" i="3"/>
  <c r="B867" i="3"/>
  <c r="C867" i="3"/>
  <c r="D867" i="3"/>
  <c r="E867" i="3"/>
  <c r="B868" i="3"/>
  <c r="C868" i="3"/>
  <c r="D868" i="3"/>
  <c r="E868" i="3"/>
  <c r="B869" i="3"/>
  <c r="C869" i="3"/>
  <c r="D869" i="3"/>
  <c r="E869" i="3"/>
  <c r="B870" i="3"/>
  <c r="C870" i="3"/>
  <c r="D870" i="3"/>
  <c r="E870" i="3"/>
  <c r="B871" i="3"/>
  <c r="C871" i="3"/>
  <c r="D871" i="3"/>
  <c r="E871" i="3"/>
  <c r="B872" i="3"/>
  <c r="C872" i="3"/>
  <c r="D872" i="3"/>
  <c r="E872" i="3"/>
  <c r="B873" i="3"/>
  <c r="C873" i="3"/>
  <c r="D873" i="3"/>
  <c r="E873" i="3"/>
  <c r="B874" i="3"/>
  <c r="C874" i="3"/>
  <c r="D874" i="3"/>
  <c r="E874" i="3"/>
  <c r="B875" i="3"/>
  <c r="C875" i="3"/>
  <c r="D875" i="3"/>
  <c r="E875" i="3"/>
  <c r="B876" i="3"/>
  <c r="C876" i="3"/>
  <c r="D876" i="3"/>
  <c r="E876" i="3"/>
  <c r="B877" i="3"/>
  <c r="C877" i="3"/>
  <c r="D877" i="3"/>
  <c r="E877" i="3"/>
  <c r="B878" i="3"/>
  <c r="C878" i="3"/>
  <c r="D878" i="3"/>
  <c r="E878" i="3"/>
  <c r="B879" i="3"/>
  <c r="C879" i="3"/>
  <c r="D879" i="3"/>
  <c r="E879" i="3"/>
  <c r="B880" i="3"/>
  <c r="C880" i="3"/>
  <c r="D880" i="3"/>
  <c r="E880" i="3"/>
  <c r="B881" i="3"/>
  <c r="C881" i="3"/>
  <c r="D881" i="3"/>
  <c r="E881" i="3"/>
  <c r="B882" i="3"/>
  <c r="C882" i="3"/>
  <c r="D882" i="3"/>
  <c r="E882" i="3"/>
  <c r="B883" i="3"/>
  <c r="C883" i="3"/>
  <c r="D883" i="3"/>
  <c r="E883" i="3"/>
  <c r="B884" i="3"/>
  <c r="C884" i="3"/>
  <c r="D884" i="3"/>
  <c r="E884" i="3"/>
  <c r="B885" i="3"/>
  <c r="C885" i="3"/>
  <c r="D885" i="3"/>
  <c r="E885" i="3"/>
  <c r="B886" i="3"/>
  <c r="C886" i="3"/>
  <c r="D886" i="3"/>
  <c r="E886" i="3"/>
  <c r="B887" i="3"/>
  <c r="C887" i="3"/>
  <c r="D887" i="3"/>
  <c r="E887" i="3"/>
  <c r="B888" i="3"/>
  <c r="C888" i="3"/>
  <c r="D888" i="3"/>
  <c r="E888" i="3"/>
  <c r="B889" i="3"/>
  <c r="C889" i="3"/>
  <c r="D889" i="3"/>
  <c r="E889" i="3"/>
  <c r="B890" i="3"/>
  <c r="C890" i="3"/>
  <c r="D890" i="3"/>
  <c r="E890" i="3"/>
  <c r="B891" i="3"/>
  <c r="C891" i="3"/>
  <c r="D891" i="3"/>
  <c r="E891" i="3"/>
  <c r="B892" i="3"/>
  <c r="C892" i="3"/>
  <c r="D892" i="3"/>
  <c r="E892" i="3"/>
  <c r="B893" i="3"/>
  <c r="C893" i="3"/>
  <c r="D893" i="3"/>
  <c r="E893" i="3"/>
  <c r="B894" i="3"/>
  <c r="C894" i="3"/>
  <c r="D894" i="3"/>
  <c r="E894" i="3"/>
  <c r="B895" i="3"/>
  <c r="C895" i="3"/>
  <c r="D895" i="3"/>
  <c r="E895" i="3"/>
  <c r="B896" i="3"/>
  <c r="C896" i="3"/>
  <c r="D896" i="3"/>
  <c r="E896" i="3"/>
  <c r="B897" i="3"/>
  <c r="C897" i="3"/>
  <c r="D897" i="3"/>
  <c r="E897" i="3"/>
  <c r="B898" i="3"/>
  <c r="C898" i="3"/>
  <c r="D898" i="3"/>
  <c r="E898" i="3"/>
  <c r="B899" i="3"/>
  <c r="C899" i="3"/>
  <c r="D899" i="3"/>
  <c r="E899" i="3"/>
  <c r="B900" i="3"/>
  <c r="C900" i="3"/>
  <c r="D900" i="3"/>
  <c r="E900" i="3"/>
  <c r="B901" i="3"/>
  <c r="C901" i="3"/>
  <c r="D901" i="3"/>
  <c r="E901" i="3"/>
  <c r="B902" i="3"/>
  <c r="C902" i="3"/>
  <c r="D902" i="3"/>
  <c r="E902" i="3"/>
  <c r="B903" i="3"/>
  <c r="C903" i="3"/>
  <c r="D903" i="3"/>
  <c r="E903" i="3"/>
  <c r="B904" i="3"/>
  <c r="C904" i="3"/>
  <c r="D904" i="3"/>
  <c r="E904" i="3"/>
  <c r="B905" i="3"/>
  <c r="C905" i="3"/>
  <c r="D905" i="3"/>
  <c r="E905" i="3"/>
  <c r="B906" i="3"/>
  <c r="C906" i="3"/>
  <c r="D906" i="3"/>
  <c r="E906" i="3"/>
  <c r="B907" i="3"/>
  <c r="C907" i="3"/>
  <c r="D907" i="3"/>
  <c r="E907" i="3"/>
  <c r="B908" i="3"/>
  <c r="C908" i="3"/>
  <c r="D908" i="3"/>
  <c r="E908" i="3"/>
  <c r="B909" i="3"/>
  <c r="C909" i="3"/>
  <c r="D909" i="3"/>
  <c r="E909" i="3"/>
  <c r="B910" i="3"/>
  <c r="C910" i="3"/>
  <c r="D910" i="3"/>
  <c r="E910" i="3"/>
  <c r="B911" i="3"/>
  <c r="C911" i="3"/>
  <c r="D911" i="3"/>
  <c r="E911" i="3"/>
  <c r="B912" i="3"/>
  <c r="C912" i="3"/>
  <c r="D912" i="3"/>
  <c r="E912" i="3"/>
  <c r="B913" i="3"/>
  <c r="C913" i="3"/>
  <c r="D913" i="3"/>
  <c r="E913" i="3"/>
  <c r="B914" i="3"/>
  <c r="C914" i="3"/>
  <c r="D914" i="3"/>
  <c r="E914" i="3"/>
  <c r="B915" i="3"/>
  <c r="C915" i="3"/>
  <c r="D915" i="3"/>
  <c r="E915" i="3"/>
  <c r="B916" i="3"/>
  <c r="C916" i="3"/>
  <c r="D916" i="3"/>
  <c r="E916" i="3"/>
  <c r="B917" i="3"/>
  <c r="C917" i="3"/>
  <c r="D917" i="3"/>
  <c r="E917" i="3"/>
  <c r="B918" i="3"/>
  <c r="C918" i="3"/>
  <c r="D918" i="3"/>
  <c r="E918" i="3"/>
  <c r="B919" i="3"/>
  <c r="C919" i="3"/>
  <c r="D919" i="3"/>
  <c r="E919" i="3"/>
  <c r="B920" i="3"/>
  <c r="C920" i="3"/>
  <c r="D920" i="3"/>
  <c r="E920" i="3"/>
  <c r="B921" i="3"/>
  <c r="C921" i="3"/>
  <c r="D921" i="3"/>
  <c r="E921" i="3"/>
  <c r="B922" i="3"/>
  <c r="C922" i="3"/>
  <c r="D922" i="3"/>
  <c r="E922" i="3"/>
  <c r="B923" i="3"/>
  <c r="C923" i="3"/>
  <c r="D923" i="3"/>
  <c r="E923" i="3"/>
  <c r="B924" i="3"/>
  <c r="C924" i="3"/>
  <c r="D924" i="3"/>
  <c r="E924" i="3"/>
  <c r="B925" i="3"/>
  <c r="C925" i="3"/>
  <c r="D925" i="3"/>
  <c r="E925" i="3"/>
  <c r="B926" i="3"/>
  <c r="C926" i="3"/>
  <c r="D926" i="3"/>
  <c r="E926" i="3"/>
  <c r="B927" i="3"/>
  <c r="C927" i="3"/>
  <c r="D927" i="3"/>
  <c r="E927" i="3"/>
  <c r="B928" i="3"/>
  <c r="C928" i="3"/>
  <c r="D928" i="3"/>
  <c r="E928" i="3"/>
  <c r="B929" i="3"/>
  <c r="C929" i="3"/>
  <c r="D929" i="3"/>
  <c r="E929" i="3"/>
  <c r="B930" i="3"/>
  <c r="C930" i="3"/>
  <c r="D930" i="3"/>
  <c r="E930" i="3"/>
  <c r="B931" i="3"/>
  <c r="C931" i="3"/>
  <c r="D931" i="3"/>
  <c r="E931" i="3"/>
  <c r="B932" i="3"/>
  <c r="C932" i="3"/>
  <c r="D932" i="3"/>
  <c r="E932" i="3"/>
  <c r="B933" i="3"/>
  <c r="C933" i="3"/>
  <c r="D933" i="3"/>
  <c r="E933" i="3"/>
  <c r="B934" i="3"/>
  <c r="C934" i="3"/>
  <c r="D934" i="3"/>
  <c r="E934" i="3"/>
  <c r="B935" i="3"/>
  <c r="C935" i="3"/>
  <c r="D935" i="3"/>
  <c r="E935" i="3"/>
  <c r="B936" i="3"/>
  <c r="C936" i="3"/>
  <c r="D936" i="3"/>
  <c r="E936" i="3"/>
  <c r="B937" i="3"/>
  <c r="C937" i="3"/>
  <c r="D937" i="3"/>
  <c r="E937" i="3"/>
  <c r="B938" i="3"/>
  <c r="C938" i="3"/>
  <c r="D938" i="3"/>
  <c r="E938" i="3"/>
  <c r="B939" i="3"/>
  <c r="C939" i="3"/>
  <c r="D939" i="3"/>
  <c r="E939" i="3"/>
  <c r="B940" i="3"/>
  <c r="C940" i="3"/>
  <c r="D940" i="3"/>
  <c r="E940" i="3"/>
  <c r="B941" i="3"/>
  <c r="C941" i="3"/>
  <c r="D941" i="3"/>
  <c r="E941" i="3"/>
  <c r="B942" i="3"/>
  <c r="C942" i="3"/>
  <c r="D942" i="3"/>
  <c r="E942" i="3"/>
  <c r="B943" i="3"/>
  <c r="C943" i="3"/>
  <c r="D943" i="3"/>
  <c r="E943" i="3"/>
  <c r="B944" i="3"/>
  <c r="C944" i="3"/>
  <c r="D944" i="3"/>
  <c r="E944" i="3"/>
  <c r="B945" i="3"/>
  <c r="C945" i="3"/>
  <c r="D945" i="3"/>
  <c r="E945" i="3"/>
  <c r="B946" i="3"/>
  <c r="C946" i="3"/>
  <c r="D946" i="3"/>
  <c r="E946" i="3"/>
  <c r="B947" i="3"/>
  <c r="C947" i="3"/>
  <c r="D947" i="3"/>
  <c r="E947" i="3"/>
  <c r="B948" i="3"/>
  <c r="C948" i="3"/>
  <c r="D948" i="3"/>
  <c r="E948" i="3"/>
  <c r="B949" i="3"/>
  <c r="C949" i="3"/>
  <c r="D949" i="3"/>
  <c r="E949" i="3"/>
  <c r="B950" i="3"/>
  <c r="C950" i="3"/>
  <c r="D950" i="3"/>
  <c r="E950" i="3"/>
  <c r="B951" i="3"/>
  <c r="C951" i="3"/>
  <c r="D951" i="3"/>
  <c r="E951" i="3"/>
  <c r="B952" i="3"/>
  <c r="C952" i="3"/>
  <c r="D952" i="3"/>
  <c r="E952" i="3"/>
  <c r="B953" i="3"/>
  <c r="C953" i="3"/>
  <c r="D953" i="3"/>
  <c r="E953" i="3"/>
  <c r="B954" i="3"/>
  <c r="C954" i="3"/>
  <c r="D954" i="3"/>
  <c r="E954" i="3"/>
  <c r="B955" i="3"/>
  <c r="C955" i="3"/>
  <c r="D955" i="3"/>
  <c r="E955" i="3"/>
  <c r="B956" i="3"/>
  <c r="C956" i="3"/>
  <c r="D956" i="3"/>
  <c r="E956" i="3"/>
  <c r="B957" i="3"/>
  <c r="C957" i="3"/>
  <c r="D957" i="3"/>
  <c r="E957" i="3"/>
  <c r="B958" i="3"/>
  <c r="C958" i="3"/>
  <c r="D958" i="3"/>
  <c r="E958" i="3"/>
  <c r="B959" i="3"/>
  <c r="C959" i="3"/>
  <c r="D959" i="3"/>
  <c r="E959" i="3"/>
  <c r="B960" i="3"/>
  <c r="C960" i="3"/>
  <c r="D960" i="3"/>
  <c r="E960" i="3"/>
  <c r="B961" i="3"/>
  <c r="C961" i="3"/>
  <c r="D961" i="3"/>
  <c r="E961" i="3"/>
  <c r="B962" i="3"/>
  <c r="C962" i="3"/>
  <c r="D962" i="3"/>
  <c r="E962" i="3"/>
  <c r="B963" i="3"/>
  <c r="C963" i="3"/>
  <c r="D963" i="3"/>
  <c r="E963" i="3"/>
  <c r="B964" i="3"/>
  <c r="C964" i="3"/>
  <c r="D964" i="3"/>
  <c r="E964" i="3"/>
  <c r="B965" i="3"/>
  <c r="C965" i="3"/>
  <c r="D965" i="3"/>
  <c r="E965" i="3"/>
  <c r="B966" i="3"/>
  <c r="C966" i="3"/>
  <c r="D966" i="3"/>
  <c r="E966" i="3"/>
  <c r="B967" i="3"/>
  <c r="C967" i="3"/>
  <c r="D967" i="3"/>
  <c r="E967" i="3"/>
  <c r="B968" i="3"/>
  <c r="C968" i="3"/>
  <c r="D968" i="3"/>
  <c r="E968" i="3"/>
  <c r="B969" i="3"/>
  <c r="C969" i="3"/>
  <c r="D969" i="3"/>
  <c r="E969" i="3"/>
  <c r="B970" i="3"/>
  <c r="C970" i="3"/>
  <c r="D970" i="3"/>
  <c r="E970" i="3"/>
  <c r="B971" i="3"/>
  <c r="C971" i="3"/>
  <c r="D971" i="3"/>
  <c r="E971" i="3"/>
  <c r="B972" i="3"/>
  <c r="C972" i="3"/>
  <c r="D972" i="3"/>
  <c r="E972" i="3"/>
  <c r="B973" i="3"/>
  <c r="C973" i="3"/>
  <c r="D973" i="3"/>
  <c r="E973" i="3"/>
  <c r="B974" i="3"/>
  <c r="C974" i="3"/>
  <c r="D974" i="3"/>
  <c r="E974" i="3"/>
  <c r="B975" i="3"/>
  <c r="C975" i="3"/>
  <c r="D975" i="3"/>
  <c r="E975" i="3"/>
  <c r="B976" i="3"/>
  <c r="C976" i="3"/>
  <c r="D976" i="3"/>
  <c r="E976" i="3"/>
  <c r="B977" i="3"/>
  <c r="C977" i="3"/>
  <c r="D977" i="3"/>
  <c r="E977" i="3"/>
  <c r="B978" i="3"/>
  <c r="C978" i="3"/>
  <c r="D978" i="3"/>
  <c r="E978" i="3"/>
  <c r="B979" i="3"/>
  <c r="C979" i="3"/>
  <c r="D979" i="3"/>
  <c r="E979" i="3"/>
  <c r="B980" i="3"/>
  <c r="C980" i="3"/>
  <c r="D980" i="3"/>
  <c r="E980" i="3"/>
  <c r="B981" i="3"/>
  <c r="C981" i="3"/>
  <c r="D981" i="3"/>
  <c r="E981" i="3"/>
  <c r="B982" i="3"/>
  <c r="C982" i="3"/>
  <c r="D982" i="3"/>
  <c r="E982" i="3"/>
  <c r="B983" i="3"/>
  <c r="C983" i="3"/>
  <c r="D983" i="3"/>
  <c r="E983" i="3"/>
  <c r="B984" i="3"/>
  <c r="C984" i="3"/>
  <c r="D984" i="3"/>
  <c r="E984" i="3"/>
  <c r="B985" i="3"/>
  <c r="C985" i="3"/>
  <c r="D985" i="3"/>
  <c r="E985" i="3"/>
  <c r="B986" i="3"/>
  <c r="C986" i="3"/>
  <c r="D986" i="3"/>
  <c r="E986" i="3"/>
  <c r="B987" i="3"/>
  <c r="C987" i="3"/>
  <c r="D987" i="3"/>
  <c r="E987" i="3"/>
  <c r="B988" i="3"/>
  <c r="C988" i="3"/>
  <c r="D988" i="3"/>
  <c r="E988" i="3"/>
  <c r="B989" i="3"/>
  <c r="C989" i="3"/>
  <c r="D989" i="3"/>
  <c r="E989" i="3"/>
  <c r="B990" i="3"/>
  <c r="C990" i="3"/>
  <c r="D990" i="3"/>
  <c r="E990" i="3"/>
  <c r="B991" i="3"/>
  <c r="C991" i="3"/>
  <c r="D991" i="3"/>
  <c r="E991" i="3"/>
  <c r="B992" i="3"/>
  <c r="C992" i="3"/>
  <c r="D992" i="3"/>
  <c r="E992" i="3"/>
  <c r="B993" i="3"/>
  <c r="C993" i="3"/>
  <c r="D993" i="3"/>
  <c r="E993" i="3"/>
  <c r="B994" i="3"/>
  <c r="C994" i="3"/>
  <c r="D994" i="3"/>
  <c r="E994" i="3"/>
  <c r="B995" i="3"/>
  <c r="C995" i="3"/>
  <c r="D995" i="3"/>
  <c r="E995" i="3"/>
  <c r="B996" i="3"/>
  <c r="C996" i="3"/>
  <c r="D996" i="3"/>
  <c r="E996" i="3"/>
  <c r="B997" i="3"/>
  <c r="C997" i="3"/>
  <c r="D997" i="3"/>
  <c r="E997" i="3"/>
  <c r="B998" i="3"/>
  <c r="C998" i="3"/>
  <c r="D998" i="3"/>
  <c r="E998" i="3"/>
  <c r="B999" i="3"/>
  <c r="C999" i="3"/>
  <c r="D999" i="3"/>
  <c r="E999" i="3"/>
  <c r="B1000" i="3"/>
  <c r="C1000" i="3"/>
  <c r="D1000" i="3"/>
  <c r="E1000" i="3"/>
  <c r="B1001" i="3"/>
  <c r="C1001" i="3"/>
  <c r="D1001" i="3"/>
  <c r="E1001" i="3"/>
  <c r="B1002" i="3"/>
  <c r="C1002" i="3"/>
  <c r="D1002" i="3"/>
  <c r="E1002" i="3"/>
  <c r="B1003" i="3"/>
  <c r="C1003" i="3"/>
  <c r="D1003" i="3"/>
  <c r="E1003" i="3"/>
  <c r="B1004" i="3"/>
  <c r="C1004" i="3"/>
  <c r="D1004" i="3"/>
  <c r="E1004" i="3"/>
  <c r="B1005" i="3"/>
  <c r="C1005" i="3"/>
  <c r="D1005" i="3"/>
  <c r="E1005" i="3"/>
  <c r="B1006" i="3"/>
  <c r="C1006" i="3"/>
  <c r="D1006" i="3"/>
  <c r="E1006" i="3"/>
  <c r="B1007" i="3"/>
  <c r="C1007" i="3"/>
  <c r="D1007" i="3"/>
  <c r="E1007" i="3"/>
  <c r="B1008" i="3"/>
  <c r="C1008" i="3"/>
  <c r="D1008" i="3"/>
  <c r="E1008" i="3"/>
  <c r="B1009" i="3"/>
  <c r="C1009" i="3"/>
  <c r="D1009" i="3"/>
  <c r="E1009" i="3"/>
  <c r="B1010" i="3"/>
  <c r="C1010" i="3"/>
  <c r="D1010" i="3"/>
  <c r="E1010" i="3"/>
  <c r="B1011" i="3"/>
  <c r="C1011" i="3"/>
  <c r="D1011" i="3"/>
  <c r="E1011" i="3"/>
  <c r="B1012" i="3"/>
  <c r="C1012" i="3"/>
  <c r="D1012" i="3"/>
  <c r="E1012" i="3"/>
  <c r="B1013" i="3"/>
  <c r="C1013" i="3"/>
  <c r="D1013" i="3"/>
  <c r="E1013" i="3"/>
  <c r="B1014" i="3"/>
  <c r="C1014" i="3"/>
  <c r="D1014" i="3"/>
  <c r="E1014" i="3"/>
  <c r="B1015" i="3"/>
  <c r="C1015" i="3"/>
  <c r="D1015" i="3"/>
  <c r="E1015" i="3"/>
  <c r="B1016" i="3"/>
  <c r="C1016" i="3"/>
  <c r="D1016" i="3"/>
  <c r="E1016" i="3"/>
  <c r="B1017" i="3"/>
  <c r="C1017" i="3"/>
  <c r="D1017" i="3"/>
  <c r="E1017" i="3"/>
  <c r="B1018" i="3"/>
  <c r="C1018" i="3"/>
  <c r="D1018" i="3"/>
  <c r="E1018" i="3"/>
  <c r="B1019" i="3"/>
  <c r="C1019" i="3"/>
  <c r="D1019" i="3"/>
  <c r="E1019" i="3"/>
  <c r="B1020" i="3"/>
  <c r="C1020" i="3"/>
  <c r="D1020" i="3"/>
  <c r="E1020" i="3"/>
  <c r="B1021" i="3"/>
  <c r="C1021" i="3"/>
  <c r="D1021" i="3"/>
  <c r="E1021" i="3"/>
  <c r="B1022" i="3"/>
  <c r="C1022" i="3"/>
  <c r="D1022" i="3"/>
  <c r="E1022" i="3"/>
  <c r="B1023" i="3"/>
  <c r="C1023" i="3"/>
  <c r="D1023" i="3"/>
  <c r="E1023" i="3"/>
  <c r="B1024" i="3"/>
  <c r="C1024" i="3"/>
  <c r="D1024" i="3"/>
  <c r="E1024" i="3"/>
  <c r="B1025" i="3"/>
  <c r="C1025" i="3"/>
  <c r="D1025" i="3"/>
  <c r="E1025" i="3"/>
  <c r="B1026" i="3"/>
  <c r="C1026" i="3"/>
  <c r="D1026" i="3"/>
  <c r="E1026" i="3"/>
  <c r="B1027" i="3"/>
  <c r="C1027" i="3"/>
  <c r="D1027" i="3"/>
  <c r="E1027" i="3"/>
  <c r="B1028" i="3"/>
  <c r="C1028" i="3"/>
  <c r="D1028" i="3"/>
  <c r="E1028" i="3"/>
  <c r="B1029" i="3"/>
  <c r="C1029" i="3"/>
  <c r="D1029" i="3"/>
  <c r="E1029" i="3"/>
  <c r="B1030" i="3"/>
  <c r="C1030" i="3"/>
  <c r="D1030" i="3"/>
  <c r="E1030" i="3"/>
  <c r="B1031" i="3"/>
  <c r="C1031" i="3"/>
  <c r="D1031" i="3"/>
  <c r="E1031" i="3"/>
  <c r="B1032" i="3"/>
  <c r="C1032" i="3"/>
  <c r="D1032" i="3"/>
  <c r="E1032" i="3"/>
  <c r="B1033" i="3"/>
  <c r="C1033" i="3"/>
  <c r="D1033" i="3"/>
  <c r="E1033" i="3"/>
  <c r="B1034" i="3"/>
  <c r="C1034" i="3"/>
  <c r="D1034" i="3"/>
  <c r="E1034" i="3"/>
  <c r="B1035" i="3"/>
  <c r="C1035" i="3"/>
  <c r="D1035" i="3"/>
  <c r="E1035" i="3"/>
  <c r="B1036" i="3"/>
  <c r="C1036" i="3"/>
  <c r="D1036" i="3"/>
  <c r="E1036" i="3"/>
  <c r="B1037" i="3"/>
  <c r="C1037" i="3"/>
  <c r="D1037" i="3"/>
  <c r="E1037" i="3"/>
  <c r="B1038" i="3"/>
  <c r="C1038" i="3"/>
  <c r="D1038" i="3"/>
  <c r="E1038" i="3"/>
  <c r="B1039" i="3"/>
  <c r="C1039" i="3"/>
  <c r="D1039" i="3"/>
  <c r="E1039" i="3"/>
  <c r="B1040" i="3"/>
  <c r="C1040" i="3"/>
  <c r="D1040" i="3"/>
  <c r="E1040" i="3"/>
  <c r="B1041" i="3"/>
  <c r="C1041" i="3"/>
  <c r="D1041" i="3"/>
  <c r="E1041" i="3"/>
  <c r="B1042" i="3"/>
  <c r="C1042" i="3"/>
  <c r="D1042" i="3"/>
  <c r="E1042" i="3"/>
  <c r="B1043" i="3"/>
  <c r="C1043" i="3"/>
  <c r="D1043" i="3"/>
  <c r="E1043" i="3"/>
  <c r="B1044" i="3"/>
  <c r="C1044" i="3"/>
  <c r="D1044" i="3"/>
  <c r="E1044" i="3"/>
  <c r="B1045" i="3"/>
  <c r="C1045" i="3"/>
  <c r="D1045" i="3"/>
  <c r="E1045" i="3"/>
  <c r="B1046" i="3"/>
  <c r="C1046" i="3"/>
  <c r="D1046" i="3"/>
  <c r="E1046" i="3"/>
  <c r="B1047" i="3"/>
  <c r="C1047" i="3"/>
  <c r="D1047" i="3"/>
  <c r="E1047" i="3"/>
  <c r="B1048" i="3"/>
  <c r="C1048" i="3"/>
  <c r="D1048" i="3"/>
  <c r="E1048" i="3"/>
  <c r="B1050" i="3"/>
  <c r="D1050" i="3"/>
  <c r="E1050" i="3"/>
  <c r="C1051" i="3"/>
  <c r="D1051" i="3"/>
  <c r="E1051" i="3"/>
  <c r="B1052" i="3"/>
  <c r="D1052" i="3"/>
  <c r="E1052" i="3"/>
  <c r="D1053" i="3"/>
  <c r="E1053" i="3"/>
  <c r="B1054" i="3"/>
  <c r="C1054" i="3"/>
  <c r="D1054" i="3"/>
  <c r="E1054" i="3"/>
  <c r="D1055" i="3"/>
  <c r="E1055" i="3"/>
  <c r="B1056" i="3"/>
  <c r="C1056" i="3"/>
  <c r="D1056" i="3"/>
  <c r="E1056" i="3"/>
  <c r="C1057" i="3"/>
  <c r="D1057" i="3"/>
  <c r="E1057" i="3"/>
  <c r="C1058" i="3"/>
  <c r="D1058" i="3"/>
  <c r="E1058" i="3"/>
  <c r="C1059" i="3"/>
  <c r="D1059" i="3"/>
  <c r="E1059" i="3"/>
  <c r="D1060" i="3"/>
  <c r="E1060" i="3"/>
  <c r="C1061" i="3"/>
  <c r="D1061" i="3"/>
  <c r="E1061" i="3"/>
  <c r="E1062" i="3"/>
  <c r="D1063" i="3"/>
  <c r="E1063" i="3"/>
  <c r="C1064" i="3"/>
  <c r="E1064" i="3"/>
  <c r="E1065" i="3"/>
  <c r="B1066" i="3"/>
  <c r="C1066" i="3"/>
  <c r="E1066" i="3"/>
  <c r="C1067" i="3"/>
  <c r="E1067" i="3"/>
  <c r="E1068" i="3"/>
  <c r="C1069" i="3"/>
  <c r="D1069" i="3"/>
  <c r="E1069" i="3"/>
  <c r="C1070" i="3"/>
  <c r="E1070" i="3"/>
  <c r="E1071" i="3"/>
  <c r="C1072" i="3"/>
  <c r="E1072" i="3"/>
  <c r="A1073" i="3"/>
  <c r="B1073" i="3"/>
  <c r="E1073" i="3"/>
  <c r="A1074" i="3"/>
  <c r="E1074" i="3"/>
  <c r="A1075" i="3"/>
  <c r="A1076" i="3" s="1"/>
  <c r="A1077" i="3" s="1"/>
  <c r="D1075" i="3"/>
  <c r="E1075" i="3"/>
  <c r="C1076" i="3"/>
  <c r="E1076" i="3"/>
  <c r="B1077" i="3"/>
  <c r="E1077" i="3"/>
  <c r="A1078" i="3"/>
  <c r="A1079" i="3" s="1"/>
  <c r="A1080" i="3" s="1"/>
  <c r="A1081" i="3" s="1"/>
  <c r="A1082" i="3" s="1"/>
  <c r="A1083" i="3" s="1"/>
  <c r="A1084" i="3" s="1"/>
  <c r="A1085" i="3" s="1"/>
  <c r="A1086" i="3" s="1"/>
  <c r="A1087" i="3" s="1"/>
  <c r="A1088" i="3" s="1"/>
  <c r="A1089" i="3" s="1"/>
  <c r="D1078" i="3"/>
  <c r="E1078" i="3"/>
  <c r="E1079" i="3"/>
  <c r="E1080" i="3"/>
  <c r="C1081" i="3"/>
  <c r="E1081" i="3"/>
  <c r="E1082" i="3"/>
  <c r="D1083" i="3"/>
  <c r="E1083" i="3"/>
  <c r="C1084" i="3"/>
  <c r="D1084" i="3"/>
  <c r="E1084" i="3"/>
  <c r="E1085" i="3"/>
  <c r="B1086" i="3"/>
  <c r="D1086" i="3"/>
  <c r="E1086" i="3"/>
  <c r="D1087" i="3"/>
  <c r="E1087" i="3"/>
  <c r="E1088" i="3"/>
  <c r="E1089" i="3"/>
  <c r="A1090" i="3"/>
  <c r="A1091" i="3" s="1"/>
  <c r="A1092" i="3" s="1"/>
  <c r="A1093" i="3" s="1"/>
  <c r="A1094" i="3" s="1"/>
  <c r="A1095" i="3" s="1"/>
  <c r="A1096" i="3" s="1"/>
  <c r="A1097" i="3" s="1"/>
  <c r="E1090" i="3"/>
  <c r="E1091" i="3"/>
  <c r="C1092" i="3"/>
  <c r="D1092" i="3"/>
  <c r="E1092" i="3"/>
  <c r="E1093" i="3"/>
  <c r="D1094" i="3"/>
  <c r="E1094" i="3"/>
  <c r="D1095" i="3"/>
  <c r="E1095" i="3"/>
  <c r="E1096" i="3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50" i="2"/>
  <c r="C1050" i="2"/>
  <c r="D1050" i="2"/>
  <c r="E1050" i="2"/>
  <c r="F1050" i="2"/>
  <c r="G1050" i="2"/>
  <c r="I1050" i="2"/>
  <c r="J1050" i="2"/>
  <c r="B1051" i="2"/>
  <c r="C1051" i="2"/>
  <c r="D1051" i="2"/>
  <c r="E1051" i="2"/>
  <c r="F1051" i="2"/>
  <c r="G1051" i="2"/>
  <c r="I1051" i="2"/>
  <c r="J1051" i="2"/>
  <c r="B1052" i="2"/>
  <c r="C1052" i="2"/>
  <c r="D1052" i="2"/>
  <c r="E1052" i="2"/>
  <c r="F1052" i="2"/>
  <c r="G1052" i="2"/>
  <c r="H1052" i="2"/>
  <c r="I1052" i="2"/>
  <c r="J1052" i="2"/>
  <c r="B1053" i="2"/>
  <c r="C1053" i="2"/>
  <c r="D1053" i="2"/>
  <c r="E1053" i="2"/>
  <c r="F1053" i="2"/>
  <c r="G1053" i="2"/>
  <c r="H1053" i="2"/>
  <c r="I1053" i="2"/>
  <c r="J1053" i="2"/>
  <c r="B1054" i="2"/>
  <c r="C1054" i="2"/>
  <c r="D1054" i="2"/>
  <c r="E1054" i="2"/>
  <c r="F1054" i="2"/>
  <c r="G1054" i="2"/>
  <c r="H1054" i="2"/>
  <c r="I1054" i="2"/>
  <c r="J1054" i="2"/>
  <c r="B1055" i="2"/>
  <c r="C1055" i="2"/>
  <c r="D1055" i="2"/>
  <c r="E1055" i="2"/>
  <c r="F1055" i="2"/>
  <c r="G1055" i="2"/>
  <c r="H1055" i="2"/>
  <c r="I1055" i="2"/>
  <c r="J1055" i="2"/>
  <c r="B1056" i="2"/>
  <c r="C1056" i="2"/>
  <c r="D1056" i="2"/>
  <c r="E1056" i="2"/>
  <c r="F1056" i="2"/>
  <c r="G1056" i="2"/>
  <c r="H1056" i="2"/>
  <c r="I1056" i="2"/>
  <c r="J1056" i="2"/>
  <c r="B1057" i="2"/>
  <c r="C1057" i="2"/>
  <c r="D1057" i="2"/>
  <c r="E1057" i="2"/>
  <c r="F1057" i="2"/>
  <c r="G1057" i="2"/>
  <c r="H1057" i="2"/>
  <c r="I1057" i="2"/>
  <c r="J1057" i="2"/>
  <c r="B1058" i="2"/>
  <c r="C1058" i="2"/>
  <c r="D1058" i="2"/>
  <c r="E1058" i="2"/>
  <c r="F1058" i="2"/>
  <c r="G1058" i="2"/>
  <c r="H1058" i="2"/>
  <c r="I1058" i="2"/>
  <c r="J1058" i="2"/>
  <c r="B1059" i="2"/>
  <c r="C1059" i="2"/>
  <c r="D1059" i="2"/>
  <c r="E1059" i="2"/>
  <c r="F1059" i="2"/>
  <c r="G1059" i="2"/>
  <c r="H1059" i="2"/>
  <c r="I1059" i="2"/>
  <c r="J1059" i="2"/>
  <c r="B1060" i="2"/>
  <c r="C1060" i="2"/>
  <c r="D1060" i="2"/>
  <c r="E1060" i="2"/>
  <c r="F1060" i="2"/>
  <c r="G1060" i="2"/>
  <c r="H1060" i="2"/>
  <c r="I1060" i="2"/>
  <c r="J1060" i="2"/>
  <c r="B1061" i="2"/>
  <c r="C1061" i="2"/>
  <c r="D1061" i="2"/>
  <c r="E1061" i="2"/>
  <c r="F1061" i="2"/>
  <c r="G1061" i="2"/>
  <c r="H1061" i="2"/>
  <c r="I1061" i="2"/>
  <c r="J1061" i="2"/>
  <c r="B1062" i="2"/>
  <c r="C1062" i="2"/>
  <c r="D1062" i="2"/>
  <c r="E1062" i="2"/>
  <c r="F1062" i="2"/>
  <c r="G1062" i="2"/>
  <c r="H1062" i="2"/>
  <c r="I1062" i="2"/>
  <c r="J1062" i="2"/>
  <c r="B1063" i="2"/>
  <c r="C1063" i="2"/>
  <c r="D1063" i="2"/>
  <c r="E1063" i="2"/>
  <c r="F1063" i="2"/>
  <c r="G1063" i="2"/>
  <c r="H1063" i="2"/>
  <c r="I1063" i="2"/>
  <c r="J1063" i="2"/>
  <c r="B1064" i="2"/>
  <c r="C1064" i="2"/>
  <c r="D1064" i="2"/>
  <c r="E1064" i="2"/>
  <c r="F1064" i="2"/>
  <c r="G1064" i="2"/>
  <c r="H1064" i="2"/>
  <c r="I1064" i="2"/>
  <c r="J1064" i="2"/>
  <c r="B1065" i="2"/>
  <c r="C1065" i="2"/>
  <c r="D1065" i="2"/>
  <c r="E1065" i="2"/>
  <c r="F1065" i="2"/>
  <c r="G1065" i="2"/>
  <c r="H1065" i="2"/>
  <c r="I1065" i="2"/>
  <c r="J1065" i="2"/>
  <c r="B1066" i="2"/>
  <c r="C1066" i="2"/>
  <c r="D1066" i="2"/>
  <c r="E1066" i="2"/>
  <c r="F1066" i="2"/>
  <c r="G1066" i="2"/>
  <c r="H1066" i="2"/>
  <c r="I1066" i="2"/>
  <c r="J1066" i="2"/>
  <c r="B1067" i="2"/>
  <c r="C1067" i="2"/>
  <c r="D1067" i="2"/>
  <c r="E1067" i="2"/>
  <c r="F1067" i="2"/>
  <c r="G1067" i="2"/>
  <c r="H1067" i="2"/>
  <c r="I1067" i="2"/>
  <c r="J1067" i="2"/>
  <c r="B1068" i="2"/>
  <c r="C1068" i="2"/>
  <c r="D1068" i="2"/>
  <c r="E1068" i="2"/>
  <c r="F1068" i="2"/>
  <c r="G1068" i="2"/>
  <c r="H1068" i="2"/>
  <c r="I1068" i="2"/>
  <c r="J1068" i="2"/>
  <c r="B1069" i="2"/>
  <c r="C1069" i="2"/>
  <c r="D1069" i="2"/>
  <c r="E1069" i="2"/>
  <c r="F1069" i="2"/>
  <c r="G1069" i="2"/>
  <c r="H1069" i="2"/>
  <c r="I1069" i="2"/>
  <c r="J1069" i="2"/>
  <c r="B1070" i="2"/>
  <c r="C1070" i="2"/>
  <c r="D1070" i="2"/>
  <c r="E1070" i="2"/>
  <c r="F1070" i="2"/>
  <c r="G1070" i="2"/>
  <c r="H1070" i="2"/>
  <c r="I1070" i="2"/>
  <c r="J1070" i="2"/>
  <c r="B1071" i="2"/>
  <c r="C1071" i="2"/>
  <c r="D1071" i="2"/>
  <c r="E1071" i="2"/>
  <c r="F1071" i="2"/>
  <c r="G1071" i="2"/>
  <c r="H1071" i="2"/>
  <c r="I1071" i="2"/>
  <c r="J1071" i="2"/>
  <c r="B1072" i="2"/>
  <c r="C1072" i="2"/>
  <c r="D1072" i="2"/>
  <c r="E1072" i="2"/>
  <c r="F1072" i="2"/>
  <c r="G1072" i="2"/>
  <c r="H1072" i="2"/>
  <c r="I1072" i="2"/>
  <c r="J1072" i="2"/>
  <c r="A1073" i="2"/>
  <c r="B1073" i="2" s="1"/>
  <c r="C1073" i="2"/>
  <c r="D1073" i="2"/>
  <c r="E1073" i="2"/>
  <c r="F1073" i="2"/>
  <c r="G1073" i="2"/>
  <c r="H1073" i="2"/>
  <c r="I1073" i="2"/>
  <c r="J1073" i="2"/>
  <c r="C1074" i="2"/>
  <c r="D1074" i="2"/>
  <c r="E1074" i="2"/>
  <c r="F1074" i="2"/>
  <c r="G1074" i="2"/>
  <c r="H1074" i="2"/>
  <c r="I1074" i="2"/>
  <c r="J1074" i="2"/>
  <c r="C1075" i="2"/>
  <c r="D1075" i="2"/>
  <c r="E1075" i="2"/>
  <c r="F1075" i="2"/>
  <c r="G1075" i="2"/>
  <c r="H1075" i="2"/>
  <c r="I1075" i="2"/>
  <c r="J1075" i="2"/>
  <c r="C1076" i="2"/>
  <c r="D1076" i="2"/>
  <c r="E1076" i="2"/>
  <c r="F1076" i="2"/>
  <c r="G1076" i="2"/>
  <c r="H1076" i="2"/>
  <c r="I1076" i="2"/>
  <c r="J1076" i="2"/>
  <c r="C1077" i="2"/>
  <c r="D1077" i="2"/>
  <c r="E1077" i="2"/>
  <c r="F1077" i="2"/>
  <c r="G1077" i="2"/>
  <c r="H1077" i="2"/>
  <c r="I1077" i="2"/>
  <c r="J1077" i="2"/>
  <c r="C1078" i="2"/>
  <c r="D1078" i="2"/>
  <c r="E1078" i="2"/>
  <c r="F1078" i="2"/>
  <c r="G1078" i="2"/>
  <c r="H1078" i="2"/>
  <c r="I1078" i="2"/>
  <c r="J1078" i="2"/>
  <c r="C1079" i="2"/>
  <c r="D1079" i="2"/>
  <c r="E1079" i="2"/>
  <c r="F1079" i="2"/>
  <c r="G1079" i="2"/>
  <c r="H1079" i="2"/>
  <c r="I1079" i="2"/>
  <c r="J1079" i="2"/>
  <c r="C1080" i="2"/>
  <c r="D1080" i="2"/>
  <c r="E1080" i="2"/>
  <c r="F1080" i="2"/>
  <c r="G1080" i="2"/>
  <c r="H1080" i="2"/>
  <c r="I1080" i="2"/>
  <c r="J1080" i="2"/>
  <c r="C1081" i="2"/>
  <c r="D1081" i="2"/>
  <c r="E1081" i="2"/>
  <c r="F1081" i="2"/>
  <c r="G1081" i="2"/>
  <c r="H1081" i="2"/>
  <c r="I1081" i="2"/>
  <c r="J1081" i="2"/>
  <c r="C1082" i="2"/>
  <c r="D1082" i="2"/>
  <c r="E1082" i="2"/>
  <c r="F1082" i="2"/>
  <c r="G1082" i="2"/>
  <c r="H1082" i="2"/>
  <c r="I1082" i="2"/>
  <c r="J1082" i="2"/>
  <c r="C1083" i="2"/>
  <c r="D1083" i="2"/>
  <c r="E1083" i="2"/>
  <c r="F1083" i="2"/>
  <c r="G1083" i="2"/>
  <c r="H1083" i="2"/>
  <c r="I1083" i="2"/>
  <c r="J1083" i="2"/>
  <c r="C1084" i="2"/>
  <c r="D1084" i="2"/>
  <c r="E1084" i="2"/>
  <c r="F1084" i="2"/>
  <c r="G1084" i="2"/>
  <c r="H1084" i="2"/>
  <c r="I1084" i="2"/>
  <c r="J1084" i="2"/>
  <c r="C1085" i="2"/>
  <c r="D1085" i="2"/>
  <c r="E1085" i="2"/>
  <c r="F1085" i="2"/>
  <c r="G1085" i="2"/>
  <c r="H1085" i="2"/>
  <c r="I1085" i="2"/>
  <c r="J1085" i="2"/>
  <c r="C1086" i="2"/>
  <c r="D1086" i="2"/>
  <c r="E1086" i="2"/>
  <c r="F1086" i="2"/>
  <c r="G1086" i="2"/>
  <c r="H1086" i="2"/>
  <c r="I1086" i="2"/>
  <c r="J1086" i="2"/>
  <c r="C1087" i="2"/>
  <c r="D1087" i="2"/>
  <c r="E1087" i="2"/>
  <c r="F1087" i="2"/>
  <c r="G1087" i="2"/>
  <c r="H1087" i="2"/>
  <c r="I1087" i="2"/>
  <c r="J1087" i="2"/>
  <c r="C1088" i="2"/>
  <c r="D1088" i="2"/>
  <c r="E1088" i="2"/>
  <c r="F1088" i="2"/>
  <c r="G1088" i="2"/>
  <c r="H1088" i="2"/>
  <c r="I1088" i="2"/>
  <c r="J1088" i="2"/>
  <c r="C1089" i="2"/>
  <c r="D1089" i="2"/>
  <c r="E1089" i="2"/>
  <c r="F1089" i="2"/>
  <c r="G1089" i="2"/>
  <c r="H1089" i="2"/>
  <c r="I1089" i="2"/>
  <c r="J1089" i="2"/>
  <c r="C1090" i="2"/>
  <c r="D1090" i="2"/>
  <c r="E1090" i="2"/>
  <c r="F1090" i="2"/>
  <c r="G1090" i="2"/>
  <c r="H1090" i="2"/>
  <c r="I1090" i="2"/>
  <c r="J1090" i="2"/>
  <c r="C1091" i="2"/>
  <c r="D1091" i="2"/>
  <c r="E1091" i="2"/>
  <c r="F1091" i="2"/>
  <c r="G1091" i="2"/>
  <c r="H1091" i="2"/>
  <c r="I1091" i="2"/>
  <c r="J1091" i="2"/>
  <c r="C1092" i="2"/>
  <c r="D1092" i="2"/>
  <c r="E1092" i="2"/>
  <c r="F1092" i="2"/>
  <c r="G1092" i="2"/>
  <c r="H1092" i="2"/>
  <c r="I1092" i="2"/>
  <c r="J1092" i="2"/>
  <c r="C1093" i="2"/>
  <c r="D1093" i="2"/>
  <c r="E1093" i="2"/>
  <c r="F1093" i="2"/>
  <c r="G1093" i="2"/>
  <c r="H1093" i="2"/>
  <c r="I1093" i="2"/>
  <c r="J1093" i="2"/>
  <c r="C1094" i="2"/>
  <c r="D1094" i="2"/>
  <c r="E1094" i="2"/>
  <c r="F1094" i="2"/>
  <c r="G1094" i="2"/>
  <c r="H1094" i="2"/>
  <c r="I1094" i="2"/>
  <c r="J1094" i="2"/>
  <c r="C1095" i="2"/>
  <c r="D1095" i="2"/>
  <c r="E1095" i="2"/>
  <c r="F1095" i="2"/>
  <c r="G1095" i="2"/>
  <c r="H1095" i="2"/>
  <c r="I1095" i="2"/>
  <c r="J1095" i="2"/>
  <c r="C1096" i="2"/>
  <c r="D1096" i="2"/>
  <c r="E1096" i="2"/>
  <c r="F1096" i="2"/>
  <c r="G1096" i="2"/>
  <c r="H1096" i="2"/>
  <c r="I1096" i="2"/>
  <c r="J1096" i="2"/>
  <c r="D11" i="1"/>
  <c r="F11" i="1"/>
  <c r="B17" i="1"/>
  <c r="C17" i="1"/>
  <c r="D17" i="1"/>
  <c r="E17" i="1"/>
  <c r="F17" i="1"/>
  <c r="G17" i="1"/>
  <c r="H17" i="1"/>
  <c r="I17" i="1"/>
  <c r="J17" i="1"/>
  <c r="K17" i="1"/>
  <c r="R17" i="1"/>
  <c r="B18" i="1"/>
  <c r="C18" i="1"/>
  <c r="D18" i="1"/>
  <c r="E18" i="1"/>
  <c r="F18" i="1"/>
  <c r="G18" i="1"/>
  <c r="H18" i="1"/>
  <c r="I18" i="1"/>
  <c r="J18" i="1"/>
  <c r="K18" i="1"/>
  <c r="R18" i="1"/>
  <c r="B19" i="1"/>
  <c r="C19" i="1"/>
  <c r="D19" i="1"/>
  <c r="E19" i="1"/>
  <c r="F19" i="1"/>
  <c r="G19" i="1"/>
  <c r="H19" i="1"/>
  <c r="I19" i="1"/>
  <c r="J19" i="1"/>
  <c r="K19" i="1"/>
  <c r="R19" i="1"/>
  <c r="B20" i="1"/>
  <c r="C20" i="1"/>
  <c r="D20" i="1"/>
  <c r="E20" i="1"/>
  <c r="F20" i="1"/>
  <c r="G20" i="1"/>
  <c r="H20" i="1"/>
  <c r="I20" i="1"/>
  <c r="J20" i="1"/>
  <c r="K20" i="1"/>
  <c r="R20" i="1"/>
  <c r="B21" i="1"/>
  <c r="C21" i="1"/>
  <c r="D21" i="1"/>
  <c r="E21" i="1"/>
  <c r="F21" i="1"/>
  <c r="G21" i="1"/>
  <c r="H21" i="1"/>
  <c r="I21" i="1"/>
  <c r="J21" i="1"/>
  <c r="K21" i="1"/>
  <c r="R21" i="1"/>
  <c r="B22" i="1"/>
  <c r="C22" i="1"/>
  <c r="D22" i="1"/>
  <c r="E22" i="1"/>
  <c r="F22" i="1"/>
  <c r="G22" i="1"/>
  <c r="H22" i="1"/>
  <c r="I22" i="1"/>
  <c r="J22" i="1"/>
  <c r="K22" i="1"/>
  <c r="R22" i="1"/>
  <c r="B23" i="1"/>
  <c r="C23" i="1"/>
  <c r="D23" i="1"/>
  <c r="E23" i="1"/>
  <c r="F23" i="1"/>
  <c r="G23" i="1"/>
  <c r="H23" i="1"/>
  <c r="I23" i="1"/>
  <c r="J23" i="1"/>
  <c r="K23" i="1"/>
  <c r="R23" i="1"/>
  <c r="B24" i="1"/>
  <c r="C24" i="1"/>
  <c r="D24" i="1"/>
  <c r="E24" i="1"/>
  <c r="F24" i="1"/>
  <c r="G24" i="1"/>
  <c r="H24" i="1"/>
  <c r="I24" i="1"/>
  <c r="J24" i="1"/>
  <c r="K24" i="1"/>
  <c r="R24" i="1"/>
  <c r="B25" i="1"/>
  <c r="C25" i="1"/>
  <c r="D25" i="1"/>
  <c r="E25" i="1"/>
  <c r="F25" i="1"/>
  <c r="G25" i="1"/>
  <c r="H25" i="1"/>
  <c r="I25" i="1"/>
  <c r="J25" i="1"/>
  <c r="K25" i="1"/>
  <c r="R25" i="1"/>
  <c r="B26" i="1"/>
  <c r="C26" i="1"/>
  <c r="D26" i="1"/>
  <c r="E26" i="1"/>
  <c r="F26" i="1"/>
  <c r="G26" i="1"/>
  <c r="H26" i="1"/>
  <c r="I26" i="1"/>
  <c r="J26" i="1"/>
  <c r="K26" i="1"/>
  <c r="R26" i="1"/>
  <c r="B27" i="1"/>
  <c r="C27" i="1"/>
  <c r="D27" i="1"/>
  <c r="E27" i="1"/>
  <c r="F27" i="1"/>
  <c r="G27" i="1"/>
  <c r="H27" i="1"/>
  <c r="I27" i="1"/>
  <c r="J27" i="1"/>
  <c r="K27" i="1"/>
  <c r="R27" i="1"/>
  <c r="B28" i="1"/>
  <c r="C28" i="1"/>
  <c r="D28" i="1"/>
  <c r="E28" i="1"/>
  <c r="F28" i="1"/>
  <c r="G28" i="1"/>
  <c r="H28" i="1"/>
  <c r="I28" i="1"/>
  <c r="J28" i="1"/>
  <c r="K28" i="1"/>
  <c r="R28" i="1"/>
  <c r="B29" i="1"/>
  <c r="C29" i="1"/>
  <c r="D29" i="1"/>
  <c r="E29" i="1"/>
  <c r="F29" i="1"/>
  <c r="G29" i="1"/>
  <c r="H29" i="1"/>
  <c r="I29" i="1"/>
  <c r="J29" i="1"/>
  <c r="R29" i="1"/>
  <c r="B30" i="1"/>
  <c r="C30" i="1"/>
  <c r="D30" i="1"/>
  <c r="E30" i="1"/>
  <c r="F30" i="1"/>
  <c r="G30" i="1"/>
  <c r="H30" i="1"/>
  <c r="I30" i="1"/>
  <c r="J30" i="1"/>
  <c r="R30" i="1"/>
  <c r="B31" i="1"/>
  <c r="C31" i="1"/>
  <c r="D31" i="1"/>
  <c r="E31" i="1"/>
  <c r="F31" i="1"/>
  <c r="G31" i="1"/>
  <c r="H31" i="1"/>
  <c r="I31" i="1"/>
  <c r="J31" i="1"/>
  <c r="R31" i="1"/>
  <c r="B32" i="1"/>
  <c r="C32" i="1"/>
  <c r="D32" i="1"/>
  <c r="E32" i="1"/>
  <c r="F32" i="1"/>
  <c r="G32" i="1"/>
  <c r="H32" i="1"/>
  <c r="I32" i="1"/>
  <c r="J32" i="1"/>
  <c r="R32" i="1"/>
  <c r="B33" i="1"/>
  <c r="C33" i="1"/>
  <c r="D33" i="1"/>
  <c r="E33" i="1"/>
  <c r="F33" i="1"/>
  <c r="G33" i="1"/>
  <c r="H33" i="1"/>
  <c r="I33" i="1"/>
  <c r="J33" i="1"/>
  <c r="R33" i="1"/>
  <c r="B34" i="1"/>
  <c r="C34" i="1"/>
  <c r="D34" i="1"/>
  <c r="E34" i="1"/>
  <c r="F34" i="1"/>
  <c r="G34" i="1"/>
  <c r="H34" i="1"/>
  <c r="I34" i="1"/>
  <c r="J34" i="1"/>
  <c r="R34" i="1"/>
  <c r="B35" i="1"/>
  <c r="C35" i="1"/>
  <c r="D35" i="1"/>
  <c r="E35" i="1"/>
  <c r="F35" i="1"/>
  <c r="G35" i="1"/>
  <c r="H35" i="1"/>
  <c r="I35" i="1"/>
  <c r="J35" i="1"/>
  <c r="R35" i="1"/>
  <c r="B36" i="1"/>
  <c r="C36" i="1"/>
  <c r="D36" i="1"/>
  <c r="E36" i="1"/>
  <c r="F36" i="1"/>
  <c r="G36" i="1"/>
  <c r="H36" i="1"/>
  <c r="I36" i="1"/>
  <c r="J36" i="1"/>
  <c r="R36" i="1"/>
  <c r="B37" i="1"/>
  <c r="C37" i="1"/>
  <c r="D37" i="1"/>
  <c r="E37" i="1"/>
  <c r="F37" i="1"/>
  <c r="G37" i="1"/>
  <c r="H37" i="1"/>
  <c r="I37" i="1"/>
  <c r="J37" i="1"/>
  <c r="R37" i="1"/>
  <c r="B38" i="1"/>
  <c r="C38" i="1"/>
  <c r="D38" i="1"/>
  <c r="E38" i="1"/>
  <c r="F38" i="1"/>
  <c r="G38" i="1"/>
  <c r="H38" i="1"/>
  <c r="I38" i="1"/>
  <c r="J38" i="1"/>
  <c r="R38" i="1"/>
  <c r="B39" i="1"/>
  <c r="C39" i="1"/>
  <c r="D39" i="1"/>
  <c r="E39" i="1"/>
  <c r="F39" i="1"/>
  <c r="G39" i="1"/>
  <c r="H39" i="1"/>
  <c r="I39" i="1"/>
  <c r="J39" i="1"/>
  <c r="R39" i="1"/>
  <c r="B40" i="1"/>
  <c r="C40" i="1"/>
  <c r="D40" i="1"/>
  <c r="E40" i="1"/>
  <c r="F40" i="1"/>
  <c r="G40" i="1"/>
  <c r="H40" i="1"/>
  <c r="I40" i="1"/>
  <c r="J40" i="1"/>
  <c r="R40" i="1"/>
  <c r="B41" i="1"/>
  <c r="C41" i="1"/>
  <c r="D41" i="1"/>
  <c r="E41" i="1"/>
  <c r="F41" i="1"/>
  <c r="G41" i="1"/>
  <c r="H41" i="1"/>
  <c r="I41" i="1"/>
  <c r="J41" i="1"/>
  <c r="R41" i="1"/>
  <c r="B42" i="1"/>
  <c r="C42" i="1"/>
  <c r="D42" i="1"/>
  <c r="E42" i="1"/>
  <c r="F42" i="1"/>
  <c r="G42" i="1"/>
  <c r="H42" i="1"/>
  <c r="I42" i="1"/>
  <c r="J42" i="1"/>
  <c r="R42" i="1"/>
  <c r="B43" i="1"/>
  <c r="C43" i="1"/>
  <c r="D43" i="1"/>
  <c r="E43" i="1"/>
  <c r="F43" i="1"/>
  <c r="G43" i="1"/>
  <c r="H43" i="1"/>
  <c r="I43" i="1"/>
  <c r="J43" i="1"/>
  <c r="R43" i="1"/>
  <c r="B44" i="1"/>
  <c r="C44" i="1"/>
  <c r="D44" i="1"/>
  <c r="E44" i="1"/>
  <c r="F44" i="1"/>
  <c r="G44" i="1"/>
  <c r="H44" i="1"/>
  <c r="I44" i="1"/>
  <c r="J44" i="1"/>
  <c r="R44" i="1"/>
  <c r="B45" i="1"/>
  <c r="C45" i="1"/>
  <c r="D45" i="1"/>
  <c r="E45" i="1"/>
  <c r="F45" i="1"/>
  <c r="G45" i="1"/>
  <c r="H45" i="1"/>
  <c r="I45" i="1"/>
  <c r="J45" i="1"/>
  <c r="B46" i="1"/>
  <c r="C46" i="1"/>
  <c r="D46" i="1"/>
  <c r="E46" i="1"/>
  <c r="F46" i="1"/>
  <c r="G46" i="1"/>
  <c r="H46" i="1"/>
  <c r="I46" i="1"/>
  <c r="J46" i="1"/>
  <c r="B47" i="1"/>
  <c r="C47" i="1"/>
  <c r="D47" i="1"/>
  <c r="E47" i="1"/>
  <c r="F47" i="1"/>
  <c r="G47" i="1"/>
  <c r="H47" i="1"/>
  <c r="I47" i="1"/>
  <c r="J47" i="1"/>
  <c r="B48" i="1"/>
  <c r="C48" i="1"/>
  <c r="D48" i="1"/>
  <c r="E48" i="1"/>
  <c r="F48" i="1"/>
  <c r="G48" i="1"/>
  <c r="H48" i="1"/>
  <c r="I48" i="1"/>
  <c r="J48" i="1"/>
  <c r="B49" i="1"/>
  <c r="C49" i="1"/>
  <c r="D49" i="1"/>
  <c r="E49" i="1"/>
  <c r="F49" i="1"/>
  <c r="G49" i="1"/>
  <c r="H49" i="1"/>
  <c r="I49" i="1"/>
  <c r="J49" i="1"/>
  <c r="B50" i="1"/>
  <c r="C50" i="1"/>
  <c r="D50" i="1"/>
  <c r="E50" i="1"/>
  <c r="F50" i="1"/>
  <c r="G50" i="1"/>
  <c r="H50" i="1"/>
  <c r="I50" i="1"/>
  <c r="J50" i="1"/>
  <c r="B51" i="1"/>
  <c r="C51" i="1"/>
  <c r="D51" i="1"/>
  <c r="E51" i="1"/>
  <c r="F51" i="1"/>
  <c r="G51" i="1"/>
  <c r="H51" i="1"/>
  <c r="I51" i="1"/>
  <c r="J51" i="1"/>
  <c r="B52" i="1"/>
  <c r="C52" i="1"/>
  <c r="D52" i="1"/>
  <c r="E52" i="1"/>
  <c r="F52" i="1"/>
  <c r="G52" i="1"/>
  <c r="H52" i="1"/>
  <c r="I52" i="1"/>
  <c r="J52" i="1"/>
  <c r="B53" i="1"/>
  <c r="C53" i="1"/>
  <c r="D53" i="1"/>
  <c r="E53" i="1"/>
  <c r="F53" i="1"/>
  <c r="G53" i="1"/>
  <c r="H53" i="1"/>
  <c r="I53" i="1"/>
  <c r="J53" i="1"/>
  <c r="B54" i="1"/>
  <c r="C54" i="1"/>
  <c r="D54" i="1"/>
  <c r="E54" i="1"/>
  <c r="F54" i="1"/>
  <c r="G54" i="1"/>
  <c r="H54" i="1"/>
  <c r="I54" i="1"/>
  <c r="J54" i="1"/>
  <c r="B55" i="1"/>
  <c r="C55" i="1"/>
  <c r="D55" i="1"/>
  <c r="E55" i="1"/>
  <c r="F55" i="1"/>
  <c r="G55" i="1"/>
  <c r="H55" i="1"/>
  <c r="I55" i="1"/>
  <c r="J55" i="1"/>
  <c r="B56" i="1"/>
  <c r="C56" i="1"/>
  <c r="D56" i="1"/>
  <c r="E56" i="1"/>
  <c r="F56" i="1"/>
  <c r="G56" i="1"/>
  <c r="H56" i="1"/>
  <c r="I56" i="1"/>
  <c r="J56" i="1"/>
  <c r="B57" i="1"/>
  <c r="C57" i="1"/>
  <c r="D57" i="1"/>
  <c r="E57" i="1"/>
  <c r="F57" i="1"/>
  <c r="G57" i="1"/>
  <c r="H57" i="1"/>
  <c r="I57" i="1"/>
  <c r="J57" i="1"/>
  <c r="B58" i="1"/>
  <c r="C58" i="1"/>
  <c r="D58" i="1"/>
  <c r="E58" i="1"/>
  <c r="F58" i="1"/>
  <c r="G58" i="1"/>
  <c r="H58" i="1"/>
  <c r="I58" i="1"/>
  <c r="J58" i="1"/>
  <c r="B59" i="1"/>
  <c r="C59" i="1"/>
  <c r="D59" i="1"/>
  <c r="E59" i="1"/>
  <c r="F59" i="1"/>
  <c r="G59" i="1"/>
  <c r="H59" i="1"/>
  <c r="I59" i="1"/>
  <c r="J59" i="1"/>
  <c r="B60" i="1"/>
  <c r="C60" i="1"/>
  <c r="D60" i="1"/>
  <c r="E60" i="1"/>
  <c r="F60" i="1"/>
  <c r="G60" i="1"/>
  <c r="H60" i="1"/>
  <c r="I60" i="1"/>
  <c r="J60" i="1"/>
  <c r="B61" i="1"/>
  <c r="C61" i="1"/>
  <c r="D61" i="1"/>
  <c r="E61" i="1"/>
  <c r="F61" i="1"/>
  <c r="G61" i="1"/>
  <c r="H61" i="1"/>
  <c r="I61" i="1"/>
  <c r="J61" i="1"/>
  <c r="B62" i="1"/>
  <c r="C62" i="1"/>
  <c r="D62" i="1"/>
  <c r="E62" i="1"/>
  <c r="F62" i="1"/>
  <c r="G62" i="1"/>
  <c r="H62" i="1"/>
  <c r="I62" i="1"/>
  <c r="J62" i="1"/>
  <c r="B63" i="1"/>
  <c r="C63" i="1"/>
  <c r="D63" i="1"/>
  <c r="E63" i="1"/>
  <c r="F63" i="1"/>
  <c r="G63" i="1"/>
  <c r="H63" i="1"/>
  <c r="I63" i="1"/>
  <c r="J63" i="1"/>
  <c r="B64" i="1"/>
  <c r="C64" i="1"/>
  <c r="D64" i="1"/>
  <c r="E64" i="1"/>
  <c r="F64" i="1"/>
  <c r="G64" i="1"/>
  <c r="H64" i="1"/>
  <c r="I64" i="1"/>
  <c r="J64" i="1"/>
  <c r="B65" i="1"/>
  <c r="C65" i="1"/>
  <c r="D65" i="1"/>
  <c r="E65" i="1"/>
  <c r="F65" i="1"/>
  <c r="G65" i="1"/>
  <c r="H65" i="1"/>
  <c r="I65" i="1"/>
  <c r="J65" i="1"/>
  <c r="B66" i="1"/>
  <c r="C66" i="1"/>
  <c r="D66" i="1"/>
  <c r="E66" i="1"/>
  <c r="F66" i="1"/>
  <c r="G66" i="1"/>
  <c r="H66" i="1"/>
  <c r="I66" i="1"/>
  <c r="J66" i="1"/>
  <c r="B67" i="1"/>
  <c r="C67" i="1"/>
  <c r="D67" i="1"/>
  <c r="E67" i="1"/>
  <c r="F67" i="1"/>
  <c r="G67" i="1"/>
  <c r="H67" i="1"/>
  <c r="I67" i="1"/>
  <c r="J67" i="1"/>
  <c r="B68" i="1"/>
  <c r="C68" i="1"/>
  <c r="D68" i="1"/>
  <c r="E68" i="1"/>
  <c r="F68" i="1"/>
  <c r="G68" i="1"/>
  <c r="H68" i="1"/>
  <c r="I68" i="1"/>
  <c r="J68" i="1"/>
  <c r="B69" i="1"/>
  <c r="C69" i="1"/>
  <c r="D69" i="1"/>
  <c r="E69" i="1"/>
  <c r="F69" i="1"/>
  <c r="G69" i="1"/>
  <c r="H69" i="1"/>
  <c r="I69" i="1"/>
  <c r="J69" i="1"/>
  <c r="B70" i="1"/>
  <c r="C70" i="1"/>
  <c r="D70" i="1"/>
  <c r="E70" i="1"/>
  <c r="F70" i="1"/>
  <c r="G70" i="1"/>
  <c r="H70" i="1"/>
  <c r="I70" i="1"/>
  <c r="J70" i="1"/>
  <c r="B71" i="1"/>
  <c r="C71" i="1"/>
  <c r="D71" i="1"/>
  <c r="E71" i="1"/>
  <c r="F71" i="1"/>
  <c r="G71" i="1"/>
  <c r="H71" i="1"/>
  <c r="I71" i="1"/>
  <c r="J71" i="1"/>
  <c r="B72" i="1"/>
  <c r="C72" i="1"/>
  <c r="D72" i="1"/>
  <c r="E72" i="1"/>
  <c r="F72" i="1"/>
  <c r="G72" i="1"/>
  <c r="H72" i="1"/>
  <c r="I72" i="1"/>
  <c r="J72" i="1"/>
  <c r="B73" i="1"/>
  <c r="C73" i="1"/>
  <c r="D73" i="1"/>
  <c r="E73" i="1"/>
  <c r="F73" i="1"/>
  <c r="G73" i="1"/>
  <c r="H73" i="1"/>
  <c r="I73" i="1"/>
  <c r="J73" i="1"/>
  <c r="B74" i="1"/>
  <c r="C74" i="1"/>
  <c r="D74" i="1"/>
  <c r="E74" i="1"/>
  <c r="F74" i="1"/>
  <c r="G74" i="1"/>
  <c r="H74" i="1"/>
  <c r="I74" i="1"/>
  <c r="J74" i="1"/>
  <c r="B75" i="1"/>
  <c r="C75" i="1"/>
  <c r="D75" i="1"/>
  <c r="E75" i="1"/>
  <c r="F75" i="1"/>
  <c r="G75" i="1"/>
  <c r="H75" i="1"/>
  <c r="I75" i="1"/>
  <c r="J75" i="1"/>
  <c r="B76" i="1"/>
  <c r="C76" i="1"/>
  <c r="D76" i="1"/>
  <c r="E76" i="1"/>
  <c r="F76" i="1"/>
  <c r="G76" i="1"/>
  <c r="H76" i="1"/>
  <c r="I76" i="1"/>
  <c r="J76" i="1"/>
  <c r="B77" i="1"/>
  <c r="C77" i="1"/>
  <c r="D77" i="1"/>
  <c r="E77" i="1"/>
  <c r="F77" i="1"/>
  <c r="G77" i="1"/>
  <c r="H77" i="1"/>
  <c r="I77" i="1"/>
  <c r="J77" i="1"/>
  <c r="B78" i="1"/>
  <c r="C78" i="1"/>
  <c r="D78" i="1"/>
  <c r="E78" i="1"/>
  <c r="F78" i="1"/>
  <c r="G78" i="1"/>
  <c r="H78" i="1"/>
  <c r="I78" i="1"/>
  <c r="J78" i="1"/>
  <c r="B79" i="1"/>
  <c r="C79" i="1"/>
  <c r="D79" i="1"/>
  <c r="E79" i="1"/>
  <c r="F79" i="1"/>
  <c r="G79" i="1"/>
  <c r="H79" i="1"/>
  <c r="I79" i="1"/>
  <c r="J79" i="1"/>
  <c r="B80" i="1"/>
  <c r="C80" i="1"/>
  <c r="D80" i="1"/>
  <c r="E80" i="1"/>
  <c r="F80" i="1"/>
  <c r="G80" i="1"/>
  <c r="H80" i="1"/>
  <c r="I80" i="1"/>
  <c r="J80" i="1"/>
  <c r="B81" i="1"/>
  <c r="C81" i="1"/>
  <c r="D81" i="1"/>
  <c r="E81" i="1"/>
  <c r="F81" i="1"/>
  <c r="G81" i="1"/>
  <c r="H81" i="1"/>
  <c r="I81" i="1"/>
  <c r="J81" i="1"/>
  <c r="B82" i="1"/>
  <c r="C82" i="1"/>
  <c r="D82" i="1"/>
  <c r="E82" i="1"/>
  <c r="F82" i="1"/>
  <c r="G82" i="1"/>
  <c r="H82" i="1"/>
  <c r="I82" i="1"/>
  <c r="J82" i="1"/>
  <c r="B83" i="1"/>
  <c r="C83" i="1"/>
  <c r="D83" i="1"/>
  <c r="E83" i="1"/>
  <c r="F83" i="1"/>
  <c r="G83" i="1"/>
  <c r="H83" i="1"/>
  <c r="I83" i="1"/>
  <c r="J83" i="1"/>
  <c r="B84" i="1"/>
  <c r="C84" i="1"/>
  <c r="D84" i="1"/>
  <c r="E84" i="1"/>
  <c r="F84" i="1"/>
  <c r="G84" i="1"/>
  <c r="H84" i="1"/>
  <c r="I84" i="1"/>
  <c r="J84" i="1"/>
  <c r="B85" i="1"/>
  <c r="C85" i="1"/>
  <c r="D85" i="1"/>
  <c r="E85" i="1"/>
  <c r="F85" i="1"/>
  <c r="G85" i="1"/>
  <c r="H85" i="1"/>
  <c r="I85" i="1"/>
  <c r="J85" i="1"/>
  <c r="B86" i="1"/>
  <c r="C86" i="1"/>
  <c r="D86" i="1"/>
  <c r="E86" i="1"/>
  <c r="F86" i="1"/>
  <c r="G86" i="1"/>
  <c r="H86" i="1"/>
  <c r="I86" i="1"/>
  <c r="J86" i="1"/>
  <c r="B87" i="1"/>
  <c r="C87" i="1"/>
  <c r="D87" i="1"/>
  <c r="E87" i="1"/>
  <c r="F87" i="1"/>
  <c r="G87" i="1"/>
  <c r="H87" i="1"/>
  <c r="I87" i="1"/>
  <c r="J87" i="1"/>
  <c r="B88" i="1"/>
  <c r="C88" i="1"/>
  <c r="D88" i="1"/>
  <c r="E88" i="1"/>
  <c r="F88" i="1"/>
  <c r="G88" i="1"/>
  <c r="H88" i="1"/>
  <c r="I88" i="1"/>
  <c r="J88" i="1"/>
  <c r="B89" i="1"/>
  <c r="C89" i="1"/>
  <c r="D89" i="1"/>
  <c r="E89" i="1"/>
  <c r="F89" i="1"/>
  <c r="G89" i="1"/>
  <c r="H89" i="1"/>
  <c r="I89" i="1"/>
  <c r="J89" i="1"/>
  <c r="B90" i="1"/>
  <c r="C90" i="1"/>
  <c r="D90" i="1"/>
  <c r="E90" i="1"/>
  <c r="F90" i="1"/>
  <c r="G90" i="1"/>
  <c r="H90" i="1"/>
  <c r="I90" i="1"/>
  <c r="J90" i="1"/>
  <c r="B91" i="1"/>
  <c r="C91" i="1"/>
  <c r="D91" i="1"/>
  <c r="E91" i="1"/>
  <c r="F91" i="1"/>
  <c r="G91" i="1"/>
  <c r="H91" i="1"/>
  <c r="I91" i="1"/>
  <c r="J91" i="1"/>
  <c r="B92" i="1"/>
  <c r="C92" i="1"/>
  <c r="D92" i="1"/>
  <c r="E92" i="1"/>
  <c r="F92" i="1"/>
  <c r="G92" i="1"/>
  <c r="H92" i="1"/>
  <c r="I92" i="1"/>
  <c r="J92" i="1"/>
  <c r="B93" i="1"/>
  <c r="C93" i="1"/>
  <c r="D93" i="1"/>
  <c r="E93" i="1"/>
  <c r="F93" i="1"/>
  <c r="G93" i="1"/>
  <c r="H93" i="1"/>
  <c r="I93" i="1"/>
  <c r="J93" i="1"/>
  <c r="B94" i="1"/>
  <c r="C94" i="1"/>
  <c r="D94" i="1"/>
  <c r="E94" i="1"/>
  <c r="F94" i="1"/>
  <c r="G94" i="1"/>
  <c r="H94" i="1"/>
  <c r="I94" i="1"/>
  <c r="J94" i="1"/>
  <c r="B95" i="1"/>
  <c r="C95" i="1"/>
  <c r="D95" i="1"/>
  <c r="E95" i="1"/>
  <c r="F95" i="1"/>
  <c r="G95" i="1"/>
  <c r="H95" i="1"/>
  <c r="I95" i="1"/>
  <c r="J95" i="1"/>
  <c r="B96" i="1"/>
  <c r="C96" i="1"/>
  <c r="D96" i="1"/>
  <c r="E96" i="1"/>
  <c r="F96" i="1"/>
  <c r="G96" i="1"/>
  <c r="H96" i="1"/>
  <c r="I96" i="1"/>
  <c r="J96" i="1"/>
  <c r="B97" i="1"/>
  <c r="C97" i="1"/>
  <c r="D97" i="1"/>
  <c r="E97" i="1"/>
  <c r="F97" i="1"/>
  <c r="G97" i="1"/>
  <c r="H97" i="1"/>
  <c r="I97" i="1"/>
  <c r="J97" i="1"/>
  <c r="B98" i="1"/>
  <c r="C98" i="1"/>
  <c r="D98" i="1"/>
  <c r="E98" i="1"/>
  <c r="F98" i="1"/>
  <c r="G98" i="1"/>
  <c r="H98" i="1"/>
  <c r="I98" i="1"/>
  <c r="J98" i="1"/>
  <c r="B99" i="1"/>
  <c r="C99" i="1"/>
  <c r="D99" i="1"/>
  <c r="E99" i="1"/>
  <c r="F99" i="1"/>
  <c r="G99" i="1"/>
  <c r="H99" i="1"/>
  <c r="I99" i="1"/>
  <c r="J99" i="1"/>
  <c r="B100" i="1"/>
  <c r="C100" i="1"/>
  <c r="D100" i="1"/>
  <c r="E100" i="1"/>
  <c r="F100" i="1"/>
  <c r="G100" i="1"/>
  <c r="H100" i="1"/>
  <c r="I100" i="1"/>
  <c r="J100" i="1"/>
  <c r="B101" i="1"/>
  <c r="C101" i="1"/>
  <c r="D101" i="1"/>
  <c r="E101" i="1"/>
  <c r="F101" i="1"/>
  <c r="G101" i="1"/>
  <c r="H101" i="1"/>
  <c r="I101" i="1"/>
  <c r="J101" i="1"/>
  <c r="B102" i="1"/>
  <c r="C102" i="1"/>
  <c r="D102" i="1"/>
  <c r="E102" i="1"/>
  <c r="F102" i="1"/>
  <c r="G102" i="1"/>
  <c r="H102" i="1"/>
  <c r="I102" i="1"/>
  <c r="J102" i="1"/>
  <c r="B103" i="1"/>
  <c r="C103" i="1"/>
  <c r="D103" i="1"/>
  <c r="E103" i="1"/>
  <c r="F103" i="1"/>
  <c r="G103" i="1"/>
  <c r="H103" i="1"/>
  <c r="I103" i="1"/>
  <c r="J103" i="1"/>
  <c r="B104" i="1"/>
  <c r="C104" i="1"/>
  <c r="D104" i="1"/>
  <c r="E104" i="1"/>
  <c r="F104" i="1"/>
  <c r="G104" i="1"/>
  <c r="H104" i="1"/>
  <c r="I104" i="1"/>
  <c r="J104" i="1"/>
  <c r="B105" i="1"/>
  <c r="C105" i="1"/>
  <c r="D105" i="1"/>
  <c r="E105" i="1"/>
  <c r="F105" i="1"/>
  <c r="G105" i="1"/>
  <c r="H105" i="1"/>
  <c r="I105" i="1"/>
  <c r="J105" i="1"/>
  <c r="B106" i="1"/>
  <c r="C106" i="1"/>
  <c r="D106" i="1"/>
  <c r="E106" i="1"/>
  <c r="F106" i="1"/>
  <c r="G106" i="1"/>
  <c r="H106" i="1"/>
  <c r="I106" i="1"/>
  <c r="J106" i="1"/>
  <c r="B107" i="1"/>
  <c r="C107" i="1"/>
  <c r="D107" i="1"/>
  <c r="E107" i="1"/>
  <c r="F107" i="1"/>
  <c r="G107" i="1"/>
  <c r="H107" i="1"/>
  <c r="I107" i="1"/>
  <c r="J107" i="1"/>
  <c r="B108" i="1"/>
  <c r="C108" i="1"/>
  <c r="D108" i="1"/>
  <c r="E108" i="1"/>
  <c r="F108" i="1"/>
  <c r="G108" i="1"/>
  <c r="H108" i="1"/>
  <c r="I108" i="1"/>
  <c r="J108" i="1"/>
  <c r="B109" i="1"/>
  <c r="C109" i="1"/>
  <c r="D109" i="1"/>
  <c r="E109" i="1"/>
  <c r="F109" i="1"/>
  <c r="G109" i="1"/>
  <c r="H109" i="1"/>
  <c r="I109" i="1"/>
  <c r="J109" i="1"/>
  <c r="B110" i="1"/>
  <c r="C110" i="1"/>
  <c r="D110" i="1"/>
  <c r="E110" i="1"/>
  <c r="F110" i="1"/>
  <c r="G110" i="1"/>
  <c r="H110" i="1"/>
  <c r="I110" i="1"/>
  <c r="J110" i="1"/>
  <c r="B111" i="1"/>
  <c r="C111" i="1"/>
  <c r="D111" i="1"/>
  <c r="E111" i="1"/>
  <c r="F111" i="1"/>
  <c r="G111" i="1"/>
  <c r="H111" i="1"/>
  <c r="I111" i="1"/>
  <c r="J111" i="1"/>
  <c r="B112" i="1"/>
  <c r="C112" i="1"/>
  <c r="D112" i="1"/>
  <c r="E112" i="1"/>
  <c r="F112" i="1"/>
  <c r="G112" i="1"/>
  <c r="H112" i="1"/>
  <c r="I112" i="1"/>
  <c r="J112" i="1"/>
  <c r="B113" i="1"/>
  <c r="C113" i="1"/>
  <c r="D113" i="1"/>
  <c r="E113" i="1"/>
  <c r="F113" i="1"/>
  <c r="G113" i="1"/>
  <c r="H113" i="1"/>
  <c r="I113" i="1"/>
  <c r="J113" i="1"/>
  <c r="B114" i="1"/>
  <c r="C114" i="1"/>
  <c r="D114" i="1"/>
  <c r="E114" i="1"/>
  <c r="F114" i="1"/>
  <c r="G114" i="1"/>
  <c r="H114" i="1"/>
  <c r="I114" i="1"/>
  <c r="J114" i="1"/>
  <c r="B115" i="1"/>
  <c r="C115" i="1"/>
  <c r="D115" i="1"/>
  <c r="E115" i="1"/>
  <c r="F115" i="1"/>
  <c r="G115" i="1"/>
  <c r="H115" i="1"/>
  <c r="I115" i="1"/>
  <c r="J115" i="1"/>
  <c r="B116" i="1"/>
  <c r="C116" i="1"/>
  <c r="D116" i="1"/>
  <c r="E116" i="1"/>
  <c r="F116" i="1"/>
  <c r="G116" i="1"/>
  <c r="H116" i="1"/>
  <c r="I116" i="1"/>
  <c r="J116" i="1"/>
  <c r="B117" i="1"/>
  <c r="C117" i="1"/>
  <c r="D117" i="1"/>
  <c r="E117" i="1"/>
  <c r="F117" i="1"/>
  <c r="G117" i="1"/>
  <c r="H117" i="1"/>
  <c r="I117" i="1"/>
  <c r="J117" i="1"/>
  <c r="B118" i="1"/>
  <c r="C118" i="1"/>
  <c r="D118" i="1"/>
  <c r="E118" i="1"/>
  <c r="F118" i="1"/>
  <c r="G118" i="1"/>
  <c r="H118" i="1"/>
  <c r="I118" i="1"/>
  <c r="J118" i="1"/>
  <c r="B119" i="1"/>
  <c r="C119" i="1"/>
  <c r="D119" i="1"/>
  <c r="E119" i="1"/>
  <c r="F119" i="1"/>
  <c r="G119" i="1"/>
  <c r="H119" i="1"/>
  <c r="I119" i="1"/>
  <c r="J119" i="1"/>
  <c r="B120" i="1"/>
  <c r="C120" i="1"/>
  <c r="D120" i="1"/>
  <c r="E120" i="1"/>
  <c r="F120" i="1"/>
  <c r="G120" i="1"/>
  <c r="H120" i="1"/>
  <c r="I120" i="1"/>
  <c r="J120" i="1"/>
  <c r="B121" i="1"/>
  <c r="C121" i="1"/>
  <c r="D121" i="1"/>
  <c r="E121" i="1"/>
  <c r="F121" i="1"/>
  <c r="G121" i="1"/>
  <c r="H121" i="1"/>
  <c r="I121" i="1"/>
  <c r="J121" i="1"/>
  <c r="B122" i="1"/>
  <c r="C122" i="1"/>
  <c r="D122" i="1"/>
  <c r="E122" i="1"/>
  <c r="F122" i="1"/>
  <c r="G122" i="1"/>
  <c r="H122" i="1"/>
  <c r="I122" i="1"/>
  <c r="J122" i="1"/>
  <c r="B123" i="1"/>
  <c r="C123" i="1"/>
  <c r="D123" i="1"/>
  <c r="E123" i="1"/>
  <c r="F123" i="1"/>
  <c r="G123" i="1"/>
  <c r="H123" i="1"/>
  <c r="I123" i="1"/>
  <c r="J123" i="1"/>
  <c r="B124" i="1"/>
  <c r="C124" i="1"/>
  <c r="D124" i="1"/>
  <c r="E124" i="1"/>
  <c r="F124" i="1"/>
  <c r="G124" i="1"/>
  <c r="H124" i="1"/>
  <c r="I124" i="1"/>
  <c r="J124" i="1"/>
  <c r="B125" i="1"/>
  <c r="C125" i="1"/>
  <c r="D125" i="1"/>
  <c r="E125" i="1"/>
  <c r="F125" i="1"/>
  <c r="G125" i="1"/>
  <c r="H125" i="1"/>
  <c r="I125" i="1"/>
  <c r="J125" i="1"/>
  <c r="B126" i="1"/>
  <c r="C126" i="1"/>
  <c r="D126" i="1"/>
  <c r="E126" i="1"/>
  <c r="F126" i="1"/>
  <c r="G126" i="1"/>
  <c r="H126" i="1"/>
  <c r="I126" i="1"/>
  <c r="J126" i="1"/>
  <c r="B127" i="1"/>
  <c r="C127" i="1"/>
  <c r="D127" i="1"/>
  <c r="E127" i="1"/>
  <c r="F127" i="1"/>
  <c r="G127" i="1"/>
  <c r="H127" i="1"/>
  <c r="I127" i="1"/>
  <c r="J127" i="1"/>
  <c r="B128" i="1"/>
  <c r="C128" i="1"/>
  <c r="D128" i="1"/>
  <c r="E128" i="1"/>
  <c r="F128" i="1"/>
  <c r="G128" i="1"/>
  <c r="H128" i="1"/>
  <c r="I128" i="1"/>
  <c r="J128" i="1"/>
  <c r="B129" i="1"/>
  <c r="C129" i="1"/>
  <c r="D129" i="1"/>
  <c r="E129" i="1"/>
  <c r="F129" i="1"/>
  <c r="G129" i="1"/>
  <c r="H129" i="1"/>
  <c r="I129" i="1"/>
  <c r="J129" i="1"/>
  <c r="B130" i="1"/>
  <c r="C130" i="1"/>
  <c r="D130" i="1"/>
  <c r="E130" i="1"/>
  <c r="F130" i="1"/>
  <c r="G130" i="1"/>
  <c r="H130" i="1"/>
  <c r="I130" i="1"/>
  <c r="J130" i="1"/>
  <c r="B131" i="1"/>
  <c r="C131" i="1"/>
  <c r="D131" i="1"/>
  <c r="E131" i="1"/>
  <c r="F131" i="1"/>
  <c r="G131" i="1"/>
  <c r="H131" i="1"/>
  <c r="I131" i="1"/>
  <c r="J131" i="1"/>
  <c r="B132" i="1"/>
  <c r="C132" i="1"/>
  <c r="D132" i="1"/>
  <c r="E132" i="1"/>
  <c r="F132" i="1"/>
  <c r="G132" i="1"/>
  <c r="H132" i="1"/>
  <c r="I132" i="1"/>
  <c r="J132" i="1"/>
  <c r="B133" i="1"/>
  <c r="C133" i="1"/>
  <c r="D133" i="1"/>
  <c r="E133" i="1"/>
  <c r="F133" i="1"/>
  <c r="G133" i="1"/>
  <c r="H133" i="1"/>
  <c r="I133" i="1"/>
  <c r="J133" i="1"/>
  <c r="B134" i="1"/>
  <c r="C134" i="1"/>
  <c r="D134" i="1"/>
  <c r="E134" i="1"/>
  <c r="F134" i="1"/>
  <c r="G134" i="1"/>
  <c r="H134" i="1"/>
  <c r="I134" i="1"/>
  <c r="J134" i="1"/>
  <c r="B135" i="1"/>
  <c r="C135" i="1"/>
  <c r="D135" i="1"/>
  <c r="E135" i="1"/>
  <c r="F135" i="1"/>
  <c r="G135" i="1"/>
  <c r="H135" i="1"/>
  <c r="I135" i="1"/>
  <c r="J135" i="1"/>
  <c r="B136" i="1"/>
  <c r="C136" i="1"/>
  <c r="D136" i="1"/>
  <c r="E136" i="1"/>
  <c r="F136" i="1"/>
  <c r="G136" i="1"/>
  <c r="H136" i="1"/>
  <c r="I136" i="1"/>
  <c r="J136" i="1"/>
  <c r="B137" i="1"/>
  <c r="C137" i="1"/>
  <c r="D137" i="1"/>
  <c r="E137" i="1"/>
  <c r="F137" i="1"/>
  <c r="G137" i="1"/>
  <c r="H137" i="1"/>
  <c r="I137" i="1"/>
  <c r="J137" i="1"/>
  <c r="B138" i="1"/>
  <c r="C138" i="1"/>
  <c r="D138" i="1"/>
  <c r="E138" i="1"/>
  <c r="F138" i="1"/>
  <c r="G138" i="1"/>
  <c r="H138" i="1"/>
  <c r="I138" i="1"/>
  <c r="J138" i="1"/>
  <c r="B139" i="1"/>
  <c r="C139" i="1"/>
  <c r="D139" i="1"/>
  <c r="E139" i="1"/>
  <c r="F139" i="1"/>
  <c r="G139" i="1"/>
  <c r="H139" i="1"/>
  <c r="I139" i="1"/>
  <c r="J139" i="1"/>
  <c r="B140" i="1"/>
  <c r="C140" i="1"/>
  <c r="D140" i="1"/>
  <c r="E140" i="1"/>
  <c r="F140" i="1"/>
  <c r="G140" i="1"/>
  <c r="H140" i="1"/>
  <c r="I140" i="1"/>
  <c r="J140" i="1"/>
  <c r="B141" i="1"/>
  <c r="C141" i="1"/>
  <c r="D141" i="1"/>
  <c r="E141" i="1"/>
  <c r="F141" i="1"/>
  <c r="G141" i="1"/>
  <c r="H141" i="1"/>
  <c r="I141" i="1"/>
  <c r="J141" i="1"/>
  <c r="B142" i="1"/>
  <c r="C142" i="1"/>
  <c r="D142" i="1"/>
  <c r="E142" i="1"/>
  <c r="F142" i="1"/>
  <c r="G142" i="1"/>
  <c r="H142" i="1"/>
  <c r="I142" i="1"/>
  <c r="J142" i="1"/>
  <c r="B143" i="1"/>
  <c r="C143" i="1"/>
  <c r="D143" i="1"/>
  <c r="E143" i="1"/>
  <c r="F143" i="1"/>
  <c r="G143" i="1"/>
  <c r="H143" i="1"/>
  <c r="I143" i="1"/>
  <c r="J143" i="1"/>
  <c r="B144" i="1"/>
  <c r="C144" i="1"/>
  <c r="D144" i="1"/>
  <c r="E144" i="1"/>
  <c r="F144" i="1"/>
  <c r="G144" i="1"/>
  <c r="H144" i="1"/>
  <c r="I144" i="1"/>
  <c r="J144" i="1"/>
  <c r="B145" i="1"/>
  <c r="C145" i="1"/>
  <c r="D145" i="1"/>
  <c r="E145" i="1"/>
  <c r="F145" i="1"/>
  <c r="G145" i="1"/>
  <c r="H145" i="1"/>
  <c r="I145" i="1"/>
  <c r="J145" i="1"/>
  <c r="B146" i="1"/>
  <c r="C146" i="1"/>
  <c r="D146" i="1"/>
  <c r="E146" i="1"/>
  <c r="F146" i="1"/>
  <c r="G146" i="1"/>
  <c r="H146" i="1"/>
  <c r="I146" i="1"/>
  <c r="J146" i="1"/>
  <c r="B147" i="1"/>
  <c r="C147" i="1"/>
  <c r="D147" i="1"/>
  <c r="E147" i="1"/>
  <c r="F147" i="1"/>
  <c r="G147" i="1"/>
  <c r="H147" i="1"/>
  <c r="I147" i="1"/>
  <c r="J147" i="1"/>
  <c r="B148" i="1"/>
  <c r="C148" i="1"/>
  <c r="D148" i="1"/>
  <c r="E148" i="1"/>
  <c r="F148" i="1"/>
  <c r="G148" i="1"/>
  <c r="H148" i="1"/>
  <c r="I148" i="1"/>
  <c r="J148" i="1"/>
  <c r="B149" i="1"/>
  <c r="C149" i="1"/>
  <c r="D149" i="1"/>
  <c r="E149" i="1"/>
  <c r="F149" i="1"/>
  <c r="G149" i="1"/>
  <c r="H149" i="1"/>
  <c r="I149" i="1"/>
  <c r="J149" i="1"/>
  <c r="B150" i="1"/>
  <c r="C150" i="1"/>
  <c r="D150" i="1"/>
  <c r="E150" i="1"/>
  <c r="F150" i="1"/>
  <c r="G150" i="1"/>
  <c r="H150" i="1"/>
  <c r="I150" i="1"/>
  <c r="J150" i="1"/>
  <c r="B151" i="1"/>
  <c r="C151" i="1"/>
  <c r="D151" i="1"/>
  <c r="E151" i="1"/>
  <c r="F151" i="1"/>
  <c r="G151" i="1"/>
  <c r="H151" i="1"/>
  <c r="I151" i="1"/>
  <c r="J151" i="1"/>
  <c r="B152" i="1"/>
  <c r="C152" i="1"/>
  <c r="D152" i="1"/>
  <c r="E152" i="1"/>
  <c r="F152" i="1"/>
  <c r="G152" i="1"/>
  <c r="H152" i="1"/>
  <c r="I152" i="1"/>
  <c r="J152" i="1"/>
  <c r="B153" i="1"/>
  <c r="C153" i="1"/>
  <c r="D153" i="1"/>
  <c r="E153" i="1"/>
  <c r="F153" i="1"/>
  <c r="G153" i="1"/>
  <c r="H153" i="1"/>
  <c r="I153" i="1"/>
  <c r="J153" i="1"/>
  <c r="B154" i="1"/>
  <c r="C154" i="1"/>
  <c r="D154" i="1"/>
  <c r="E154" i="1"/>
  <c r="F154" i="1"/>
  <c r="G154" i="1"/>
  <c r="H154" i="1"/>
  <c r="I154" i="1"/>
  <c r="J154" i="1"/>
  <c r="B155" i="1"/>
  <c r="C155" i="1"/>
  <c r="D155" i="1"/>
  <c r="E155" i="1"/>
  <c r="F155" i="1"/>
  <c r="G155" i="1"/>
  <c r="H155" i="1"/>
  <c r="I155" i="1"/>
  <c r="J155" i="1"/>
  <c r="B156" i="1"/>
  <c r="C156" i="1"/>
  <c r="D156" i="1"/>
  <c r="E156" i="1"/>
  <c r="F156" i="1"/>
  <c r="G156" i="1"/>
  <c r="H156" i="1"/>
  <c r="I156" i="1"/>
  <c r="J156" i="1"/>
  <c r="B157" i="1"/>
  <c r="C157" i="1"/>
  <c r="D157" i="1"/>
  <c r="E157" i="1"/>
  <c r="F157" i="1"/>
  <c r="G157" i="1"/>
  <c r="H157" i="1"/>
  <c r="I157" i="1"/>
  <c r="J157" i="1"/>
  <c r="B158" i="1"/>
  <c r="C158" i="1"/>
  <c r="D158" i="1"/>
  <c r="E158" i="1"/>
  <c r="F158" i="1"/>
  <c r="G158" i="1"/>
  <c r="H158" i="1"/>
  <c r="I158" i="1"/>
  <c r="J158" i="1"/>
  <c r="B159" i="1"/>
  <c r="C159" i="1"/>
  <c r="D159" i="1"/>
  <c r="E159" i="1"/>
  <c r="F159" i="1"/>
  <c r="G159" i="1"/>
  <c r="H159" i="1"/>
  <c r="I159" i="1"/>
  <c r="J159" i="1"/>
  <c r="B160" i="1"/>
  <c r="C160" i="1"/>
  <c r="D160" i="1"/>
  <c r="E160" i="1"/>
  <c r="F160" i="1"/>
  <c r="G160" i="1"/>
  <c r="H160" i="1"/>
  <c r="I160" i="1"/>
  <c r="J160" i="1"/>
  <c r="B161" i="1"/>
  <c r="C161" i="1"/>
  <c r="D161" i="1"/>
  <c r="E161" i="1"/>
  <c r="F161" i="1"/>
  <c r="G161" i="1"/>
  <c r="H161" i="1"/>
  <c r="I161" i="1"/>
  <c r="J161" i="1"/>
  <c r="B162" i="1"/>
  <c r="C162" i="1"/>
  <c r="D162" i="1"/>
  <c r="E162" i="1"/>
  <c r="F162" i="1"/>
  <c r="G162" i="1"/>
  <c r="H162" i="1"/>
  <c r="I162" i="1"/>
  <c r="J162" i="1"/>
  <c r="B163" i="1"/>
  <c r="C163" i="1"/>
  <c r="D163" i="1"/>
  <c r="E163" i="1"/>
  <c r="F163" i="1"/>
  <c r="G163" i="1"/>
  <c r="H163" i="1"/>
  <c r="I163" i="1"/>
  <c r="J163" i="1"/>
  <c r="B164" i="1"/>
  <c r="C164" i="1"/>
  <c r="D164" i="1"/>
  <c r="E164" i="1"/>
  <c r="F164" i="1"/>
  <c r="G164" i="1"/>
  <c r="H164" i="1"/>
  <c r="I164" i="1"/>
  <c r="J164" i="1"/>
  <c r="B165" i="1"/>
  <c r="C165" i="1"/>
  <c r="D165" i="1"/>
  <c r="E165" i="1"/>
  <c r="F165" i="1"/>
  <c r="G165" i="1"/>
  <c r="H165" i="1"/>
  <c r="I165" i="1"/>
  <c r="J165" i="1"/>
  <c r="B166" i="1"/>
  <c r="C166" i="1"/>
  <c r="D166" i="1"/>
  <c r="E166" i="1"/>
  <c r="F166" i="1"/>
  <c r="G166" i="1"/>
  <c r="H166" i="1"/>
  <c r="I166" i="1"/>
  <c r="J166" i="1"/>
  <c r="B167" i="1"/>
  <c r="C167" i="1"/>
  <c r="D167" i="1"/>
  <c r="E167" i="1"/>
  <c r="F167" i="1"/>
  <c r="G167" i="1"/>
  <c r="H167" i="1"/>
  <c r="I167" i="1"/>
  <c r="J167" i="1"/>
  <c r="B168" i="1"/>
  <c r="C168" i="1"/>
  <c r="D168" i="1"/>
  <c r="E168" i="1"/>
  <c r="F168" i="1"/>
  <c r="G168" i="1"/>
  <c r="H168" i="1"/>
  <c r="I168" i="1"/>
  <c r="J168" i="1"/>
  <c r="B169" i="1"/>
  <c r="C169" i="1"/>
  <c r="D169" i="1"/>
  <c r="E169" i="1"/>
  <c r="F169" i="1"/>
  <c r="G169" i="1"/>
  <c r="H169" i="1"/>
  <c r="I169" i="1"/>
  <c r="J169" i="1"/>
  <c r="B170" i="1"/>
  <c r="C170" i="1"/>
  <c r="D170" i="1"/>
  <c r="E170" i="1"/>
  <c r="F170" i="1"/>
  <c r="G170" i="1"/>
  <c r="H170" i="1"/>
  <c r="I170" i="1"/>
  <c r="J170" i="1"/>
  <c r="B171" i="1"/>
  <c r="C171" i="1"/>
  <c r="D171" i="1"/>
  <c r="E171" i="1"/>
  <c r="F171" i="1"/>
  <c r="G171" i="1"/>
  <c r="H171" i="1"/>
  <c r="I171" i="1"/>
  <c r="J171" i="1"/>
  <c r="B172" i="1"/>
  <c r="C172" i="1"/>
  <c r="D172" i="1"/>
  <c r="E172" i="1"/>
  <c r="F172" i="1"/>
  <c r="G172" i="1"/>
  <c r="H172" i="1"/>
  <c r="I172" i="1"/>
  <c r="J172" i="1"/>
  <c r="B173" i="1"/>
  <c r="C173" i="1"/>
  <c r="D173" i="1"/>
  <c r="E173" i="1"/>
  <c r="F173" i="1"/>
  <c r="G173" i="1"/>
  <c r="H173" i="1"/>
  <c r="I173" i="1"/>
  <c r="J173" i="1"/>
  <c r="B174" i="1"/>
  <c r="C174" i="1"/>
  <c r="D174" i="1"/>
  <c r="E174" i="1"/>
  <c r="F174" i="1"/>
  <c r="G174" i="1"/>
  <c r="H174" i="1"/>
  <c r="I174" i="1"/>
  <c r="J174" i="1"/>
  <c r="B175" i="1"/>
  <c r="C175" i="1"/>
  <c r="D175" i="1"/>
  <c r="E175" i="1"/>
  <c r="F175" i="1"/>
  <c r="G175" i="1"/>
  <c r="H175" i="1"/>
  <c r="I175" i="1"/>
  <c r="J175" i="1"/>
  <c r="B176" i="1"/>
  <c r="C176" i="1"/>
  <c r="D176" i="1"/>
  <c r="E176" i="1"/>
  <c r="F176" i="1"/>
  <c r="G176" i="1"/>
  <c r="H176" i="1"/>
  <c r="I176" i="1"/>
  <c r="J176" i="1"/>
  <c r="B177" i="1"/>
  <c r="C177" i="1"/>
  <c r="D177" i="1"/>
  <c r="E177" i="1"/>
  <c r="F177" i="1"/>
  <c r="G177" i="1"/>
  <c r="H177" i="1"/>
  <c r="I177" i="1"/>
  <c r="J177" i="1"/>
  <c r="B178" i="1"/>
  <c r="C178" i="1"/>
  <c r="D178" i="1"/>
  <c r="E178" i="1"/>
  <c r="F178" i="1"/>
  <c r="G178" i="1"/>
  <c r="H178" i="1"/>
  <c r="I178" i="1"/>
  <c r="J178" i="1"/>
  <c r="B179" i="1"/>
  <c r="C179" i="1"/>
  <c r="D179" i="1"/>
  <c r="E179" i="1"/>
  <c r="F179" i="1"/>
  <c r="G179" i="1"/>
  <c r="H179" i="1"/>
  <c r="I179" i="1"/>
  <c r="J179" i="1"/>
  <c r="B180" i="1"/>
  <c r="C180" i="1"/>
  <c r="D180" i="1"/>
  <c r="E180" i="1"/>
  <c r="F180" i="1"/>
  <c r="G180" i="1"/>
  <c r="H180" i="1"/>
  <c r="I180" i="1"/>
  <c r="J180" i="1"/>
  <c r="B181" i="1"/>
  <c r="C181" i="1"/>
  <c r="D181" i="1"/>
  <c r="E181" i="1"/>
  <c r="F181" i="1"/>
  <c r="G181" i="1"/>
  <c r="H181" i="1"/>
  <c r="I181" i="1"/>
  <c r="J181" i="1"/>
  <c r="B182" i="1"/>
  <c r="C182" i="1"/>
  <c r="D182" i="1"/>
  <c r="E182" i="1"/>
  <c r="F182" i="1"/>
  <c r="G182" i="1"/>
  <c r="H182" i="1"/>
  <c r="I182" i="1"/>
  <c r="J182" i="1"/>
  <c r="B183" i="1"/>
  <c r="C183" i="1"/>
  <c r="D183" i="1"/>
  <c r="E183" i="1"/>
  <c r="F183" i="1"/>
  <c r="G183" i="1"/>
  <c r="H183" i="1"/>
  <c r="I183" i="1"/>
  <c r="J183" i="1"/>
  <c r="B184" i="1"/>
  <c r="C184" i="1"/>
  <c r="D184" i="1"/>
  <c r="E184" i="1"/>
  <c r="F184" i="1"/>
  <c r="G184" i="1"/>
  <c r="H184" i="1"/>
  <c r="I184" i="1"/>
  <c r="J184" i="1"/>
  <c r="B185" i="1"/>
  <c r="C185" i="1"/>
  <c r="D185" i="1"/>
  <c r="E185" i="1"/>
  <c r="F185" i="1"/>
  <c r="G185" i="1"/>
  <c r="H185" i="1"/>
  <c r="I185" i="1"/>
  <c r="J185" i="1"/>
  <c r="B186" i="1"/>
  <c r="C186" i="1"/>
  <c r="D186" i="1"/>
  <c r="E186" i="1"/>
  <c r="F186" i="1"/>
  <c r="G186" i="1"/>
  <c r="H186" i="1"/>
  <c r="I186" i="1"/>
  <c r="J186" i="1"/>
  <c r="B187" i="1"/>
  <c r="C187" i="1"/>
  <c r="D187" i="1"/>
  <c r="E187" i="1"/>
  <c r="F187" i="1"/>
  <c r="G187" i="1"/>
  <c r="H187" i="1"/>
  <c r="I187" i="1"/>
  <c r="J187" i="1"/>
  <c r="B188" i="1"/>
  <c r="C188" i="1"/>
  <c r="D188" i="1"/>
  <c r="E188" i="1"/>
  <c r="F188" i="1"/>
  <c r="G188" i="1"/>
  <c r="H188" i="1"/>
  <c r="I188" i="1"/>
  <c r="J188" i="1"/>
  <c r="B189" i="1"/>
  <c r="C189" i="1"/>
  <c r="D189" i="1"/>
  <c r="E189" i="1"/>
  <c r="F189" i="1"/>
  <c r="G189" i="1"/>
  <c r="H189" i="1"/>
  <c r="I189" i="1"/>
  <c r="J189" i="1"/>
  <c r="B190" i="1"/>
  <c r="C190" i="1"/>
  <c r="D190" i="1"/>
  <c r="E190" i="1"/>
  <c r="F190" i="1"/>
  <c r="G190" i="1"/>
  <c r="H190" i="1"/>
  <c r="I190" i="1"/>
  <c r="J190" i="1"/>
  <c r="B191" i="1"/>
  <c r="C191" i="1"/>
  <c r="D191" i="1"/>
  <c r="E191" i="1"/>
  <c r="F191" i="1"/>
  <c r="G191" i="1"/>
  <c r="H191" i="1"/>
  <c r="I191" i="1"/>
  <c r="J191" i="1"/>
  <c r="B192" i="1"/>
  <c r="C192" i="1"/>
  <c r="D192" i="1"/>
  <c r="E192" i="1"/>
  <c r="F192" i="1"/>
  <c r="G192" i="1"/>
  <c r="H192" i="1"/>
  <c r="I192" i="1"/>
  <c r="J192" i="1"/>
  <c r="B193" i="1"/>
  <c r="C193" i="1"/>
  <c r="D193" i="1"/>
  <c r="E193" i="1"/>
  <c r="F193" i="1"/>
  <c r="G193" i="1"/>
  <c r="H193" i="1"/>
  <c r="I193" i="1"/>
  <c r="J193" i="1"/>
  <c r="B194" i="1"/>
  <c r="C194" i="1"/>
  <c r="D194" i="1"/>
  <c r="E194" i="1"/>
  <c r="F194" i="1"/>
  <c r="G194" i="1"/>
  <c r="H194" i="1"/>
  <c r="I194" i="1"/>
  <c r="J194" i="1"/>
  <c r="B195" i="1"/>
  <c r="C195" i="1"/>
  <c r="D195" i="1"/>
  <c r="E195" i="1"/>
  <c r="F195" i="1"/>
  <c r="G195" i="1"/>
  <c r="H195" i="1"/>
  <c r="I195" i="1"/>
  <c r="J195" i="1"/>
  <c r="B196" i="1"/>
  <c r="C196" i="1"/>
  <c r="D196" i="1"/>
  <c r="E196" i="1"/>
  <c r="F196" i="1"/>
  <c r="G196" i="1"/>
  <c r="H196" i="1"/>
  <c r="I196" i="1"/>
  <c r="J196" i="1"/>
  <c r="B197" i="1"/>
  <c r="C197" i="1"/>
  <c r="D197" i="1"/>
  <c r="E197" i="1"/>
  <c r="F197" i="1"/>
  <c r="G197" i="1"/>
  <c r="H197" i="1"/>
  <c r="I197" i="1"/>
  <c r="J197" i="1"/>
  <c r="B198" i="1"/>
  <c r="C198" i="1"/>
  <c r="D198" i="1"/>
  <c r="E198" i="1"/>
  <c r="F198" i="1"/>
  <c r="G198" i="1"/>
  <c r="H198" i="1"/>
  <c r="I198" i="1"/>
  <c r="J198" i="1"/>
  <c r="B199" i="1"/>
  <c r="C199" i="1"/>
  <c r="D199" i="1"/>
  <c r="E199" i="1"/>
  <c r="F199" i="1"/>
  <c r="G199" i="1"/>
  <c r="H199" i="1"/>
  <c r="I199" i="1"/>
  <c r="J199" i="1"/>
  <c r="B200" i="1"/>
  <c r="C200" i="1"/>
  <c r="D200" i="1"/>
  <c r="E200" i="1"/>
  <c r="F200" i="1"/>
  <c r="G200" i="1"/>
  <c r="H200" i="1"/>
  <c r="I200" i="1"/>
  <c r="J200" i="1"/>
  <c r="B201" i="1"/>
  <c r="C201" i="1"/>
  <c r="D201" i="1"/>
  <c r="E201" i="1"/>
  <c r="F201" i="1"/>
  <c r="G201" i="1"/>
  <c r="H201" i="1"/>
  <c r="I201" i="1"/>
  <c r="J201" i="1"/>
  <c r="B202" i="1"/>
  <c r="C202" i="1"/>
  <c r="D202" i="1"/>
  <c r="E202" i="1"/>
  <c r="F202" i="1"/>
  <c r="G202" i="1"/>
  <c r="H202" i="1"/>
  <c r="I202" i="1"/>
  <c r="J202" i="1"/>
  <c r="B203" i="1"/>
  <c r="C203" i="1"/>
  <c r="D203" i="1"/>
  <c r="E203" i="1"/>
  <c r="F203" i="1"/>
  <c r="G203" i="1"/>
  <c r="H203" i="1"/>
  <c r="I203" i="1"/>
  <c r="J203" i="1"/>
  <c r="B204" i="1"/>
  <c r="C204" i="1"/>
  <c r="D204" i="1"/>
  <c r="E204" i="1"/>
  <c r="F204" i="1"/>
  <c r="G204" i="1"/>
  <c r="H204" i="1"/>
  <c r="I204" i="1"/>
  <c r="J204" i="1"/>
  <c r="B205" i="1"/>
  <c r="C205" i="1"/>
  <c r="D205" i="1"/>
  <c r="E205" i="1"/>
  <c r="F205" i="1"/>
  <c r="G205" i="1"/>
  <c r="H205" i="1"/>
  <c r="I205" i="1"/>
  <c r="J205" i="1"/>
  <c r="B206" i="1"/>
  <c r="C206" i="1"/>
  <c r="D206" i="1"/>
  <c r="E206" i="1"/>
  <c r="F206" i="1"/>
  <c r="G206" i="1"/>
  <c r="H206" i="1"/>
  <c r="I206" i="1"/>
  <c r="J206" i="1"/>
  <c r="B207" i="1"/>
  <c r="C207" i="1"/>
  <c r="D207" i="1"/>
  <c r="E207" i="1"/>
  <c r="F207" i="1"/>
  <c r="G207" i="1"/>
  <c r="H207" i="1"/>
  <c r="I207" i="1"/>
  <c r="J207" i="1"/>
  <c r="B208" i="1"/>
  <c r="C208" i="1"/>
  <c r="D208" i="1"/>
  <c r="E208" i="1"/>
  <c r="F208" i="1"/>
  <c r="G208" i="1"/>
  <c r="H208" i="1"/>
  <c r="I208" i="1"/>
  <c r="J208" i="1"/>
  <c r="B209" i="1"/>
  <c r="C209" i="1"/>
  <c r="D209" i="1"/>
  <c r="E209" i="1"/>
  <c r="F209" i="1"/>
  <c r="G209" i="1"/>
  <c r="H209" i="1"/>
  <c r="I209" i="1"/>
  <c r="J209" i="1"/>
  <c r="B210" i="1"/>
  <c r="C210" i="1"/>
  <c r="D210" i="1"/>
  <c r="E210" i="1"/>
  <c r="F210" i="1"/>
  <c r="G210" i="1"/>
  <c r="H210" i="1"/>
  <c r="I210" i="1"/>
  <c r="J210" i="1"/>
  <c r="B211" i="1"/>
  <c r="C211" i="1"/>
  <c r="D211" i="1"/>
  <c r="E211" i="1"/>
  <c r="F211" i="1"/>
  <c r="G211" i="1"/>
  <c r="H211" i="1"/>
  <c r="I211" i="1"/>
  <c r="J211" i="1"/>
  <c r="B212" i="1"/>
  <c r="C212" i="1"/>
  <c r="D212" i="1"/>
  <c r="E212" i="1"/>
  <c r="F212" i="1"/>
  <c r="G212" i="1"/>
  <c r="H212" i="1"/>
  <c r="I212" i="1"/>
  <c r="J212" i="1"/>
  <c r="B213" i="1"/>
  <c r="C213" i="1"/>
  <c r="D213" i="1"/>
  <c r="E213" i="1"/>
  <c r="F213" i="1"/>
  <c r="G213" i="1"/>
  <c r="H213" i="1"/>
  <c r="I213" i="1"/>
  <c r="J213" i="1"/>
  <c r="B214" i="1"/>
  <c r="C214" i="1"/>
  <c r="D214" i="1"/>
  <c r="E214" i="1"/>
  <c r="F214" i="1"/>
  <c r="G214" i="1"/>
  <c r="H214" i="1"/>
  <c r="I214" i="1"/>
  <c r="J214" i="1"/>
  <c r="B215" i="1"/>
  <c r="C215" i="1"/>
  <c r="D215" i="1"/>
  <c r="E215" i="1"/>
  <c r="F215" i="1"/>
  <c r="G215" i="1"/>
  <c r="H215" i="1"/>
  <c r="I215" i="1"/>
  <c r="J215" i="1"/>
  <c r="B216" i="1"/>
  <c r="C216" i="1"/>
  <c r="D216" i="1"/>
  <c r="E216" i="1"/>
  <c r="F216" i="1"/>
  <c r="G216" i="1"/>
  <c r="H216" i="1"/>
  <c r="I216" i="1"/>
  <c r="J216" i="1"/>
  <c r="B217" i="1"/>
  <c r="C217" i="1"/>
  <c r="D217" i="1"/>
  <c r="E217" i="1"/>
  <c r="F217" i="1"/>
  <c r="G217" i="1"/>
  <c r="H217" i="1"/>
  <c r="I217" i="1"/>
  <c r="J217" i="1"/>
  <c r="B218" i="1"/>
  <c r="C218" i="1"/>
  <c r="D218" i="1"/>
  <c r="E218" i="1"/>
  <c r="F218" i="1"/>
  <c r="G218" i="1"/>
  <c r="H218" i="1"/>
  <c r="I218" i="1"/>
  <c r="J218" i="1"/>
  <c r="B219" i="1"/>
  <c r="C219" i="1"/>
  <c r="D219" i="1"/>
  <c r="E219" i="1"/>
  <c r="F219" i="1"/>
  <c r="G219" i="1"/>
  <c r="H219" i="1"/>
  <c r="I219" i="1"/>
  <c r="J219" i="1"/>
  <c r="B220" i="1"/>
  <c r="C220" i="1"/>
  <c r="D220" i="1"/>
  <c r="E220" i="1"/>
  <c r="F220" i="1"/>
  <c r="G220" i="1"/>
  <c r="H220" i="1"/>
  <c r="I220" i="1"/>
  <c r="J220" i="1"/>
  <c r="B221" i="1"/>
  <c r="C221" i="1"/>
  <c r="D221" i="1"/>
  <c r="E221" i="1"/>
  <c r="F221" i="1"/>
  <c r="G221" i="1"/>
  <c r="H221" i="1"/>
  <c r="I221" i="1"/>
  <c r="J221" i="1"/>
  <c r="B222" i="1"/>
  <c r="C222" i="1"/>
  <c r="D222" i="1"/>
  <c r="E222" i="1"/>
  <c r="F222" i="1"/>
  <c r="G222" i="1"/>
  <c r="H222" i="1"/>
  <c r="I222" i="1"/>
  <c r="J222" i="1"/>
  <c r="B223" i="1"/>
  <c r="C223" i="1"/>
  <c r="D223" i="1"/>
  <c r="E223" i="1"/>
  <c r="F223" i="1"/>
  <c r="G223" i="1"/>
  <c r="H223" i="1"/>
  <c r="I223" i="1"/>
  <c r="J223" i="1"/>
  <c r="B224" i="1"/>
  <c r="C224" i="1"/>
  <c r="D224" i="1"/>
  <c r="E224" i="1"/>
  <c r="F224" i="1"/>
  <c r="G224" i="1"/>
  <c r="H224" i="1"/>
  <c r="I224" i="1"/>
  <c r="J224" i="1"/>
  <c r="B225" i="1"/>
  <c r="C225" i="1"/>
  <c r="D225" i="1"/>
  <c r="E225" i="1"/>
  <c r="F225" i="1"/>
  <c r="G225" i="1"/>
  <c r="H225" i="1"/>
  <c r="I225" i="1"/>
  <c r="J225" i="1"/>
  <c r="B226" i="1"/>
  <c r="C226" i="1"/>
  <c r="D226" i="1"/>
  <c r="E226" i="1"/>
  <c r="F226" i="1"/>
  <c r="G226" i="1"/>
  <c r="H226" i="1"/>
  <c r="I226" i="1"/>
  <c r="J226" i="1"/>
  <c r="B227" i="1"/>
  <c r="C227" i="1"/>
  <c r="D227" i="1"/>
  <c r="E227" i="1"/>
  <c r="F227" i="1"/>
  <c r="G227" i="1"/>
  <c r="H227" i="1"/>
  <c r="I227" i="1"/>
  <c r="J227" i="1"/>
  <c r="B228" i="1"/>
  <c r="C228" i="1"/>
  <c r="D228" i="1"/>
  <c r="E228" i="1"/>
  <c r="F228" i="1"/>
  <c r="G228" i="1"/>
  <c r="H228" i="1"/>
  <c r="I228" i="1"/>
  <c r="J228" i="1"/>
  <c r="B229" i="1"/>
  <c r="C229" i="1"/>
  <c r="D229" i="1"/>
  <c r="E229" i="1"/>
  <c r="F229" i="1"/>
  <c r="G229" i="1"/>
  <c r="H229" i="1"/>
  <c r="I229" i="1"/>
  <c r="J229" i="1"/>
  <c r="B230" i="1"/>
  <c r="C230" i="1"/>
  <c r="D230" i="1"/>
  <c r="E230" i="1"/>
  <c r="F230" i="1"/>
  <c r="G230" i="1"/>
  <c r="H230" i="1"/>
  <c r="I230" i="1"/>
  <c r="J230" i="1"/>
  <c r="B231" i="1"/>
  <c r="C231" i="1"/>
  <c r="D231" i="1"/>
  <c r="E231" i="1"/>
  <c r="F231" i="1"/>
  <c r="G231" i="1"/>
  <c r="H231" i="1"/>
  <c r="I231" i="1"/>
  <c r="J231" i="1"/>
  <c r="B232" i="1"/>
  <c r="C232" i="1"/>
  <c r="D232" i="1"/>
  <c r="E232" i="1"/>
  <c r="F232" i="1"/>
  <c r="G232" i="1"/>
  <c r="H232" i="1"/>
  <c r="I232" i="1"/>
  <c r="J232" i="1"/>
  <c r="B233" i="1"/>
  <c r="C233" i="1"/>
  <c r="D233" i="1"/>
  <c r="E233" i="1"/>
  <c r="F233" i="1"/>
  <c r="G233" i="1"/>
  <c r="H233" i="1"/>
  <c r="I233" i="1"/>
  <c r="J233" i="1"/>
  <c r="B234" i="1"/>
  <c r="C234" i="1"/>
  <c r="D234" i="1"/>
  <c r="E234" i="1"/>
  <c r="F234" i="1"/>
  <c r="G234" i="1"/>
  <c r="H234" i="1"/>
  <c r="I234" i="1"/>
  <c r="J234" i="1"/>
  <c r="B235" i="1"/>
  <c r="C235" i="1"/>
  <c r="D235" i="1"/>
  <c r="E235" i="1"/>
  <c r="F235" i="1"/>
  <c r="G235" i="1"/>
  <c r="H235" i="1"/>
  <c r="I235" i="1"/>
  <c r="J235" i="1"/>
  <c r="B236" i="1"/>
  <c r="C236" i="1"/>
  <c r="D236" i="1"/>
  <c r="E236" i="1"/>
  <c r="F236" i="1"/>
  <c r="G236" i="1"/>
  <c r="H236" i="1"/>
  <c r="I236" i="1"/>
  <c r="J236" i="1"/>
  <c r="B237" i="1"/>
  <c r="C237" i="1"/>
  <c r="D237" i="1"/>
  <c r="E237" i="1"/>
  <c r="F237" i="1"/>
  <c r="G237" i="1"/>
  <c r="H237" i="1"/>
  <c r="I237" i="1"/>
  <c r="J237" i="1"/>
  <c r="B238" i="1"/>
  <c r="C238" i="1"/>
  <c r="D238" i="1"/>
  <c r="E238" i="1"/>
  <c r="F238" i="1"/>
  <c r="G238" i="1"/>
  <c r="H238" i="1"/>
  <c r="I238" i="1"/>
  <c r="J238" i="1"/>
  <c r="B239" i="1"/>
  <c r="C239" i="1"/>
  <c r="D239" i="1"/>
  <c r="E239" i="1"/>
  <c r="F239" i="1"/>
  <c r="G239" i="1"/>
  <c r="H239" i="1"/>
  <c r="I239" i="1"/>
  <c r="J239" i="1"/>
  <c r="B240" i="1"/>
  <c r="C240" i="1"/>
  <c r="D240" i="1"/>
  <c r="E240" i="1"/>
  <c r="F240" i="1"/>
  <c r="G240" i="1"/>
  <c r="H240" i="1"/>
  <c r="I240" i="1"/>
  <c r="J240" i="1"/>
  <c r="B241" i="1"/>
  <c r="C241" i="1"/>
  <c r="D241" i="1"/>
  <c r="E241" i="1"/>
  <c r="F241" i="1"/>
  <c r="G241" i="1"/>
  <c r="H241" i="1"/>
  <c r="I241" i="1"/>
  <c r="J241" i="1"/>
  <c r="B242" i="1"/>
  <c r="C242" i="1"/>
  <c r="D242" i="1"/>
  <c r="E242" i="1"/>
  <c r="F242" i="1"/>
  <c r="G242" i="1"/>
  <c r="H242" i="1"/>
  <c r="I242" i="1"/>
  <c r="J242" i="1"/>
  <c r="B243" i="1"/>
  <c r="C243" i="1"/>
  <c r="D243" i="1"/>
  <c r="E243" i="1"/>
  <c r="F243" i="1"/>
  <c r="G243" i="1"/>
  <c r="H243" i="1"/>
  <c r="I243" i="1"/>
  <c r="J243" i="1"/>
  <c r="B244" i="1"/>
  <c r="C244" i="1"/>
  <c r="D244" i="1"/>
  <c r="E244" i="1"/>
  <c r="F244" i="1"/>
  <c r="G244" i="1"/>
  <c r="H244" i="1"/>
  <c r="I244" i="1"/>
  <c r="J244" i="1"/>
  <c r="B245" i="1"/>
  <c r="C245" i="1"/>
  <c r="D245" i="1"/>
  <c r="E245" i="1"/>
  <c r="F245" i="1"/>
  <c r="G245" i="1"/>
  <c r="H245" i="1"/>
  <c r="I245" i="1"/>
  <c r="J245" i="1"/>
  <c r="B246" i="1"/>
  <c r="C246" i="1"/>
  <c r="D246" i="1"/>
  <c r="E246" i="1"/>
  <c r="F246" i="1"/>
  <c r="G246" i="1"/>
  <c r="H246" i="1"/>
  <c r="I246" i="1"/>
  <c r="J246" i="1"/>
  <c r="B247" i="1"/>
  <c r="C247" i="1"/>
  <c r="D247" i="1"/>
  <c r="E247" i="1"/>
  <c r="F247" i="1"/>
  <c r="G247" i="1"/>
  <c r="H247" i="1"/>
  <c r="I247" i="1"/>
  <c r="J247" i="1"/>
  <c r="B248" i="1"/>
  <c r="C248" i="1"/>
  <c r="D248" i="1"/>
  <c r="E248" i="1"/>
  <c r="F248" i="1"/>
  <c r="G248" i="1"/>
  <c r="H248" i="1"/>
  <c r="I248" i="1"/>
  <c r="J248" i="1"/>
  <c r="B249" i="1"/>
  <c r="C249" i="1"/>
  <c r="D249" i="1"/>
  <c r="E249" i="1"/>
  <c r="F249" i="1"/>
  <c r="G249" i="1"/>
  <c r="H249" i="1"/>
  <c r="I249" i="1"/>
  <c r="J249" i="1"/>
  <c r="B250" i="1"/>
  <c r="C250" i="1"/>
  <c r="D250" i="1"/>
  <c r="E250" i="1"/>
  <c r="F250" i="1"/>
  <c r="G250" i="1"/>
  <c r="H250" i="1"/>
  <c r="I250" i="1"/>
  <c r="J250" i="1"/>
  <c r="B251" i="1"/>
  <c r="C251" i="1"/>
  <c r="D251" i="1"/>
  <c r="E251" i="1"/>
  <c r="F251" i="1"/>
  <c r="G251" i="1"/>
  <c r="H251" i="1"/>
  <c r="I251" i="1"/>
  <c r="J251" i="1"/>
  <c r="B252" i="1"/>
  <c r="C252" i="1"/>
  <c r="D252" i="1"/>
  <c r="E252" i="1"/>
  <c r="F252" i="1"/>
  <c r="G252" i="1"/>
  <c r="H252" i="1"/>
  <c r="I252" i="1"/>
  <c r="J252" i="1"/>
  <c r="B253" i="1"/>
  <c r="C253" i="1"/>
  <c r="D253" i="1"/>
  <c r="E253" i="1"/>
  <c r="F253" i="1"/>
  <c r="G253" i="1"/>
  <c r="H253" i="1"/>
  <c r="I253" i="1"/>
  <c r="J253" i="1"/>
  <c r="B254" i="1"/>
  <c r="C254" i="1"/>
  <c r="D254" i="1"/>
  <c r="E254" i="1"/>
  <c r="F254" i="1"/>
  <c r="G254" i="1"/>
  <c r="H254" i="1"/>
  <c r="I254" i="1"/>
  <c r="J254" i="1"/>
  <c r="B255" i="1"/>
  <c r="C255" i="1"/>
  <c r="D255" i="1"/>
  <c r="E255" i="1"/>
  <c r="F255" i="1"/>
  <c r="G255" i="1"/>
  <c r="H255" i="1"/>
  <c r="I255" i="1"/>
  <c r="J255" i="1"/>
  <c r="B256" i="1"/>
  <c r="C256" i="1"/>
  <c r="D256" i="1"/>
  <c r="E256" i="1"/>
  <c r="F256" i="1"/>
  <c r="G256" i="1"/>
  <c r="H256" i="1"/>
  <c r="I256" i="1"/>
  <c r="J256" i="1"/>
  <c r="B257" i="1"/>
  <c r="C257" i="1"/>
  <c r="D257" i="1"/>
  <c r="E257" i="1"/>
  <c r="F257" i="1"/>
  <c r="G257" i="1"/>
  <c r="H257" i="1"/>
  <c r="I257" i="1"/>
  <c r="J257" i="1"/>
  <c r="B258" i="1"/>
  <c r="C258" i="1"/>
  <c r="D258" i="1"/>
  <c r="E258" i="1"/>
  <c r="F258" i="1"/>
  <c r="G258" i="1"/>
  <c r="H258" i="1"/>
  <c r="I258" i="1"/>
  <c r="J258" i="1"/>
  <c r="B259" i="1"/>
  <c r="C259" i="1"/>
  <c r="D259" i="1"/>
  <c r="E259" i="1"/>
  <c r="F259" i="1"/>
  <c r="G259" i="1"/>
  <c r="H259" i="1"/>
  <c r="I259" i="1"/>
  <c r="J259" i="1"/>
  <c r="B260" i="1"/>
  <c r="C260" i="1"/>
  <c r="D260" i="1"/>
  <c r="E260" i="1"/>
  <c r="F260" i="1"/>
  <c r="G260" i="1"/>
  <c r="H260" i="1"/>
  <c r="I260" i="1"/>
  <c r="J260" i="1"/>
  <c r="B261" i="1"/>
  <c r="C261" i="1"/>
  <c r="D261" i="1"/>
  <c r="E261" i="1"/>
  <c r="F261" i="1"/>
  <c r="G261" i="1"/>
  <c r="H261" i="1"/>
  <c r="I261" i="1"/>
  <c r="J261" i="1"/>
  <c r="B262" i="1"/>
  <c r="C262" i="1"/>
  <c r="D262" i="1"/>
  <c r="E262" i="1"/>
  <c r="F262" i="1"/>
  <c r="G262" i="1"/>
  <c r="H262" i="1"/>
  <c r="I262" i="1"/>
  <c r="J262" i="1"/>
  <c r="B263" i="1"/>
  <c r="C263" i="1"/>
  <c r="D263" i="1"/>
  <c r="E263" i="1"/>
  <c r="F263" i="1"/>
  <c r="G263" i="1"/>
  <c r="H263" i="1"/>
  <c r="I263" i="1"/>
  <c r="J263" i="1"/>
  <c r="B264" i="1"/>
  <c r="C264" i="1"/>
  <c r="D264" i="1"/>
  <c r="E264" i="1"/>
  <c r="F264" i="1"/>
  <c r="G264" i="1"/>
  <c r="H264" i="1"/>
  <c r="I264" i="1"/>
  <c r="J264" i="1"/>
  <c r="B265" i="1"/>
  <c r="C265" i="1"/>
  <c r="D265" i="1"/>
  <c r="E265" i="1"/>
  <c r="F265" i="1"/>
  <c r="G265" i="1"/>
  <c r="H265" i="1"/>
  <c r="I265" i="1"/>
  <c r="J265" i="1"/>
  <c r="B266" i="1"/>
  <c r="C266" i="1"/>
  <c r="D266" i="1"/>
  <c r="E266" i="1"/>
  <c r="F266" i="1"/>
  <c r="G266" i="1"/>
  <c r="H266" i="1"/>
  <c r="I266" i="1"/>
  <c r="J266" i="1"/>
  <c r="B267" i="1"/>
  <c r="C267" i="1"/>
  <c r="D267" i="1"/>
  <c r="E267" i="1"/>
  <c r="F267" i="1"/>
  <c r="G267" i="1"/>
  <c r="H267" i="1"/>
  <c r="I267" i="1"/>
  <c r="J267" i="1"/>
  <c r="B268" i="1"/>
  <c r="C268" i="1"/>
  <c r="D268" i="1"/>
  <c r="E268" i="1"/>
  <c r="F268" i="1"/>
  <c r="G268" i="1"/>
  <c r="H268" i="1"/>
  <c r="I268" i="1"/>
  <c r="J268" i="1"/>
  <c r="B269" i="1"/>
  <c r="C269" i="1"/>
  <c r="D269" i="1"/>
  <c r="E269" i="1"/>
  <c r="F269" i="1"/>
  <c r="G269" i="1"/>
  <c r="H269" i="1"/>
  <c r="I269" i="1"/>
  <c r="J269" i="1"/>
  <c r="B270" i="1"/>
  <c r="C270" i="1"/>
  <c r="D270" i="1"/>
  <c r="E270" i="1"/>
  <c r="F270" i="1"/>
  <c r="G270" i="1"/>
  <c r="H270" i="1"/>
  <c r="I270" i="1"/>
  <c r="J270" i="1"/>
  <c r="B271" i="1"/>
  <c r="C271" i="1"/>
  <c r="D271" i="1"/>
  <c r="E271" i="1"/>
  <c r="F271" i="1"/>
  <c r="G271" i="1"/>
  <c r="H271" i="1"/>
  <c r="I271" i="1"/>
  <c r="J271" i="1"/>
  <c r="B272" i="1"/>
  <c r="C272" i="1"/>
  <c r="D272" i="1"/>
  <c r="E272" i="1"/>
  <c r="F272" i="1"/>
  <c r="G272" i="1"/>
  <c r="H272" i="1"/>
  <c r="I272" i="1"/>
  <c r="J272" i="1"/>
  <c r="B273" i="1"/>
  <c r="C273" i="1"/>
  <c r="D273" i="1"/>
  <c r="E273" i="1"/>
  <c r="F273" i="1"/>
  <c r="G273" i="1"/>
  <c r="H273" i="1"/>
  <c r="I273" i="1"/>
  <c r="J273" i="1"/>
  <c r="B274" i="1"/>
  <c r="C274" i="1"/>
  <c r="D274" i="1"/>
  <c r="E274" i="1"/>
  <c r="F274" i="1"/>
  <c r="G274" i="1"/>
  <c r="H274" i="1"/>
  <c r="I274" i="1"/>
  <c r="J274" i="1"/>
  <c r="B275" i="1"/>
  <c r="C275" i="1"/>
  <c r="D275" i="1"/>
  <c r="E275" i="1"/>
  <c r="F275" i="1"/>
  <c r="G275" i="1"/>
  <c r="H275" i="1"/>
  <c r="I275" i="1"/>
  <c r="J275" i="1"/>
  <c r="B276" i="1"/>
  <c r="C276" i="1"/>
  <c r="D276" i="1"/>
  <c r="E276" i="1"/>
  <c r="F276" i="1"/>
  <c r="G276" i="1"/>
  <c r="H276" i="1"/>
  <c r="I276" i="1"/>
  <c r="J276" i="1"/>
  <c r="B277" i="1"/>
  <c r="C277" i="1"/>
  <c r="D277" i="1"/>
  <c r="E277" i="1"/>
  <c r="F277" i="1"/>
  <c r="G277" i="1"/>
  <c r="H277" i="1"/>
  <c r="I277" i="1"/>
  <c r="J277" i="1"/>
  <c r="B278" i="1"/>
  <c r="C278" i="1"/>
  <c r="D278" i="1"/>
  <c r="E278" i="1"/>
  <c r="F278" i="1"/>
  <c r="G278" i="1"/>
  <c r="H278" i="1"/>
  <c r="I278" i="1"/>
  <c r="J278" i="1"/>
  <c r="B279" i="1"/>
  <c r="C279" i="1"/>
  <c r="D279" i="1"/>
  <c r="E279" i="1"/>
  <c r="F279" i="1"/>
  <c r="G279" i="1"/>
  <c r="H279" i="1"/>
  <c r="I279" i="1"/>
  <c r="J279" i="1"/>
  <c r="B280" i="1"/>
  <c r="C280" i="1"/>
  <c r="D280" i="1"/>
  <c r="E280" i="1"/>
  <c r="F280" i="1"/>
  <c r="G280" i="1"/>
  <c r="H280" i="1"/>
  <c r="I280" i="1"/>
  <c r="J280" i="1"/>
  <c r="B281" i="1"/>
  <c r="C281" i="1"/>
  <c r="D281" i="1"/>
  <c r="E281" i="1"/>
  <c r="F281" i="1"/>
  <c r="G281" i="1"/>
  <c r="H281" i="1"/>
  <c r="I281" i="1"/>
  <c r="J281" i="1"/>
  <c r="B282" i="1"/>
  <c r="C282" i="1"/>
  <c r="D282" i="1"/>
  <c r="E282" i="1"/>
  <c r="F282" i="1"/>
  <c r="G282" i="1"/>
  <c r="H282" i="1"/>
  <c r="I282" i="1"/>
  <c r="J282" i="1"/>
  <c r="B283" i="1"/>
  <c r="C283" i="1"/>
  <c r="D283" i="1"/>
  <c r="E283" i="1"/>
  <c r="F283" i="1"/>
  <c r="G283" i="1"/>
  <c r="H283" i="1"/>
  <c r="I283" i="1"/>
  <c r="J283" i="1"/>
  <c r="B284" i="1"/>
  <c r="C284" i="1"/>
  <c r="D284" i="1"/>
  <c r="E284" i="1"/>
  <c r="F284" i="1"/>
  <c r="G284" i="1"/>
  <c r="H284" i="1"/>
  <c r="I284" i="1"/>
  <c r="J284" i="1"/>
  <c r="B285" i="1"/>
  <c r="C285" i="1"/>
  <c r="D285" i="1"/>
  <c r="E285" i="1"/>
  <c r="F285" i="1"/>
  <c r="G285" i="1"/>
  <c r="H285" i="1"/>
  <c r="I285" i="1"/>
  <c r="J285" i="1"/>
  <c r="B286" i="1"/>
  <c r="C286" i="1"/>
  <c r="D286" i="1"/>
  <c r="E286" i="1"/>
  <c r="F286" i="1"/>
  <c r="G286" i="1"/>
  <c r="H286" i="1"/>
  <c r="I286" i="1"/>
  <c r="J286" i="1"/>
  <c r="B287" i="1"/>
  <c r="C287" i="1"/>
  <c r="D287" i="1"/>
  <c r="E287" i="1"/>
  <c r="F287" i="1"/>
  <c r="G287" i="1"/>
  <c r="H287" i="1"/>
  <c r="I287" i="1"/>
  <c r="J287" i="1"/>
  <c r="B288" i="1"/>
  <c r="C288" i="1"/>
  <c r="D288" i="1"/>
  <c r="E288" i="1"/>
  <c r="F288" i="1"/>
  <c r="G288" i="1"/>
  <c r="H288" i="1"/>
  <c r="I288" i="1"/>
  <c r="J288" i="1"/>
  <c r="B289" i="1"/>
  <c r="C289" i="1"/>
  <c r="D289" i="1"/>
  <c r="E289" i="1"/>
  <c r="F289" i="1"/>
  <c r="G289" i="1"/>
  <c r="H289" i="1"/>
  <c r="I289" i="1"/>
  <c r="J289" i="1"/>
  <c r="B290" i="1"/>
  <c r="C290" i="1"/>
  <c r="D290" i="1"/>
  <c r="E290" i="1"/>
  <c r="F290" i="1"/>
  <c r="G290" i="1"/>
  <c r="H290" i="1"/>
  <c r="I290" i="1"/>
  <c r="J290" i="1"/>
  <c r="B291" i="1"/>
  <c r="C291" i="1"/>
  <c r="D291" i="1"/>
  <c r="E291" i="1"/>
  <c r="F291" i="1"/>
  <c r="G291" i="1"/>
  <c r="H291" i="1"/>
  <c r="I291" i="1"/>
  <c r="J291" i="1"/>
  <c r="B292" i="1"/>
  <c r="C292" i="1"/>
  <c r="D292" i="1"/>
  <c r="E292" i="1"/>
  <c r="F292" i="1"/>
  <c r="G292" i="1"/>
  <c r="H292" i="1"/>
  <c r="I292" i="1"/>
  <c r="J292" i="1"/>
  <c r="B293" i="1"/>
  <c r="C293" i="1"/>
  <c r="D293" i="1"/>
  <c r="E293" i="1"/>
  <c r="F293" i="1"/>
  <c r="G293" i="1"/>
  <c r="H293" i="1"/>
  <c r="I293" i="1"/>
  <c r="J293" i="1"/>
  <c r="B294" i="1"/>
  <c r="C294" i="1"/>
  <c r="D294" i="1"/>
  <c r="E294" i="1"/>
  <c r="F294" i="1"/>
  <c r="G294" i="1"/>
  <c r="H294" i="1"/>
  <c r="I294" i="1"/>
  <c r="J294" i="1"/>
  <c r="B295" i="1"/>
  <c r="C295" i="1"/>
  <c r="D295" i="1"/>
  <c r="E295" i="1"/>
  <c r="F295" i="1"/>
  <c r="G295" i="1"/>
  <c r="H295" i="1"/>
  <c r="I295" i="1"/>
  <c r="J295" i="1"/>
  <c r="B296" i="1"/>
  <c r="C296" i="1"/>
  <c r="D296" i="1"/>
  <c r="E296" i="1"/>
  <c r="F296" i="1"/>
  <c r="G296" i="1"/>
  <c r="H296" i="1"/>
  <c r="I296" i="1"/>
  <c r="J296" i="1"/>
  <c r="B297" i="1"/>
  <c r="C297" i="1"/>
  <c r="D297" i="1"/>
  <c r="E297" i="1"/>
  <c r="F297" i="1"/>
  <c r="G297" i="1"/>
  <c r="H297" i="1"/>
  <c r="I297" i="1"/>
  <c r="J297" i="1"/>
  <c r="B298" i="1"/>
  <c r="C298" i="1"/>
  <c r="D298" i="1"/>
  <c r="E298" i="1"/>
  <c r="F298" i="1"/>
  <c r="G298" i="1"/>
  <c r="H298" i="1"/>
  <c r="I298" i="1"/>
  <c r="J298" i="1"/>
  <c r="B299" i="1"/>
  <c r="C299" i="1"/>
  <c r="D299" i="1"/>
  <c r="E299" i="1"/>
  <c r="F299" i="1"/>
  <c r="G299" i="1"/>
  <c r="H299" i="1"/>
  <c r="I299" i="1"/>
  <c r="J299" i="1"/>
  <c r="B300" i="1"/>
  <c r="C300" i="1"/>
  <c r="D300" i="1"/>
  <c r="E300" i="1"/>
  <c r="F300" i="1"/>
  <c r="G300" i="1"/>
  <c r="H300" i="1"/>
  <c r="I300" i="1"/>
  <c r="J300" i="1"/>
  <c r="B301" i="1"/>
  <c r="C301" i="1"/>
  <c r="D301" i="1"/>
  <c r="E301" i="1"/>
  <c r="F301" i="1"/>
  <c r="G301" i="1"/>
  <c r="H301" i="1"/>
  <c r="I301" i="1"/>
  <c r="J301" i="1"/>
  <c r="B302" i="1"/>
  <c r="C302" i="1"/>
  <c r="D302" i="1"/>
  <c r="E302" i="1"/>
  <c r="F302" i="1"/>
  <c r="G302" i="1"/>
  <c r="H302" i="1"/>
  <c r="I302" i="1"/>
  <c r="J302" i="1"/>
  <c r="B303" i="1"/>
  <c r="C303" i="1"/>
  <c r="D303" i="1"/>
  <c r="E303" i="1"/>
  <c r="F303" i="1"/>
  <c r="G303" i="1"/>
  <c r="H303" i="1"/>
  <c r="I303" i="1"/>
  <c r="J303" i="1"/>
  <c r="B304" i="1"/>
  <c r="C304" i="1"/>
  <c r="D304" i="1"/>
  <c r="E304" i="1"/>
  <c r="F304" i="1"/>
  <c r="G304" i="1"/>
  <c r="H304" i="1"/>
  <c r="I304" i="1"/>
  <c r="J304" i="1"/>
  <c r="B305" i="1"/>
  <c r="C305" i="1"/>
  <c r="D305" i="1"/>
  <c r="E305" i="1"/>
  <c r="F305" i="1"/>
  <c r="G305" i="1"/>
  <c r="H305" i="1"/>
  <c r="I305" i="1"/>
  <c r="J305" i="1"/>
  <c r="B306" i="1"/>
  <c r="C306" i="1"/>
  <c r="D306" i="1"/>
  <c r="E306" i="1"/>
  <c r="F306" i="1"/>
  <c r="G306" i="1"/>
  <c r="H306" i="1"/>
  <c r="I306" i="1"/>
  <c r="J306" i="1"/>
  <c r="B307" i="1"/>
  <c r="C307" i="1"/>
  <c r="D307" i="1"/>
  <c r="E307" i="1"/>
  <c r="F307" i="1"/>
  <c r="G307" i="1"/>
  <c r="H307" i="1"/>
  <c r="I307" i="1"/>
  <c r="J307" i="1"/>
  <c r="B308" i="1"/>
  <c r="C308" i="1"/>
  <c r="D308" i="1"/>
  <c r="E308" i="1"/>
  <c r="F308" i="1"/>
  <c r="G308" i="1"/>
  <c r="H308" i="1"/>
  <c r="I308" i="1"/>
  <c r="J308" i="1"/>
  <c r="B309" i="1"/>
  <c r="C309" i="1"/>
  <c r="D309" i="1"/>
  <c r="E309" i="1"/>
  <c r="F309" i="1"/>
  <c r="G309" i="1"/>
  <c r="H309" i="1"/>
  <c r="I309" i="1"/>
  <c r="J309" i="1"/>
  <c r="B310" i="1"/>
  <c r="C310" i="1"/>
  <c r="D310" i="1"/>
  <c r="E310" i="1"/>
  <c r="F310" i="1"/>
  <c r="G310" i="1"/>
  <c r="H310" i="1"/>
  <c r="I310" i="1"/>
  <c r="J310" i="1"/>
  <c r="B311" i="1"/>
  <c r="C311" i="1"/>
  <c r="D311" i="1"/>
  <c r="E311" i="1"/>
  <c r="F311" i="1"/>
  <c r="G311" i="1"/>
  <c r="H311" i="1"/>
  <c r="I311" i="1"/>
  <c r="J311" i="1"/>
  <c r="B312" i="1"/>
  <c r="C312" i="1"/>
  <c r="D312" i="1"/>
  <c r="E312" i="1"/>
  <c r="F312" i="1"/>
  <c r="G312" i="1"/>
  <c r="H312" i="1"/>
  <c r="I312" i="1"/>
  <c r="J312" i="1"/>
  <c r="B313" i="1"/>
  <c r="C313" i="1"/>
  <c r="D313" i="1"/>
  <c r="E313" i="1"/>
  <c r="F313" i="1"/>
  <c r="G313" i="1"/>
  <c r="H313" i="1"/>
  <c r="I313" i="1"/>
  <c r="J313" i="1"/>
  <c r="B314" i="1"/>
  <c r="C314" i="1"/>
  <c r="D314" i="1"/>
  <c r="E314" i="1"/>
  <c r="F314" i="1"/>
  <c r="G314" i="1"/>
  <c r="H314" i="1"/>
  <c r="I314" i="1"/>
  <c r="J314" i="1"/>
  <c r="B315" i="1"/>
  <c r="C315" i="1"/>
  <c r="D315" i="1"/>
  <c r="E315" i="1"/>
  <c r="F315" i="1"/>
  <c r="G315" i="1"/>
  <c r="H315" i="1"/>
  <c r="I315" i="1"/>
  <c r="J315" i="1"/>
  <c r="B316" i="1"/>
  <c r="C316" i="1"/>
  <c r="D316" i="1"/>
  <c r="E316" i="1"/>
  <c r="F316" i="1"/>
  <c r="G316" i="1"/>
  <c r="H316" i="1"/>
  <c r="I316" i="1"/>
  <c r="J316" i="1"/>
  <c r="B317" i="1"/>
  <c r="C317" i="1"/>
  <c r="D317" i="1"/>
  <c r="E317" i="1"/>
  <c r="F317" i="1"/>
  <c r="G317" i="1"/>
  <c r="H317" i="1"/>
  <c r="I317" i="1"/>
  <c r="J317" i="1"/>
  <c r="B318" i="1"/>
  <c r="C318" i="1"/>
  <c r="D318" i="1"/>
  <c r="E318" i="1"/>
  <c r="F318" i="1"/>
  <c r="G318" i="1"/>
  <c r="H318" i="1"/>
  <c r="I318" i="1"/>
  <c r="J318" i="1"/>
  <c r="B319" i="1"/>
  <c r="C319" i="1"/>
  <c r="D319" i="1"/>
  <c r="E319" i="1"/>
  <c r="F319" i="1"/>
  <c r="G319" i="1"/>
  <c r="H319" i="1"/>
  <c r="I319" i="1"/>
  <c r="J319" i="1"/>
  <c r="B320" i="1"/>
  <c r="C320" i="1"/>
  <c r="D320" i="1"/>
  <c r="E320" i="1"/>
  <c r="F320" i="1"/>
  <c r="G320" i="1"/>
  <c r="H320" i="1"/>
  <c r="I320" i="1"/>
  <c r="J320" i="1"/>
  <c r="B321" i="1"/>
  <c r="C321" i="1"/>
  <c r="D321" i="1"/>
  <c r="E321" i="1"/>
  <c r="F321" i="1"/>
  <c r="G321" i="1"/>
  <c r="H321" i="1"/>
  <c r="I321" i="1"/>
  <c r="J321" i="1"/>
  <c r="B322" i="1"/>
  <c r="C322" i="1"/>
  <c r="D322" i="1"/>
  <c r="E322" i="1"/>
  <c r="F322" i="1"/>
  <c r="G322" i="1"/>
  <c r="H322" i="1"/>
  <c r="I322" i="1"/>
  <c r="J322" i="1"/>
  <c r="B323" i="1"/>
  <c r="C323" i="1"/>
  <c r="D323" i="1"/>
  <c r="E323" i="1"/>
  <c r="F323" i="1"/>
  <c r="G323" i="1"/>
  <c r="H323" i="1"/>
  <c r="I323" i="1"/>
  <c r="J323" i="1"/>
  <c r="B324" i="1"/>
  <c r="C324" i="1"/>
  <c r="D324" i="1"/>
  <c r="E324" i="1"/>
  <c r="F324" i="1"/>
  <c r="G324" i="1"/>
  <c r="H324" i="1"/>
  <c r="I324" i="1"/>
  <c r="J324" i="1"/>
  <c r="B325" i="1"/>
  <c r="C325" i="1"/>
  <c r="D325" i="1"/>
  <c r="E325" i="1"/>
  <c r="F325" i="1"/>
  <c r="G325" i="1"/>
  <c r="H325" i="1"/>
  <c r="I325" i="1"/>
  <c r="J325" i="1"/>
  <c r="B326" i="1"/>
  <c r="C326" i="1"/>
  <c r="D326" i="1"/>
  <c r="E326" i="1"/>
  <c r="F326" i="1"/>
  <c r="G326" i="1"/>
  <c r="H326" i="1"/>
  <c r="I326" i="1"/>
  <c r="J326" i="1"/>
  <c r="B327" i="1"/>
  <c r="C327" i="1"/>
  <c r="D327" i="1"/>
  <c r="E327" i="1"/>
  <c r="F327" i="1"/>
  <c r="G327" i="1"/>
  <c r="H327" i="1"/>
  <c r="I327" i="1"/>
  <c r="J327" i="1"/>
  <c r="B328" i="1"/>
  <c r="C328" i="1"/>
  <c r="D328" i="1"/>
  <c r="E328" i="1"/>
  <c r="F328" i="1"/>
  <c r="G328" i="1"/>
  <c r="H328" i="1"/>
  <c r="I328" i="1"/>
  <c r="J328" i="1"/>
  <c r="B329" i="1"/>
  <c r="C329" i="1"/>
  <c r="D329" i="1"/>
  <c r="E329" i="1"/>
  <c r="F329" i="1"/>
  <c r="G329" i="1"/>
  <c r="H329" i="1"/>
  <c r="I329" i="1"/>
  <c r="J329" i="1"/>
  <c r="B330" i="1"/>
  <c r="C330" i="1"/>
  <c r="D330" i="1"/>
  <c r="E330" i="1"/>
  <c r="F330" i="1"/>
  <c r="G330" i="1"/>
  <c r="H330" i="1"/>
  <c r="I330" i="1"/>
  <c r="J330" i="1"/>
  <c r="B331" i="1"/>
  <c r="C331" i="1"/>
  <c r="D331" i="1"/>
  <c r="E331" i="1"/>
  <c r="F331" i="1"/>
  <c r="G331" i="1"/>
  <c r="H331" i="1"/>
  <c r="I331" i="1"/>
  <c r="J331" i="1"/>
  <c r="B332" i="1"/>
  <c r="C332" i="1"/>
  <c r="D332" i="1"/>
  <c r="E332" i="1"/>
  <c r="F332" i="1"/>
  <c r="G332" i="1"/>
  <c r="H332" i="1"/>
  <c r="I332" i="1"/>
  <c r="J332" i="1"/>
  <c r="B333" i="1"/>
  <c r="C333" i="1"/>
  <c r="D333" i="1"/>
  <c r="E333" i="1"/>
  <c r="F333" i="1"/>
  <c r="G333" i="1"/>
  <c r="H333" i="1"/>
  <c r="I333" i="1"/>
  <c r="J333" i="1"/>
  <c r="B334" i="1"/>
  <c r="C334" i="1"/>
  <c r="D334" i="1"/>
  <c r="E334" i="1"/>
  <c r="F334" i="1"/>
  <c r="G334" i="1"/>
  <c r="H334" i="1"/>
  <c r="I334" i="1"/>
  <c r="J334" i="1"/>
  <c r="B335" i="1"/>
  <c r="C335" i="1"/>
  <c r="D335" i="1"/>
  <c r="E335" i="1"/>
  <c r="F335" i="1"/>
  <c r="G335" i="1"/>
  <c r="H335" i="1"/>
  <c r="I335" i="1"/>
  <c r="J335" i="1"/>
  <c r="B336" i="1"/>
  <c r="C336" i="1"/>
  <c r="D336" i="1"/>
  <c r="E336" i="1"/>
  <c r="F336" i="1"/>
  <c r="G336" i="1"/>
  <c r="H336" i="1"/>
  <c r="I336" i="1"/>
  <c r="J336" i="1"/>
  <c r="B337" i="1"/>
  <c r="C337" i="1"/>
  <c r="D337" i="1"/>
  <c r="E337" i="1"/>
  <c r="F337" i="1"/>
  <c r="G337" i="1"/>
  <c r="H337" i="1"/>
  <c r="I337" i="1"/>
  <c r="J337" i="1"/>
  <c r="B338" i="1"/>
  <c r="C338" i="1"/>
  <c r="D338" i="1"/>
  <c r="E338" i="1"/>
  <c r="F338" i="1"/>
  <c r="G338" i="1"/>
  <c r="H338" i="1"/>
  <c r="I338" i="1"/>
  <c r="J338" i="1"/>
  <c r="B339" i="1"/>
  <c r="C339" i="1"/>
  <c r="D339" i="1"/>
  <c r="E339" i="1"/>
  <c r="F339" i="1"/>
  <c r="G339" i="1"/>
  <c r="H339" i="1"/>
  <c r="I339" i="1"/>
  <c r="J339" i="1"/>
  <c r="B340" i="1"/>
  <c r="C340" i="1"/>
  <c r="D340" i="1"/>
  <c r="E340" i="1"/>
  <c r="F340" i="1"/>
  <c r="G340" i="1"/>
  <c r="H340" i="1"/>
  <c r="I340" i="1"/>
  <c r="J340" i="1"/>
  <c r="B341" i="1"/>
  <c r="C341" i="1"/>
  <c r="D341" i="1"/>
  <c r="E341" i="1"/>
  <c r="F341" i="1"/>
  <c r="G341" i="1"/>
  <c r="H341" i="1"/>
  <c r="I341" i="1"/>
  <c r="J341" i="1"/>
  <c r="B342" i="1"/>
  <c r="C342" i="1"/>
  <c r="D342" i="1"/>
  <c r="E342" i="1"/>
  <c r="F342" i="1"/>
  <c r="G342" i="1"/>
  <c r="H342" i="1"/>
  <c r="I342" i="1"/>
  <c r="J342" i="1"/>
  <c r="B343" i="1"/>
  <c r="C343" i="1"/>
  <c r="D343" i="1"/>
  <c r="E343" i="1"/>
  <c r="F343" i="1"/>
  <c r="G343" i="1"/>
  <c r="H343" i="1"/>
  <c r="I343" i="1"/>
  <c r="J343" i="1"/>
  <c r="B344" i="1"/>
  <c r="C344" i="1"/>
  <c r="D344" i="1"/>
  <c r="E344" i="1"/>
  <c r="F344" i="1"/>
  <c r="G344" i="1"/>
  <c r="H344" i="1"/>
  <c r="I344" i="1"/>
  <c r="J344" i="1"/>
  <c r="B345" i="1"/>
  <c r="C345" i="1"/>
  <c r="D345" i="1"/>
  <c r="E345" i="1"/>
  <c r="F345" i="1"/>
  <c r="G345" i="1"/>
  <c r="H345" i="1"/>
  <c r="I345" i="1"/>
  <c r="J345" i="1"/>
  <c r="B346" i="1"/>
  <c r="C346" i="1"/>
  <c r="D346" i="1"/>
  <c r="E346" i="1"/>
  <c r="F346" i="1"/>
  <c r="G346" i="1"/>
  <c r="H346" i="1"/>
  <c r="I346" i="1"/>
  <c r="J346" i="1"/>
  <c r="B347" i="1"/>
  <c r="C347" i="1"/>
  <c r="D347" i="1"/>
  <c r="E347" i="1"/>
  <c r="F347" i="1"/>
  <c r="G347" i="1"/>
  <c r="H347" i="1"/>
  <c r="I347" i="1"/>
  <c r="J347" i="1"/>
  <c r="B348" i="1"/>
  <c r="C348" i="1"/>
  <c r="D348" i="1"/>
  <c r="E348" i="1"/>
  <c r="F348" i="1"/>
  <c r="G348" i="1"/>
  <c r="H348" i="1"/>
  <c r="I348" i="1"/>
  <c r="J348" i="1"/>
  <c r="B349" i="1"/>
  <c r="C349" i="1"/>
  <c r="D349" i="1"/>
  <c r="E349" i="1"/>
  <c r="F349" i="1"/>
  <c r="G349" i="1"/>
  <c r="H349" i="1"/>
  <c r="I349" i="1"/>
  <c r="J349" i="1"/>
  <c r="B350" i="1"/>
  <c r="C350" i="1"/>
  <c r="D350" i="1"/>
  <c r="E350" i="1"/>
  <c r="F350" i="1"/>
  <c r="G350" i="1"/>
  <c r="H350" i="1"/>
  <c r="I350" i="1"/>
  <c r="J350" i="1"/>
  <c r="B351" i="1"/>
  <c r="C351" i="1"/>
  <c r="D351" i="1"/>
  <c r="E351" i="1"/>
  <c r="F351" i="1"/>
  <c r="G351" i="1"/>
  <c r="H351" i="1"/>
  <c r="I351" i="1"/>
  <c r="J351" i="1"/>
  <c r="B352" i="1"/>
  <c r="C352" i="1"/>
  <c r="D352" i="1"/>
  <c r="E352" i="1"/>
  <c r="F352" i="1"/>
  <c r="G352" i="1"/>
  <c r="H352" i="1"/>
  <c r="I352" i="1"/>
  <c r="J352" i="1"/>
  <c r="B353" i="1"/>
  <c r="C353" i="1"/>
  <c r="D353" i="1"/>
  <c r="E353" i="1"/>
  <c r="F353" i="1"/>
  <c r="G353" i="1"/>
  <c r="H353" i="1"/>
  <c r="I353" i="1"/>
  <c r="J353" i="1"/>
  <c r="B354" i="1"/>
  <c r="C354" i="1"/>
  <c r="D354" i="1"/>
  <c r="E354" i="1"/>
  <c r="F354" i="1"/>
  <c r="G354" i="1"/>
  <c r="H354" i="1"/>
  <c r="I354" i="1"/>
  <c r="J354" i="1"/>
  <c r="B355" i="1"/>
  <c r="C355" i="1"/>
  <c r="D355" i="1"/>
  <c r="E355" i="1"/>
  <c r="F355" i="1"/>
  <c r="G355" i="1"/>
  <c r="H355" i="1"/>
  <c r="I355" i="1"/>
  <c r="J355" i="1"/>
  <c r="B356" i="1"/>
  <c r="C356" i="1"/>
  <c r="D356" i="1"/>
  <c r="E356" i="1"/>
  <c r="F356" i="1"/>
  <c r="G356" i="1"/>
  <c r="H356" i="1"/>
  <c r="I356" i="1"/>
  <c r="J356" i="1"/>
  <c r="B357" i="1"/>
  <c r="C357" i="1"/>
  <c r="D357" i="1"/>
  <c r="E357" i="1"/>
  <c r="F357" i="1"/>
  <c r="G357" i="1"/>
  <c r="H357" i="1"/>
  <c r="I357" i="1"/>
  <c r="J357" i="1"/>
  <c r="B358" i="1"/>
  <c r="C358" i="1"/>
  <c r="D358" i="1"/>
  <c r="E358" i="1"/>
  <c r="F358" i="1"/>
  <c r="G358" i="1"/>
  <c r="H358" i="1"/>
  <c r="I358" i="1"/>
  <c r="J358" i="1"/>
  <c r="B359" i="1"/>
  <c r="C359" i="1"/>
  <c r="D359" i="1"/>
  <c r="E359" i="1"/>
  <c r="F359" i="1"/>
  <c r="G359" i="1"/>
  <c r="H359" i="1"/>
  <c r="I359" i="1"/>
  <c r="J359" i="1"/>
  <c r="B360" i="1"/>
  <c r="C360" i="1"/>
  <c r="D360" i="1"/>
  <c r="E360" i="1"/>
  <c r="F360" i="1"/>
  <c r="G360" i="1"/>
  <c r="H360" i="1"/>
  <c r="I360" i="1"/>
  <c r="J360" i="1"/>
  <c r="B361" i="1"/>
  <c r="C361" i="1"/>
  <c r="D361" i="1"/>
  <c r="E361" i="1"/>
  <c r="F361" i="1"/>
  <c r="G361" i="1"/>
  <c r="H361" i="1"/>
  <c r="I361" i="1"/>
  <c r="J361" i="1"/>
  <c r="B362" i="1"/>
  <c r="C362" i="1"/>
  <c r="D362" i="1"/>
  <c r="E362" i="1"/>
  <c r="F362" i="1"/>
  <c r="G362" i="1"/>
  <c r="H362" i="1"/>
  <c r="I362" i="1"/>
  <c r="J362" i="1"/>
  <c r="B363" i="1"/>
  <c r="C363" i="1"/>
  <c r="D363" i="1"/>
  <c r="E363" i="1"/>
  <c r="F363" i="1"/>
  <c r="G363" i="1"/>
  <c r="H363" i="1"/>
  <c r="I363" i="1"/>
  <c r="J363" i="1"/>
  <c r="B364" i="1"/>
  <c r="C364" i="1"/>
  <c r="D364" i="1"/>
  <c r="E364" i="1"/>
  <c r="F364" i="1"/>
  <c r="G364" i="1"/>
  <c r="H364" i="1"/>
  <c r="I364" i="1"/>
  <c r="J364" i="1"/>
  <c r="B365" i="1"/>
  <c r="C365" i="1"/>
  <c r="D365" i="1"/>
  <c r="E365" i="1"/>
  <c r="F365" i="1"/>
  <c r="G365" i="1"/>
  <c r="H365" i="1"/>
  <c r="I365" i="1"/>
  <c r="J365" i="1"/>
  <c r="B366" i="1"/>
  <c r="C366" i="1"/>
  <c r="D366" i="1"/>
  <c r="E366" i="1"/>
  <c r="F366" i="1"/>
  <c r="G366" i="1"/>
  <c r="H366" i="1"/>
  <c r="I366" i="1"/>
  <c r="J366" i="1"/>
  <c r="B367" i="1"/>
  <c r="C367" i="1"/>
  <c r="D367" i="1"/>
  <c r="E367" i="1"/>
  <c r="F367" i="1"/>
  <c r="G367" i="1"/>
  <c r="H367" i="1"/>
  <c r="I367" i="1"/>
  <c r="J367" i="1"/>
  <c r="B368" i="1"/>
  <c r="C368" i="1"/>
  <c r="D368" i="1"/>
  <c r="E368" i="1"/>
  <c r="F368" i="1"/>
  <c r="G368" i="1"/>
  <c r="H368" i="1"/>
  <c r="I368" i="1"/>
  <c r="J368" i="1"/>
  <c r="B369" i="1"/>
  <c r="C369" i="1"/>
  <c r="D369" i="1"/>
  <c r="E369" i="1"/>
  <c r="F369" i="1"/>
  <c r="G369" i="1"/>
  <c r="H369" i="1"/>
  <c r="I369" i="1"/>
  <c r="J369" i="1"/>
  <c r="B370" i="1"/>
  <c r="C370" i="1"/>
  <c r="D370" i="1"/>
  <c r="E370" i="1"/>
  <c r="F370" i="1"/>
  <c r="G370" i="1"/>
  <c r="H370" i="1"/>
  <c r="I370" i="1"/>
  <c r="J370" i="1"/>
  <c r="B371" i="1"/>
  <c r="C371" i="1"/>
  <c r="D371" i="1"/>
  <c r="E371" i="1"/>
  <c r="F371" i="1"/>
  <c r="G371" i="1"/>
  <c r="H371" i="1"/>
  <c r="I371" i="1"/>
  <c r="J371" i="1"/>
  <c r="B372" i="1"/>
  <c r="C372" i="1"/>
  <c r="D372" i="1"/>
  <c r="E372" i="1"/>
  <c r="F372" i="1"/>
  <c r="G372" i="1"/>
  <c r="H372" i="1"/>
  <c r="I372" i="1"/>
  <c r="J372" i="1"/>
  <c r="B373" i="1"/>
  <c r="C373" i="1"/>
  <c r="D373" i="1"/>
  <c r="E373" i="1"/>
  <c r="F373" i="1"/>
  <c r="G373" i="1"/>
  <c r="H373" i="1"/>
  <c r="I373" i="1"/>
  <c r="J373" i="1"/>
  <c r="B374" i="1"/>
  <c r="C374" i="1"/>
  <c r="D374" i="1"/>
  <c r="E374" i="1"/>
  <c r="F374" i="1"/>
  <c r="G374" i="1"/>
  <c r="H374" i="1"/>
  <c r="I374" i="1"/>
  <c r="J374" i="1"/>
  <c r="B375" i="1"/>
  <c r="C375" i="1"/>
  <c r="D375" i="1"/>
  <c r="E375" i="1"/>
  <c r="F375" i="1"/>
  <c r="G375" i="1"/>
  <c r="H375" i="1"/>
  <c r="I375" i="1"/>
  <c r="J375" i="1"/>
  <c r="B376" i="1"/>
  <c r="C376" i="1"/>
  <c r="D376" i="1"/>
  <c r="E376" i="1"/>
  <c r="F376" i="1"/>
  <c r="G376" i="1"/>
  <c r="H376" i="1"/>
  <c r="I376" i="1"/>
  <c r="J376" i="1"/>
  <c r="B377" i="1"/>
  <c r="C377" i="1"/>
  <c r="D377" i="1"/>
  <c r="E377" i="1"/>
  <c r="F377" i="1"/>
  <c r="G377" i="1"/>
  <c r="H377" i="1"/>
  <c r="I377" i="1"/>
  <c r="J377" i="1"/>
  <c r="B378" i="1"/>
  <c r="C378" i="1"/>
  <c r="D378" i="1"/>
  <c r="E378" i="1"/>
  <c r="F378" i="1"/>
  <c r="G378" i="1"/>
  <c r="H378" i="1"/>
  <c r="I378" i="1"/>
  <c r="J378" i="1"/>
  <c r="B379" i="1"/>
  <c r="C379" i="1"/>
  <c r="D379" i="1"/>
  <c r="E379" i="1"/>
  <c r="F379" i="1"/>
  <c r="G379" i="1"/>
  <c r="H379" i="1"/>
  <c r="I379" i="1"/>
  <c r="J379" i="1"/>
  <c r="B380" i="1"/>
  <c r="C380" i="1"/>
  <c r="D380" i="1"/>
  <c r="E380" i="1"/>
  <c r="F380" i="1"/>
  <c r="G380" i="1"/>
  <c r="H380" i="1"/>
  <c r="I380" i="1"/>
  <c r="J380" i="1"/>
  <c r="B381" i="1"/>
  <c r="C381" i="1"/>
  <c r="D381" i="1"/>
  <c r="E381" i="1"/>
  <c r="F381" i="1"/>
  <c r="G381" i="1"/>
  <c r="H381" i="1"/>
  <c r="I381" i="1"/>
  <c r="J381" i="1"/>
  <c r="B382" i="1"/>
  <c r="C382" i="1"/>
  <c r="D382" i="1"/>
  <c r="E382" i="1"/>
  <c r="F382" i="1"/>
  <c r="G382" i="1"/>
  <c r="H382" i="1"/>
  <c r="I382" i="1"/>
  <c r="J382" i="1"/>
  <c r="B383" i="1"/>
  <c r="C383" i="1"/>
  <c r="D383" i="1"/>
  <c r="E383" i="1"/>
  <c r="F383" i="1"/>
  <c r="G383" i="1"/>
  <c r="H383" i="1"/>
  <c r="I383" i="1"/>
  <c r="J383" i="1"/>
  <c r="B384" i="1"/>
  <c r="C384" i="1"/>
  <c r="D384" i="1"/>
  <c r="E384" i="1"/>
  <c r="F384" i="1"/>
  <c r="G384" i="1"/>
  <c r="H384" i="1"/>
  <c r="I384" i="1"/>
  <c r="J384" i="1"/>
  <c r="B385" i="1"/>
  <c r="C385" i="1"/>
  <c r="D385" i="1"/>
  <c r="E385" i="1"/>
  <c r="F385" i="1"/>
  <c r="G385" i="1"/>
  <c r="H385" i="1"/>
  <c r="I385" i="1"/>
  <c r="J385" i="1"/>
  <c r="B386" i="1"/>
  <c r="C386" i="1"/>
  <c r="D386" i="1"/>
  <c r="E386" i="1"/>
  <c r="F386" i="1"/>
  <c r="G386" i="1"/>
  <c r="H386" i="1"/>
  <c r="I386" i="1"/>
  <c r="J386" i="1"/>
  <c r="B387" i="1"/>
  <c r="C387" i="1"/>
  <c r="D387" i="1"/>
  <c r="E387" i="1"/>
  <c r="F387" i="1"/>
  <c r="G387" i="1"/>
  <c r="H387" i="1"/>
  <c r="I387" i="1"/>
  <c r="J387" i="1"/>
  <c r="B388" i="1"/>
  <c r="C388" i="1"/>
  <c r="D388" i="1"/>
  <c r="E388" i="1"/>
  <c r="F388" i="1"/>
  <c r="G388" i="1"/>
  <c r="H388" i="1"/>
  <c r="I388" i="1"/>
  <c r="J388" i="1"/>
  <c r="B389" i="1"/>
  <c r="C389" i="1"/>
  <c r="D389" i="1"/>
  <c r="E389" i="1"/>
  <c r="F389" i="1"/>
  <c r="G389" i="1"/>
  <c r="H389" i="1"/>
  <c r="I389" i="1"/>
  <c r="J389" i="1"/>
  <c r="B390" i="1"/>
  <c r="C390" i="1"/>
  <c r="D390" i="1"/>
  <c r="E390" i="1"/>
  <c r="F390" i="1"/>
  <c r="G390" i="1"/>
  <c r="H390" i="1"/>
  <c r="I390" i="1"/>
  <c r="J390" i="1"/>
  <c r="B391" i="1"/>
  <c r="C391" i="1"/>
  <c r="D391" i="1"/>
  <c r="E391" i="1"/>
  <c r="F391" i="1"/>
  <c r="G391" i="1"/>
  <c r="H391" i="1"/>
  <c r="I391" i="1"/>
  <c r="J391" i="1"/>
  <c r="B392" i="1"/>
  <c r="C392" i="1"/>
  <c r="D392" i="1"/>
  <c r="E392" i="1"/>
  <c r="F392" i="1"/>
  <c r="G392" i="1"/>
  <c r="H392" i="1"/>
  <c r="I392" i="1"/>
  <c r="J392" i="1"/>
  <c r="B393" i="1"/>
  <c r="C393" i="1"/>
  <c r="D393" i="1"/>
  <c r="E393" i="1"/>
  <c r="F393" i="1"/>
  <c r="G393" i="1"/>
  <c r="H393" i="1"/>
  <c r="I393" i="1"/>
  <c r="J393" i="1"/>
  <c r="B394" i="1"/>
  <c r="C394" i="1"/>
  <c r="D394" i="1"/>
  <c r="E394" i="1"/>
  <c r="F394" i="1"/>
  <c r="G394" i="1"/>
  <c r="H394" i="1"/>
  <c r="I394" i="1"/>
  <c r="J394" i="1"/>
  <c r="B395" i="1"/>
  <c r="C395" i="1"/>
  <c r="D395" i="1"/>
  <c r="E395" i="1"/>
  <c r="F395" i="1"/>
  <c r="G395" i="1"/>
  <c r="H395" i="1"/>
  <c r="I395" i="1"/>
  <c r="J395" i="1"/>
  <c r="B396" i="1"/>
  <c r="C396" i="1"/>
  <c r="D396" i="1"/>
  <c r="E396" i="1"/>
  <c r="F396" i="1"/>
  <c r="G396" i="1"/>
  <c r="H396" i="1"/>
  <c r="I396" i="1"/>
  <c r="J396" i="1"/>
  <c r="B397" i="1"/>
  <c r="C397" i="1"/>
  <c r="D397" i="1"/>
  <c r="E397" i="1"/>
  <c r="F397" i="1"/>
  <c r="G397" i="1"/>
  <c r="H397" i="1"/>
  <c r="I397" i="1"/>
  <c r="J397" i="1"/>
  <c r="B398" i="1"/>
  <c r="C398" i="1"/>
  <c r="D398" i="1"/>
  <c r="E398" i="1"/>
  <c r="F398" i="1"/>
  <c r="G398" i="1"/>
  <c r="H398" i="1"/>
  <c r="I398" i="1"/>
  <c r="J398" i="1"/>
  <c r="B399" i="1"/>
  <c r="C399" i="1"/>
  <c r="D399" i="1"/>
  <c r="E399" i="1"/>
  <c r="F399" i="1"/>
  <c r="G399" i="1"/>
  <c r="H399" i="1"/>
  <c r="I399" i="1"/>
  <c r="J399" i="1"/>
  <c r="B400" i="1"/>
  <c r="C400" i="1"/>
  <c r="D400" i="1"/>
  <c r="E400" i="1"/>
  <c r="F400" i="1"/>
  <c r="G400" i="1"/>
  <c r="H400" i="1"/>
  <c r="I400" i="1"/>
  <c r="J400" i="1"/>
  <c r="B401" i="1"/>
  <c r="C401" i="1"/>
  <c r="D401" i="1"/>
  <c r="E401" i="1"/>
  <c r="F401" i="1"/>
  <c r="G401" i="1"/>
  <c r="H401" i="1"/>
  <c r="I401" i="1"/>
  <c r="J401" i="1"/>
  <c r="B402" i="1"/>
  <c r="C402" i="1"/>
  <c r="D402" i="1"/>
  <c r="E402" i="1"/>
  <c r="F402" i="1"/>
  <c r="G402" i="1"/>
  <c r="H402" i="1"/>
  <c r="I402" i="1"/>
  <c r="J402" i="1"/>
  <c r="B403" i="1"/>
  <c r="C403" i="1"/>
  <c r="D403" i="1"/>
  <c r="E403" i="1"/>
  <c r="F403" i="1"/>
  <c r="G403" i="1"/>
  <c r="H403" i="1"/>
  <c r="I403" i="1"/>
  <c r="J403" i="1"/>
  <c r="B404" i="1"/>
  <c r="C404" i="1"/>
  <c r="D404" i="1"/>
  <c r="E404" i="1"/>
  <c r="F404" i="1"/>
  <c r="G404" i="1"/>
  <c r="H404" i="1"/>
  <c r="I404" i="1"/>
  <c r="J404" i="1"/>
  <c r="B405" i="1"/>
  <c r="C405" i="1"/>
  <c r="D405" i="1"/>
  <c r="E405" i="1"/>
  <c r="F405" i="1"/>
  <c r="G405" i="1"/>
  <c r="H405" i="1"/>
  <c r="I405" i="1"/>
  <c r="J405" i="1"/>
  <c r="B406" i="1"/>
  <c r="C406" i="1"/>
  <c r="D406" i="1"/>
  <c r="E406" i="1"/>
  <c r="F406" i="1"/>
  <c r="G406" i="1"/>
  <c r="H406" i="1"/>
  <c r="I406" i="1"/>
  <c r="J406" i="1"/>
  <c r="B407" i="1"/>
  <c r="C407" i="1"/>
  <c r="D407" i="1"/>
  <c r="E407" i="1"/>
  <c r="F407" i="1"/>
  <c r="G407" i="1"/>
  <c r="H407" i="1"/>
  <c r="I407" i="1"/>
  <c r="J407" i="1"/>
  <c r="B408" i="1"/>
  <c r="C408" i="1"/>
  <c r="D408" i="1"/>
  <c r="E408" i="1"/>
  <c r="F408" i="1"/>
  <c r="G408" i="1"/>
  <c r="H408" i="1"/>
  <c r="I408" i="1"/>
  <c r="J408" i="1"/>
  <c r="B409" i="1"/>
  <c r="C409" i="1"/>
  <c r="D409" i="1"/>
  <c r="E409" i="1"/>
  <c r="F409" i="1"/>
  <c r="G409" i="1"/>
  <c r="H409" i="1"/>
  <c r="I409" i="1"/>
  <c r="J409" i="1"/>
  <c r="B410" i="1"/>
  <c r="C410" i="1"/>
  <c r="D410" i="1"/>
  <c r="E410" i="1"/>
  <c r="F410" i="1"/>
  <c r="G410" i="1"/>
  <c r="H410" i="1"/>
  <c r="I410" i="1"/>
  <c r="J410" i="1"/>
  <c r="B411" i="1"/>
  <c r="C411" i="1"/>
  <c r="D411" i="1"/>
  <c r="E411" i="1"/>
  <c r="F411" i="1"/>
  <c r="G411" i="1"/>
  <c r="H411" i="1"/>
  <c r="I411" i="1"/>
  <c r="J411" i="1"/>
  <c r="B412" i="1"/>
  <c r="C412" i="1"/>
  <c r="D412" i="1"/>
  <c r="E412" i="1"/>
  <c r="F412" i="1"/>
  <c r="G412" i="1"/>
  <c r="H412" i="1"/>
  <c r="I412" i="1"/>
  <c r="J412" i="1"/>
  <c r="B413" i="1"/>
  <c r="C413" i="1"/>
  <c r="D413" i="1"/>
  <c r="E413" i="1"/>
  <c r="F413" i="1"/>
  <c r="G413" i="1"/>
  <c r="H413" i="1"/>
  <c r="I413" i="1"/>
  <c r="J413" i="1"/>
  <c r="B414" i="1"/>
  <c r="C414" i="1"/>
  <c r="D414" i="1"/>
  <c r="E414" i="1"/>
  <c r="F414" i="1"/>
  <c r="G414" i="1"/>
  <c r="H414" i="1"/>
  <c r="I414" i="1"/>
  <c r="J414" i="1"/>
  <c r="B415" i="1"/>
  <c r="C415" i="1"/>
  <c r="D415" i="1"/>
  <c r="E415" i="1"/>
  <c r="F415" i="1"/>
  <c r="G415" i="1"/>
  <c r="H415" i="1"/>
  <c r="I415" i="1"/>
  <c r="J415" i="1"/>
  <c r="B416" i="1"/>
  <c r="C416" i="1"/>
  <c r="D416" i="1"/>
  <c r="E416" i="1"/>
  <c r="F416" i="1"/>
  <c r="G416" i="1"/>
  <c r="H416" i="1"/>
  <c r="I416" i="1"/>
  <c r="J416" i="1"/>
  <c r="B417" i="1"/>
  <c r="C417" i="1"/>
  <c r="D417" i="1"/>
  <c r="E417" i="1"/>
  <c r="F417" i="1"/>
  <c r="G417" i="1"/>
  <c r="H417" i="1"/>
  <c r="I417" i="1"/>
  <c r="J417" i="1"/>
  <c r="B418" i="1"/>
  <c r="C418" i="1"/>
  <c r="D418" i="1"/>
  <c r="E418" i="1"/>
  <c r="F418" i="1"/>
  <c r="G418" i="1"/>
  <c r="H418" i="1"/>
  <c r="I418" i="1"/>
  <c r="J418" i="1"/>
  <c r="B419" i="1"/>
  <c r="C419" i="1"/>
  <c r="D419" i="1"/>
  <c r="E419" i="1"/>
  <c r="F419" i="1"/>
  <c r="G419" i="1"/>
  <c r="H419" i="1"/>
  <c r="I419" i="1"/>
  <c r="J419" i="1"/>
  <c r="B420" i="1"/>
  <c r="C420" i="1"/>
  <c r="D420" i="1"/>
  <c r="E420" i="1"/>
  <c r="F420" i="1"/>
  <c r="G420" i="1"/>
  <c r="H420" i="1"/>
  <c r="I420" i="1"/>
  <c r="J420" i="1"/>
  <c r="B421" i="1"/>
  <c r="C421" i="1"/>
  <c r="D421" i="1"/>
  <c r="E421" i="1"/>
  <c r="F421" i="1"/>
  <c r="G421" i="1"/>
  <c r="H421" i="1"/>
  <c r="I421" i="1"/>
  <c r="J421" i="1"/>
  <c r="B422" i="1"/>
  <c r="C422" i="1"/>
  <c r="D422" i="1"/>
  <c r="E422" i="1"/>
  <c r="F422" i="1"/>
  <c r="G422" i="1"/>
  <c r="H422" i="1"/>
  <c r="I422" i="1"/>
  <c r="J422" i="1"/>
  <c r="B423" i="1"/>
  <c r="C423" i="1"/>
  <c r="D423" i="1"/>
  <c r="E423" i="1"/>
  <c r="F423" i="1"/>
  <c r="G423" i="1"/>
  <c r="H423" i="1"/>
  <c r="I423" i="1"/>
  <c r="J423" i="1"/>
  <c r="B424" i="1"/>
  <c r="C424" i="1"/>
  <c r="D424" i="1"/>
  <c r="E424" i="1"/>
  <c r="F424" i="1"/>
  <c r="G424" i="1"/>
  <c r="H424" i="1"/>
  <c r="I424" i="1"/>
  <c r="J424" i="1"/>
  <c r="B425" i="1"/>
  <c r="C425" i="1"/>
  <c r="D425" i="1"/>
  <c r="E425" i="1"/>
  <c r="F425" i="1"/>
  <c r="G425" i="1"/>
  <c r="H425" i="1"/>
  <c r="I425" i="1"/>
  <c r="J425" i="1"/>
  <c r="B426" i="1"/>
  <c r="C426" i="1"/>
  <c r="D426" i="1"/>
  <c r="E426" i="1"/>
  <c r="F426" i="1"/>
  <c r="G426" i="1"/>
  <c r="H426" i="1"/>
  <c r="I426" i="1"/>
  <c r="J426" i="1"/>
  <c r="B427" i="1"/>
  <c r="C427" i="1"/>
  <c r="D427" i="1"/>
  <c r="E427" i="1"/>
  <c r="F427" i="1"/>
  <c r="G427" i="1"/>
  <c r="H427" i="1"/>
  <c r="I427" i="1"/>
  <c r="J427" i="1"/>
  <c r="B428" i="1"/>
  <c r="C428" i="1"/>
  <c r="D428" i="1"/>
  <c r="E428" i="1"/>
  <c r="F428" i="1"/>
  <c r="G428" i="1"/>
  <c r="H428" i="1"/>
  <c r="I428" i="1"/>
  <c r="J428" i="1"/>
  <c r="B429" i="1"/>
  <c r="C429" i="1"/>
  <c r="D429" i="1"/>
  <c r="E429" i="1"/>
  <c r="F429" i="1"/>
  <c r="G429" i="1"/>
  <c r="H429" i="1"/>
  <c r="I429" i="1"/>
  <c r="J429" i="1"/>
  <c r="B430" i="1"/>
  <c r="C430" i="1"/>
  <c r="D430" i="1"/>
  <c r="E430" i="1"/>
  <c r="F430" i="1"/>
  <c r="G430" i="1"/>
  <c r="H430" i="1"/>
  <c r="I430" i="1"/>
  <c r="J430" i="1"/>
  <c r="B431" i="1"/>
  <c r="C431" i="1"/>
  <c r="D431" i="1"/>
  <c r="E431" i="1"/>
  <c r="F431" i="1"/>
  <c r="G431" i="1"/>
  <c r="H431" i="1"/>
  <c r="I431" i="1"/>
  <c r="J431" i="1"/>
  <c r="B432" i="1"/>
  <c r="C432" i="1"/>
  <c r="D432" i="1"/>
  <c r="E432" i="1"/>
  <c r="F432" i="1"/>
  <c r="G432" i="1"/>
  <c r="H432" i="1"/>
  <c r="I432" i="1"/>
  <c r="J432" i="1"/>
  <c r="B433" i="1"/>
  <c r="C433" i="1"/>
  <c r="D433" i="1"/>
  <c r="E433" i="1"/>
  <c r="F433" i="1"/>
  <c r="G433" i="1"/>
  <c r="H433" i="1"/>
  <c r="I433" i="1"/>
  <c r="J433" i="1"/>
  <c r="B434" i="1"/>
  <c r="C434" i="1"/>
  <c r="D434" i="1"/>
  <c r="E434" i="1"/>
  <c r="F434" i="1"/>
  <c r="G434" i="1"/>
  <c r="H434" i="1"/>
  <c r="I434" i="1"/>
  <c r="J434" i="1"/>
  <c r="B435" i="1"/>
  <c r="C435" i="1"/>
  <c r="D435" i="1"/>
  <c r="E435" i="1"/>
  <c r="F435" i="1"/>
  <c r="G435" i="1"/>
  <c r="H435" i="1"/>
  <c r="I435" i="1"/>
  <c r="J435" i="1"/>
  <c r="B436" i="1"/>
  <c r="C436" i="1"/>
  <c r="D436" i="1"/>
  <c r="E436" i="1"/>
  <c r="F436" i="1"/>
  <c r="G436" i="1"/>
  <c r="H436" i="1"/>
  <c r="I436" i="1"/>
  <c r="J436" i="1"/>
  <c r="B437" i="1"/>
  <c r="C437" i="1"/>
  <c r="D437" i="1"/>
  <c r="E437" i="1"/>
  <c r="F437" i="1"/>
  <c r="G437" i="1"/>
  <c r="H437" i="1"/>
  <c r="I437" i="1"/>
  <c r="J437" i="1"/>
  <c r="B438" i="1"/>
  <c r="C438" i="1"/>
  <c r="D438" i="1"/>
  <c r="E438" i="1"/>
  <c r="F438" i="1"/>
  <c r="G438" i="1"/>
  <c r="H438" i="1"/>
  <c r="I438" i="1"/>
  <c r="J438" i="1"/>
  <c r="B439" i="1"/>
  <c r="C439" i="1"/>
  <c r="D439" i="1"/>
  <c r="E439" i="1"/>
  <c r="F439" i="1"/>
  <c r="G439" i="1"/>
  <c r="H439" i="1"/>
  <c r="I439" i="1"/>
  <c r="J439" i="1"/>
  <c r="B440" i="1"/>
  <c r="C440" i="1"/>
  <c r="D440" i="1"/>
  <c r="E440" i="1"/>
  <c r="F440" i="1"/>
  <c r="G440" i="1"/>
  <c r="H440" i="1"/>
  <c r="I440" i="1"/>
  <c r="J440" i="1"/>
  <c r="B441" i="1"/>
  <c r="C441" i="1"/>
  <c r="D441" i="1"/>
  <c r="E441" i="1"/>
  <c r="F441" i="1"/>
  <c r="G441" i="1"/>
  <c r="H441" i="1"/>
  <c r="I441" i="1"/>
  <c r="J441" i="1"/>
  <c r="B442" i="1"/>
  <c r="C442" i="1"/>
  <c r="D442" i="1"/>
  <c r="E442" i="1"/>
  <c r="F442" i="1"/>
  <c r="G442" i="1"/>
  <c r="H442" i="1"/>
  <c r="I442" i="1"/>
  <c r="J442" i="1"/>
  <c r="B443" i="1"/>
  <c r="C443" i="1"/>
  <c r="D443" i="1"/>
  <c r="E443" i="1"/>
  <c r="F443" i="1"/>
  <c r="G443" i="1"/>
  <c r="H443" i="1"/>
  <c r="I443" i="1"/>
  <c r="J443" i="1"/>
  <c r="B444" i="1"/>
  <c r="C444" i="1"/>
  <c r="D444" i="1"/>
  <c r="E444" i="1"/>
  <c r="F444" i="1"/>
  <c r="G444" i="1"/>
  <c r="H444" i="1"/>
  <c r="I444" i="1"/>
  <c r="J444" i="1"/>
  <c r="B445" i="1"/>
  <c r="C445" i="1"/>
  <c r="D445" i="1"/>
  <c r="E445" i="1"/>
  <c r="F445" i="1"/>
  <c r="G445" i="1"/>
  <c r="H445" i="1"/>
  <c r="I445" i="1"/>
  <c r="J445" i="1"/>
  <c r="B446" i="1"/>
  <c r="C446" i="1"/>
  <c r="D446" i="1"/>
  <c r="E446" i="1"/>
  <c r="F446" i="1"/>
  <c r="G446" i="1"/>
  <c r="H446" i="1"/>
  <c r="I446" i="1"/>
  <c r="J446" i="1"/>
  <c r="B447" i="1"/>
  <c r="C447" i="1"/>
  <c r="D447" i="1"/>
  <c r="E447" i="1"/>
  <c r="F447" i="1"/>
  <c r="G447" i="1"/>
  <c r="H447" i="1"/>
  <c r="I447" i="1"/>
  <c r="J447" i="1"/>
  <c r="B448" i="1"/>
  <c r="C448" i="1"/>
  <c r="D448" i="1"/>
  <c r="E448" i="1"/>
  <c r="F448" i="1"/>
  <c r="G448" i="1"/>
  <c r="H448" i="1"/>
  <c r="I448" i="1"/>
  <c r="J448" i="1"/>
  <c r="B449" i="1"/>
  <c r="C449" i="1"/>
  <c r="D449" i="1"/>
  <c r="E449" i="1"/>
  <c r="F449" i="1"/>
  <c r="G449" i="1"/>
  <c r="H449" i="1"/>
  <c r="I449" i="1"/>
  <c r="J449" i="1"/>
  <c r="B450" i="1"/>
  <c r="C450" i="1"/>
  <c r="D450" i="1"/>
  <c r="E450" i="1"/>
  <c r="F450" i="1"/>
  <c r="G450" i="1"/>
  <c r="H450" i="1"/>
  <c r="I450" i="1"/>
  <c r="J450" i="1"/>
  <c r="B451" i="1"/>
  <c r="C451" i="1"/>
  <c r="D451" i="1"/>
  <c r="E451" i="1"/>
  <c r="F451" i="1"/>
  <c r="G451" i="1"/>
  <c r="H451" i="1"/>
  <c r="I451" i="1"/>
  <c r="J451" i="1"/>
  <c r="B452" i="1"/>
  <c r="C452" i="1"/>
  <c r="D452" i="1"/>
  <c r="E452" i="1"/>
  <c r="F452" i="1"/>
  <c r="G452" i="1"/>
  <c r="H452" i="1"/>
  <c r="I452" i="1"/>
  <c r="J452" i="1"/>
  <c r="B453" i="1"/>
  <c r="C453" i="1"/>
  <c r="D453" i="1"/>
  <c r="E453" i="1"/>
  <c r="F453" i="1"/>
  <c r="G453" i="1"/>
  <c r="H453" i="1"/>
  <c r="I453" i="1"/>
  <c r="J453" i="1"/>
  <c r="B454" i="1"/>
  <c r="C454" i="1"/>
  <c r="D454" i="1"/>
  <c r="E454" i="1"/>
  <c r="F454" i="1"/>
  <c r="G454" i="1"/>
  <c r="H454" i="1"/>
  <c r="I454" i="1"/>
  <c r="J454" i="1"/>
  <c r="B455" i="1"/>
  <c r="C455" i="1"/>
  <c r="D455" i="1"/>
  <c r="E455" i="1"/>
  <c r="F455" i="1"/>
  <c r="G455" i="1"/>
  <c r="H455" i="1"/>
  <c r="I455" i="1"/>
  <c r="J455" i="1"/>
  <c r="B456" i="1"/>
  <c r="C456" i="1"/>
  <c r="D456" i="1"/>
  <c r="E456" i="1"/>
  <c r="F456" i="1"/>
  <c r="G456" i="1"/>
  <c r="H456" i="1"/>
  <c r="I456" i="1"/>
  <c r="J456" i="1"/>
  <c r="B457" i="1"/>
  <c r="C457" i="1"/>
  <c r="D457" i="1"/>
  <c r="E457" i="1"/>
  <c r="F457" i="1"/>
  <c r="G457" i="1"/>
  <c r="H457" i="1"/>
  <c r="I457" i="1"/>
  <c r="J457" i="1"/>
  <c r="B458" i="1"/>
  <c r="C458" i="1"/>
  <c r="D458" i="1"/>
  <c r="E458" i="1"/>
  <c r="F458" i="1"/>
  <c r="G458" i="1"/>
  <c r="H458" i="1"/>
  <c r="I458" i="1"/>
  <c r="J458" i="1"/>
  <c r="B459" i="1"/>
  <c r="C459" i="1"/>
  <c r="D459" i="1"/>
  <c r="E459" i="1"/>
  <c r="F459" i="1"/>
  <c r="G459" i="1"/>
  <c r="H459" i="1"/>
  <c r="I459" i="1"/>
  <c r="J459" i="1"/>
  <c r="B460" i="1"/>
  <c r="C460" i="1"/>
  <c r="D460" i="1"/>
  <c r="E460" i="1"/>
  <c r="F460" i="1"/>
  <c r="G460" i="1"/>
  <c r="H460" i="1"/>
  <c r="I460" i="1"/>
  <c r="J460" i="1"/>
  <c r="B461" i="1"/>
  <c r="C461" i="1"/>
  <c r="D461" i="1"/>
  <c r="E461" i="1"/>
  <c r="F461" i="1"/>
  <c r="G461" i="1"/>
  <c r="H461" i="1"/>
  <c r="I461" i="1"/>
  <c r="J461" i="1"/>
  <c r="B462" i="1"/>
  <c r="C462" i="1"/>
  <c r="D462" i="1"/>
  <c r="E462" i="1"/>
  <c r="F462" i="1"/>
  <c r="G462" i="1"/>
  <c r="H462" i="1"/>
  <c r="I462" i="1"/>
  <c r="J462" i="1"/>
  <c r="B463" i="1"/>
  <c r="C463" i="1"/>
  <c r="D463" i="1"/>
  <c r="E463" i="1"/>
  <c r="F463" i="1"/>
  <c r="G463" i="1"/>
  <c r="H463" i="1"/>
  <c r="I463" i="1"/>
  <c r="J463" i="1"/>
  <c r="B464" i="1"/>
  <c r="C464" i="1"/>
  <c r="D464" i="1"/>
  <c r="E464" i="1"/>
  <c r="F464" i="1"/>
  <c r="G464" i="1"/>
  <c r="H464" i="1"/>
  <c r="I464" i="1"/>
  <c r="J464" i="1"/>
  <c r="B465" i="1"/>
  <c r="C465" i="1"/>
  <c r="D465" i="1"/>
  <c r="E465" i="1"/>
  <c r="F465" i="1"/>
  <c r="G465" i="1"/>
  <c r="H465" i="1"/>
  <c r="I465" i="1"/>
  <c r="J465" i="1"/>
  <c r="B466" i="1"/>
  <c r="C466" i="1"/>
  <c r="D466" i="1"/>
  <c r="E466" i="1"/>
  <c r="F466" i="1"/>
  <c r="G466" i="1"/>
  <c r="H466" i="1"/>
  <c r="I466" i="1"/>
  <c r="J466" i="1"/>
  <c r="B467" i="1"/>
  <c r="C467" i="1"/>
  <c r="D467" i="1"/>
  <c r="E467" i="1"/>
  <c r="F467" i="1"/>
  <c r="G467" i="1"/>
  <c r="H467" i="1"/>
  <c r="I467" i="1"/>
  <c r="J467" i="1"/>
  <c r="B468" i="1"/>
  <c r="C468" i="1"/>
  <c r="D468" i="1"/>
  <c r="E468" i="1"/>
  <c r="F468" i="1"/>
  <c r="G468" i="1"/>
  <c r="H468" i="1"/>
  <c r="I468" i="1"/>
  <c r="J468" i="1"/>
  <c r="B469" i="1"/>
  <c r="C469" i="1"/>
  <c r="D469" i="1"/>
  <c r="E469" i="1"/>
  <c r="F469" i="1"/>
  <c r="G469" i="1"/>
  <c r="H469" i="1"/>
  <c r="I469" i="1"/>
  <c r="J469" i="1"/>
  <c r="B470" i="1"/>
  <c r="C470" i="1"/>
  <c r="D470" i="1"/>
  <c r="E470" i="1"/>
  <c r="F470" i="1"/>
  <c r="G470" i="1"/>
  <c r="H470" i="1"/>
  <c r="I470" i="1"/>
  <c r="J470" i="1"/>
  <c r="B471" i="1"/>
  <c r="C471" i="1"/>
  <c r="D471" i="1"/>
  <c r="E471" i="1"/>
  <c r="F471" i="1"/>
  <c r="G471" i="1"/>
  <c r="H471" i="1"/>
  <c r="I471" i="1"/>
  <c r="J471" i="1"/>
  <c r="B472" i="1"/>
  <c r="C472" i="1"/>
  <c r="D472" i="1"/>
  <c r="E472" i="1"/>
  <c r="F472" i="1"/>
  <c r="G472" i="1"/>
  <c r="H472" i="1"/>
  <c r="I472" i="1"/>
  <c r="J472" i="1"/>
  <c r="B473" i="1"/>
  <c r="C473" i="1"/>
  <c r="D473" i="1"/>
  <c r="E473" i="1"/>
  <c r="F473" i="1"/>
  <c r="G473" i="1"/>
  <c r="H473" i="1"/>
  <c r="I473" i="1"/>
  <c r="J473" i="1"/>
  <c r="B474" i="1"/>
  <c r="C474" i="1"/>
  <c r="D474" i="1"/>
  <c r="E474" i="1"/>
  <c r="F474" i="1"/>
  <c r="G474" i="1"/>
  <c r="H474" i="1"/>
  <c r="I474" i="1"/>
  <c r="J474" i="1"/>
  <c r="B475" i="1"/>
  <c r="C475" i="1"/>
  <c r="D475" i="1"/>
  <c r="E475" i="1"/>
  <c r="F475" i="1"/>
  <c r="G475" i="1"/>
  <c r="H475" i="1"/>
  <c r="I475" i="1"/>
  <c r="J475" i="1"/>
  <c r="B476" i="1"/>
  <c r="C476" i="1"/>
  <c r="D476" i="1"/>
  <c r="E476" i="1"/>
  <c r="F476" i="1"/>
  <c r="G476" i="1"/>
  <c r="H476" i="1"/>
  <c r="I476" i="1"/>
  <c r="J476" i="1"/>
  <c r="B477" i="1"/>
  <c r="C477" i="1"/>
  <c r="D477" i="1"/>
  <c r="E477" i="1"/>
  <c r="F477" i="1"/>
  <c r="G477" i="1"/>
  <c r="H477" i="1"/>
  <c r="I477" i="1"/>
  <c r="J477" i="1"/>
  <c r="B478" i="1"/>
  <c r="C478" i="1"/>
  <c r="D478" i="1"/>
  <c r="E478" i="1"/>
  <c r="F478" i="1"/>
  <c r="G478" i="1"/>
  <c r="H478" i="1"/>
  <c r="I478" i="1"/>
  <c r="J478" i="1"/>
  <c r="B479" i="1"/>
  <c r="C479" i="1"/>
  <c r="D479" i="1"/>
  <c r="E479" i="1"/>
  <c r="F479" i="1"/>
  <c r="G479" i="1"/>
  <c r="H479" i="1"/>
  <c r="I479" i="1"/>
  <c r="J479" i="1"/>
  <c r="B480" i="1"/>
  <c r="C480" i="1"/>
  <c r="D480" i="1"/>
  <c r="E480" i="1"/>
  <c r="F480" i="1"/>
  <c r="G480" i="1"/>
  <c r="H480" i="1"/>
  <c r="I480" i="1"/>
  <c r="J480" i="1"/>
  <c r="B481" i="1"/>
  <c r="C481" i="1"/>
  <c r="D481" i="1"/>
  <c r="E481" i="1"/>
  <c r="F481" i="1"/>
  <c r="G481" i="1"/>
  <c r="H481" i="1"/>
  <c r="I481" i="1"/>
  <c r="J481" i="1"/>
  <c r="B482" i="1"/>
  <c r="C482" i="1"/>
  <c r="D482" i="1"/>
  <c r="E482" i="1"/>
  <c r="F482" i="1"/>
  <c r="G482" i="1"/>
  <c r="H482" i="1"/>
  <c r="I482" i="1"/>
  <c r="J482" i="1"/>
  <c r="B483" i="1"/>
  <c r="C483" i="1"/>
  <c r="D483" i="1"/>
  <c r="E483" i="1"/>
  <c r="F483" i="1"/>
  <c r="G483" i="1"/>
  <c r="H483" i="1"/>
  <c r="I483" i="1"/>
  <c r="J483" i="1"/>
  <c r="B484" i="1"/>
  <c r="C484" i="1"/>
  <c r="D484" i="1"/>
  <c r="E484" i="1"/>
  <c r="F484" i="1"/>
  <c r="G484" i="1"/>
  <c r="H484" i="1"/>
  <c r="I484" i="1"/>
  <c r="J484" i="1"/>
  <c r="B485" i="1"/>
  <c r="C485" i="1"/>
  <c r="D485" i="1"/>
  <c r="E485" i="1"/>
  <c r="F485" i="1"/>
  <c r="G485" i="1"/>
  <c r="H485" i="1"/>
  <c r="I485" i="1"/>
  <c r="J485" i="1"/>
  <c r="B486" i="1"/>
  <c r="C486" i="1"/>
  <c r="D486" i="1"/>
  <c r="E486" i="1"/>
  <c r="F486" i="1"/>
  <c r="G486" i="1"/>
  <c r="H486" i="1"/>
  <c r="I486" i="1"/>
  <c r="J486" i="1"/>
  <c r="B487" i="1"/>
  <c r="C487" i="1"/>
  <c r="D487" i="1"/>
  <c r="E487" i="1"/>
  <c r="F487" i="1"/>
  <c r="G487" i="1"/>
  <c r="H487" i="1"/>
  <c r="I487" i="1"/>
  <c r="J487" i="1"/>
  <c r="B488" i="1"/>
  <c r="C488" i="1"/>
  <c r="D488" i="1"/>
  <c r="E488" i="1"/>
  <c r="F488" i="1"/>
  <c r="G488" i="1"/>
  <c r="H488" i="1"/>
  <c r="I488" i="1"/>
  <c r="J488" i="1"/>
  <c r="B489" i="1"/>
  <c r="C489" i="1"/>
  <c r="D489" i="1"/>
  <c r="E489" i="1"/>
  <c r="F489" i="1"/>
  <c r="G489" i="1"/>
  <c r="H489" i="1"/>
  <c r="I489" i="1"/>
  <c r="J489" i="1"/>
  <c r="B490" i="1"/>
  <c r="C490" i="1"/>
  <c r="D490" i="1"/>
  <c r="E490" i="1"/>
  <c r="F490" i="1"/>
  <c r="G490" i="1"/>
  <c r="H490" i="1"/>
  <c r="I490" i="1"/>
  <c r="J490" i="1"/>
  <c r="B491" i="1"/>
  <c r="C491" i="1"/>
  <c r="D491" i="1"/>
  <c r="E491" i="1"/>
  <c r="F491" i="1"/>
  <c r="G491" i="1"/>
  <c r="H491" i="1"/>
  <c r="I491" i="1"/>
  <c r="J491" i="1"/>
  <c r="B492" i="1"/>
  <c r="C492" i="1"/>
  <c r="D492" i="1"/>
  <c r="E492" i="1"/>
  <c r="F492" i="1"/>
  <c r="G492" i="1"/>
  <c r="H492" i="1"/>
  <c r="I492" i="1"/>
  <c r="J492" i="1"/>
  <c r="B493" i="1"/>
  <c r="C493" i="1"/>
  <c r="D493" i="1"/>
  <c r="E493" i="1"/>
  <c r="F493" i="1"/>
  <c r="G493" i="1"/>
  <c r="H493" i="1"/>
  <c r="I493" i="1"/>
  <c r="J493" i="1"/>
  <c r="B494" i="1"/>
  <c r="C494" i="1"/>
  <c r="D494" i="1"/>
  <c r="E494" i="1"/>
  <c r="F494" i="1"/>
  <c r="G494" i="1"/>
  <c r="H494" i="1"/>
  <c r="I494" i="1"/>
  <c r="J494" i="1"/>
  <c r="B495" i="1"/>
  <c r="C495" i="1"/>
  <c r="D495" i="1"/>
  <c r="E495" i="1"/>
  <c r="F495" i="1"/>
  <c r="G495" i="1"/>
  <c r="H495" i="1"/>
  <c r="I495" i="1"/>
  <c r="J495" i="1"/>
  <c r="B496" i="1"/>
  <c r="C496" i="1"/>
  <c r="D496" i="1"/>
  <c r="E496" i="1"/>
  <c r="F496" i="1"/>
  <c r="G496" i="1"/>
  <c r="H496" i="1"/>
  <c r="I496" i="1"/>
  <c r="J496" i="1"/>
  <c r="B497" i="1"/>
  <c r="C497" i="1"/>
  <c r="D497" i="1"/>
  <c r="E497" i="1"/>
  <c r="F497" i="1"/>
  <c r="G497" i="1"/>
  <c r="H497" i="1"/>
  <c r="I497" i="1"/>
  <c r="J497" i="1"/>
  <c r="B498" i="1"/>
  <c r="C498" i="1"/>
  <c r="D498" i="1"/>
  <c r="E498" i="1"/>
  <c r="F498" i="1"/>
  <c r="G498" i="1"/>
  <c r="H498" i="1"/>
  <c r="I498" i="1"/>
  <c r="J498" i="1"/>
  <c r="B499" i="1"/>
  <c r="C499" i="1"/>
  <c r="D499" i="1"/>
  <c r="E499" i="1"/>
  <c r="F499" i="1"/>
  <c r="G499" i="1"/>
  <c r="H499" i="1"/>
  <c r="I499" i="1"/>
  <c r="J499" i="1"/>
  <c r="B500" i="1"/>
  <c r="C500" i="1"/>
  <c r="D500" i="1"/>
  <c r="E500" i="1"/>
  <c r="F500" i="1"/>
  <c r="G500" i="1"/>
  <c r="H500" i="1"/>
  <c r="I500" i="1"/>
  <c r="J500" i="1"/>
  <c r="B501" i="1"/>
  <c r="C501" i="1"/>
  <c r="D501" i="1"/>
  <c r="E501" i="1"/>
  <c r="F501" i="1"/>
  <c r="G501" i="1"/>
  <c r="H501" i="1"/>
  <c r="I501" i="1"/>
  <c r="J501" i="1"/>
  <c r="B502" i="1"/>
  <c r="C502" i="1"/>
  <c r="D502" i="1"/>
  <c r="E502" i="1"/>
  <c r="F502" i="1"/>
  <c r="G502" i="1"/>
  <c r="H502" i="1"/>
  <c r="I502" i="1"/>
  <c r="J502" i="1"/>
  <c r="B503" i="1"/>
  <c r="C503" i="1"/>
  <c r="D503" i="1"/>
  <c r="E503" i="1"/>
  <c r="F503" i="1"/>
  <c r="G503" i="1"/>
  <c r="H503" i="1"/>
  <c r="I503" i="1"/>
  <c r="J503" i="1"/>
  <c r="B504" i="1"/>
  <c r="C504" i="1"/>
  <c r="D504" i="1"/>
  <c r="E504" i="1"/>
  <c r="F504" i="1"/>
  <c r="G504" i="1"/>
  <c r="H504" i="1"/>
  <c r="I504" i="1"/>
  <c r="J504" i="1"/>
  <c r="B505" i="1"/>
  <c r="C505" i="1"/>
  <c r="D505" i="1"/>
  <c r="E505" i="1"/>
  <c r="F505" i="1"/>
  <c r="G505" i="1"/>
  <c r="H505" i="1"/>
  <c r="I505" i="1"/>
  <c r="J505" i="1"/>
  <c r="B506" i="1"/>
  <c r="C506" i="1"/>
  <c r="D506" i="1"/>
  <c r="E506" i="1"/>
  <c r="F506" i="1"/>
  <c r="G506" i="1"/>
  <c r="H506" i="1"/>
  <c r="I506" i="1"/>
  <c r="J506" i="1"/>
  <c r="B507" i="1"/>
  <c r="C507" i="1"/>
  <c r="D507" i="1"/>
  <c r="E507" i="1"/>
  <c r="F507" i="1"/>
  <c r="G507" i="1"/>
  <c r="H507" i="1"/>
  <c r="I507" i="1"/>
  <c r="J507" i="1"/>
  <c r="B508" i="1"/>
  <c r="C508" i="1"/>
  <c r="D508" i="1"/>
  <c r="E508" i="1"/>
  <c r="F508" i="1"/>
  <c r="G508" i="1"/>
  <c r="H508" i="1"/>
  <c r="I508" i="1"/>
  <c r="J508" i="1"/>
  <c r="B509" i="1"/>
  <c r="C509" i="1"/>
  <c r="D509" i="1"/>
  <c r="E509" i="1"/>
  <c r="F509" i="1"/>
  <c r="G509" i="1"/>
  <c r="H509" i="1"/>
  <c r="I509" i="1"/>
  <c r="J509" i="1"/>
  <c r="B510" i="1"/>
  <c r="C510" i="1"/>
  <c r="D510" i="1"/>
  <c r="E510" i="1"/>
  <c r="F510" i="1"/>
  <c r="G510" i="1"/>
  <c r="H510" i="1"/>
  <c r="I510" i="1"/>
  <c r="J510" i="1"/>
  <c r="B511" i="1"/>
  <c r="C511" i="1"/>
  <c r="D511" i="1"/>
  <c r="E511" i="1"/>
  <c r="F511" i="1"/>
  <c r="G511" i="1"/>
  <c r="H511" i="1"/>
  <c r="I511" i="1"/>
  <c r="J511" i="1"/>
  <c r="B512" i="1"/>
  <c r="C512" i="1"/>
  <c r="D512" i="1"/>
  <c r="E512" i="1"/>
  <c r="F512" i="1"/>
  <c r="G512" i="1"/>
  <c r="H512" i="1"/>
  <c r="I512" i="1"/>
  <c r="J512" i="1"/>
  <c r="B513" i="1"/>
  <c r="C513" i="1"/>
  <c r="D513" i="1"/>
  <c r="E513" i="1"/>
  <c r="F513" i="1"/>
  <c r="G513" i="1"/>
  <c r="H513" i="1"/>
  <c r="I513" i="1"/>
  <c r="J513" i="1"/>
  <c r="B514" i="1"/>
  <c r="C514" i="1"/>
  <c r="D514" i="1"/>
  <c r="E514" i="1"/>
  <c r="F514" i="1"/>
  <c r="G514" i="1"/>
  <c r="H514" i="1"/>
  <c r="I514" i="1"/>
  <c r="J514" i="1"/>
  <c r="B515" i="1"/>
  <c r="C515" i="1"/>
  <c r="D515" i="1"/>
  <c r="E515" i="1"/>
  <c r="F515" i="1"/>
  <c r="G515" i="1"/>
  <c r="H515" i="1"/>
  <c r="I515" i="1"/>
  <c r="J515" i="1"/>
  <c r="B516" i="1"/>
  <c r="C516" i="1"/>
  <c r="D516" i="1"/>
  <c r="E516" i="1"/>
  <c r="F516" i="1"/>
  <c r="G516" i="1"/>
  <c r="H516" i="1"/>
  <c r="I516" i="1"/>
  <c r="J516" i="1"/>
  <c r="B517" i="1"/>
  <c r="C517" i="1"/>
  <c r="D517" i="1"/>
  <c r="E517" i="1"/>
  <c r="F517" i="1"/>
  <c r="G517" i="1"/>
  <c r="H517" i="1"/>
  <c r="I517" i="1"/>
  <c r="J517" i="1"/>
  <c r="B518" i="1"/>
  <c r="C518" i="1"/>
  <c r="D518" i="1"/>
  <c r="E518" i="1"/>
  <c r="F518" i="1"/>
  <c r="G518" i="1"/>
  <c r="H518" i="1"/>
  <c r="I518" i="1"/>
  <c r="J518" i="1"/>
  <c r="B519" i="1"/>
  <c r="C519" i="1"/>
  <c r="D519" i="1"/>
  <c r="E519" i="1"/>
  <c r="F519" i="1"/>
  <c r="G519" i="1"/>
  <c r="H519" i="1"/>
  <c r="I519" i="1"/>
  <c r="J519" i="1"/>
  <c r="B520" i="1"/>
  <c r="C520" i="1"/>
  <c r="D520" i="1"/>
  <c r="E520" i="1"/>
  <c r="F520" i="1"/>
  <c r="G520" i="1"/>
  <c r="H520" i="1"/>
  <c r="I520" i="1"/>
  <c r="J520" i="1"/>
  <c r="B521" i="1"/>
  <c r="C521" i="1"/>
  <c r="D521" i="1"/>
  <c r="E521" i="1"/>
  <c r="F521" i="1"/>
  <c r="G521" i="1"/>
  <c r="H521" i="1"/>
  <c r="I521" i="1"/>
  <c r="J521" i="1"/>
  <c r="B522" i="1"/>
  <c r="C522" i="1"/>
  <c r="D522" i="1"/>
  <c r="E522" i="1"/>
  <c r="F522" i="1"/>
  <c r="G522" i="1"/>
  <c r="H522" i="1"/>
  <c r="I522" i="1"/>
  <c r="J522" i="1"/>
  <c r="B523" i="1"/>
  <c r="C523" i="1"/>
  <c r="D523" i="1"/>
  <c r="E523" i="1"/>
  <c r="F523" i="1"/>
  <c r="G523" i="1"/>
  <c r="H523" i="1"/>
  <c r="I523" i="1"/>
  <c r="J523" i="1"/>
  <c r="B524" i="1"/>
  <c r="C524" i="1"/>
  <c r="D524" i="1"/>
  <c r="E524" i="1"/>
  <c r="F524" i="1"/>
  <c r="G524" i="1"/>
  <c r="H524" i="1"/>
  <c r="I524" i="1"/>
  <c r="J524" i="1"/>
  <c r="B525" i="1"/>
  <c r="C525" i="1"/>
  <c r="D525" i="1"/>
  <c r="E525" i="1"/>
  <c r="F525" i="1"/>
  <c r="G525" i="1"/>
  <c r="H525" i="1"/>
  <c r="I525" i="1"/>
  <c r="J525" i="1"/>
  <c r="B526" i="1"/>
  <c r="C526" i="1"/>
  <c r="D526" i="1"/>
  <c r="E526" i="1"/>
  <c r="F526" i="1"/>
  <c r="G526" i="1"/>
  <c r="H526" i="1"/>
  <c r="I526" i="1"/>
  <c r="J526" i="1"/>
  <c r="B527" i="1"/>
  <c r="C527" i="1"/>
  <c r="D527" i="1"/>
  <c r="E527" i="1"/>
  <c r="F527" i="1"/>
  <c r="G527" i="1"/>
  <c r="H527" i="1"/>
  <c r="I527" i="1"/>
  <c r="J527" i="1"/>
  <c r="B528" i="1"/>
  <c r="C528" i="1"/>
  <c r="D528" i="1"/>
  <c r="E528" i="1"/>
  <c r="F528" i="1"/>
  <c r="G528" i="1"/>
  <c r="H528" i="1"/>
  <c r="I528" i="1"/>
  <c r="J528" i="1"/>
  <c r="B529" i="1"/>
  <c r="C529" i="1"/>
  <c r="D529" i="1"/>
  <c r="E529" i="1"/>
  <c r="F529" i="1"/>
  <c r="G529" i="1"/>
  <c r="H529" i="1"/>
  <c r="I529" i="1"/>
  <c r="J529" i="1"/>
  <c r="B530" i="1"/>
  <c r="C530" i="1"/>
  <c r="D530" i="1"/>
  <c r="E530" i="1"/>
  <c r="F530" i="1"/>
  <c r="G530" i="1"/>
  <c r="H530" i="1"/>
  <c r="I530" i="1"/>
  <c r="J530" i="1"/>
  <c r="B531" i="1"/>
  <c r="C531" i="1"/>
  <c r="D531" i="1"/>
  <c r="E531" i="1"/>
  <c r="F531" i="1"/>
  <c r="G531" i="1"/>
  <c r="H531" i="1"/>
  <c r="I531" i="1"/>
  <c r="J531" i="1"/>
  <c r="B532" i="1"/>
  <c r="C532" i="1"/>
  <c r="D532" i="1"/>
  <c r="E532" i="1"/>
  <c r="F532" i="1"/>
  <c r="G532" i="1"/>
  <c r="H532" i="1"/>
  <c r="I532" i="1"/>
  <c r="J532" i="1"/>
  <c r="B533" i="1"/>
  <c r="C533" i="1"/>
  <c r="D533" i="1"/>
  <c r="E533" i="1"/>
  <c r="F533" i="1"/>
  <c r="G533" i="1"/>
  <c r="H533" i="1"/>
  <c r="I533" i="1"/>
  <c r="J533" i="1"/>
  <c r="B534" i="1"/>
  <c r="C534" i="1"/>
  <c r="D534" i="1"/>
  <c r="E534" i="1"/>
  <c r="F534" i="1"/>
  <c r="G534" i="1"/>
  <c r="H534" i="1"/>
  <c r="I534" i="1"/>
  <c r="J534" i="1"/>
  <c r="B535" i="1"/>
  <c r="C535" i="1"/>
  <c r="D535" i="1"/>
  <c r="E535" i="1"/>
  <c r="F535" i="1"/>
  <c r="G535" i="1"/>
  <c r="H535" i="1"/>
  <c r="I535" i="1"/>
  <c r="J535" i="1"/>
  <c r="B536" i="1"/>
  <c r="C536" i="1"/>
  <c r="D536" i="1"/>
  <c r="E536" i="1"/>
  <c r="F536" i="1"/>
  <c r="G536" i="1"/>
  <c r="H536" i="1"/>
  <c r="I536" i="1"/>
  <c r="J536" i="1"/>
  <c r="B537" i="1"/>
  <c r="C537" i="1"/>
  <c r="D537" i="1"/>
  <c r="E537" i="1"/>
  <c r="F537" i="1"/>
  <c r="G537" i="1"/>
  <c r="H537" i="1"/>
  <c r="I537" i="1"/>
  <c r="J537" i="1"/>
  <c r="B538" i="1"/>
  <c r="C538" i="1"/>
  <c r="D538" i="1"/>
  <c r="E538" i="1"/>
  <c r="F538" i="1"/>
  <c r="G538" i="1"/>
  <c r="H538" i="1"/>
  <c r="I538" i="1"/>
  <c r="J538" i="1"/>
  <c r="B539" i="1"/>
  <c r="C539" i="1"/>
  <c r="D539" i="1"/>
  <c r="E539" i="1"/>
  <c r="F539" i="1"/>
  <c r="G539" i="1"/>
  <c r="H539" i="1"/>
  <c r="I539" i="1"/>
  <c r="J539" i="1"/>
  <c r="B540" i="1"/>
  <c r="C540" i="1"/>
  <c r="D540" i="1"/>
  <c r="E540" i="1"/>
  <c r="F540" i="1"/>
  <c r="G540" i="1"/>
  <c r="H540" i="1"/>
  <c r="I540" i="1"/>
  <c r="J540" i="1"/>
  <c r="B541" i="1"/>
  <c r="C541" i="1"/>
  <c r="D541" i="1"/>
  <c r="E541" i="1"/>
  <c r="F541" i="1"/>
  <c r="G541" i="1"/>
  <c r="H541" i="1"/>
  <c r="I541" i="1"/>
  <c r="J541" i="1"/>
  <c r="B542" i="1"/>
  <c r="C542" i="1"/>
  <c r="D542" i="1"/>
  <c r="E542" i="1"/>
  <c r="F542" i="1"/>
  <c r="G542" i="1"/>
  <c r="H542" i="1"/>
  <c r="I542" i="1"/>
  <c r="J542" i="1"/>
  <c r="B543" i="1"/>
  <c r="C543" i="1"/>
  <c r="D543" i="1"/>
  <c r="E543" i="1"/>
  <c r="F543" i="1"/>
  <c r="G543" i="1"/>
  <c r="H543" i="1"/>
  <c r="I543" i="1"/>
  <c r="J543" i="1"/>
  <c r="B544" i="1"/>
  <c r="C544" i="1"/>
  <c r="D544" i="1"/>
  <c r="E544" i="1"/>
  <c r="F544" i="1"/>
  <c r="G544" i="1"/>
  <c r="H544" i="1"/>
  <c r="I544" i="1"/>
  <c r="J544" i="1"/>
  <c r="B545" i="1"/>
  <c r="C545" i="1"/>
  <c r="D545" i="1"/>
  <c r="E545" i="1"/>
  <c r="F545" i="1"/>
  <c r="G545" i="1"/>
  <c r="H545" i="1"/>
  <c r="I545" i="1"/>
  <c r="J545" i="1"/>
  <c r="B546" i="1"/>
  <c r="C546" i="1"/>
  <c r="D546" i="1"/>
  <c r="E546" i="1"/>
  <c r="F546" i="1"/>
  <c r="G546" i="1"/>
  <c r="H546" i="1"/>
  <c r="I546" i="1"/>
  <c r="J546" i="1"/>
  <c r="B547" i="1"/>
  <c r="C547" i="1"/>
  <c r="D547" i="1"/>
  <c r="E547" i="1"/>
  <c r="F547" i="1"/>
  <c r="G547" i="1"/>
  <c r="H547" i="1"/>
  <c r="I547" i="1"/>
  <c r="J547" i="1"/>
  <c r="B548" i="1"/>
  <c r="C548" i="1"/>
  <c r="D548" i="1"/>
  <c r="E548" i="1"/>
  <c r="F548" i="1"/>
  <c r="G548" i="1"/>
  <c r="H548" i="1"/>
  <c r="I548" i="1"/>
  <c r="J548" i="1"/>
  <c r="B549" i="1"/>
  <c r="C549" i="1"/>
  <c r="D549" i="1"/>
  <c r="E549" i="1"/>
  <c r="F549" i="1"/>
  <c r="G549" i="1"/>
  <c r="H549" i="1"/>
  <c r="I549" i="1"/>
  <c r="J549" i="1"/>
  <c r="B550" i="1"/>
  <c r="C550" i="1"/>
  <c r="D550" i="1"/>
  <c r="E550" i="1"/>
  <c r="F550" i="1"/>
  <c r="G550" i="1"/>
  <c r="H550" i="1"/>
  <c r="I550" i="1"/>
  <c r="J550" i="1"/>
  <c r="B551" i="1"/>
  <c r="C551" i="1"/>
  <c r="D551" i="1"/>
  <c r="E551" i="1"/>
  <c r="F551" i="1"/>
  <c r="G551" i="1"/>
  <c r="H551" i="1"/>
  <c r="I551" i="1"/>
  <c r="J551" i="1"/>
  <c r="B552" i="1"/>
  <c r="C552" i="1"/>
  <c r="D552" i="1"/>
  <c r="E552" i="1"/>
  <c r="F552" i="1"/>
  <c r="G552" i="1"/>
  <c r="H552" i="1"/>
  <c r="I552" i="1"/>
  <c r="J552" i="1"/>
  <c r="B553" i="1"/>
  <c r="C553" i="1"/>
  <c r="D553" i="1"/>
  <c r="E553" i="1"/>
  <c r="F553" i="1"/>
  <c r="G553" i="1"/>
  <c r="H553" i="1"/>
  <c r="I553" i="1"/>
  <c r="J553" i="1"/>
  <c r="B554" i="1"/>
  <c r="C554" i="1"/>
  <c r="D554" i="1"/>
  <c r="E554" i="1"/>
  <c r="F554" i="1"/>
  <c r="G554" i="1"/>
  <c r="H554" i="1"/>
  <c r="I554" i="1"/>
  <c r="J554" i="1"/>
  <c r="B555" i="1"/>
  <c r="C555" i="1"/>
  <c r="D555" i="1"/>
  <c r="E555" i="1"/>
  <c r="F555" i="1"/>
  <c r="G555" i="1"/>
  <c r="H555" i="1"/>
  <c r="I555" i="1"/>
  <c r="J555" i="1"/>
  <c r="B556" i="1"/>
  <c r="C556" i="1"/>
  <c r="D556" i="1"/>
  <c r="E556" i="1"/>
  <c r="F556" i="1"/>
  <c r="G556" i="1"/>
  <c r="H556" i="1"/>
  <c r="I556" i="1"/>
  <c r="J556" i="1"/>
  <c r="B557" i="1"/>
  <c r="C557" i="1"/>
  <c r="D557" i="1"/>
  <c r="E557" i="1"/>
  <c r="F557" i="1"/>
  <c r="G557" i="1"/>
  <c r="H557" i="1"/>
  <c r="I557" i="1"/>
  <c r="J557" i="1"/>
  <c r="B558" i="1"/>
  <c r="C558" i="1"/>
  <c r="D558" i="1"/>
  <c r="E558" i="1"/>
  <c r="F558" i="1"/>
  <c r="G558" i="1"/>
  <c r="H558" i="1"/>
  <c r="I558" i="1"/>
  <c r="J558" i="1"/>
  <c r="B559" i="1"/>
  <c r="C559" i="1"/>
  <c r="D559" i="1"/>
  <c r="E559" i="1"/>
  <c r="F559" i="1"/>
  <c r="G559" i="1"/>
  <c r="H559" i="1"/>
  <c r="I559" i="1"/>
  <c r="J559" i="1"/>
  <c r="B560" i="1"/>
  <c r="C560" i="1"/>
  <c r="D560" i="1"/>
  <c r="E560" i="1"/>
  <c r="F560" i="1"/>
  <c r="G560" i="1"/>
  <c r="H560" i="1"/>
  <c r="I560" i="1"/>
  <c r="J560" i="1"/>
  <c r="B561" i="1"/>
  <c r="C561" i="1"/>
  <c r="D561" i="1"/>
  <c r="E561" i="1"/>
  <c r="F561" i="1"/>
  <c r="G561" i="1"/>
  <c r="H561" i="1"/>
  <c r="I561" i="1"/>
  <c r="J561" i="1"/>
  <c r="B562" i="1"/>
  <c r="C562" i="1"/>
  <c r="D562" i="1"/>
  <c r="E562" i="1"/>
  <c r="F562" i="1"/>
  <c r="G562" i="1"/>
  <c r="H562" i="1"/>
  <c r="I562" i="1"/>
  <c r="J562" i="1"/>
  <c r="B563" i="1"/>
  <c r="C563" i="1"/>
  <c r="D563" i="1"/>
  <c r="E563" i="1"/>
  <c r="F563" i="1"/>
  <c r="G563" i="1"/>
  <c r="H563" i="1"/>
  <c r="I563" i="1"/>
  <c r="J563" i="1"/>
  <c r="B564" i="1"/>
  <c r="C564" i="1"/>
  <c r="D564" i="1"/>
  <c r="E564" i="1"/>
  <c r="F564" i="1"/>
  <c r="G564" i="1"/>
  <c r="H564" i="1"/>
  <c r="I564" i="1"/>
  <c r="J564" i="1"/>
  <c r="B565" i="1"/>
  <c r="C565" i="1"/>
  <c r="D565" i="1"/>
  <c r="E565" i="1"/>
  <c r="F565" i="1"/>
  <c r="G565" i="1"/>
  <c r="H565" i="1"/>
  <c r="I565" i="1"/>
  <c r="J565" i="1"/>
  <c r="B566" i="1"/>
  <c r="C566" i="1"/>
  <c r="D566" i="1"/>
  <c r="E566" i="1"/>
  <c r="F566" i="1"/>
  <c r="G566" i="1"/>
  <c r="H566" i="1"/>
  <c r="I566" i="1"/>
  <c r="J566" i="1"/>
  <c r="B567" i="1"/>
  <c r="C567" i="1"/>
  <c r="D567" i="1"/>
  <c r="E567" i="1"/>
  <c r="F567" i="1"/>
  <c r="G567" i="1"/>
  <c r="H567" i="1"/>
  <c r="I567" i="1"/>
  <c r="J567" i="1"/>
  <c r="B568" i="1"/>
  <c r="C568" i="1"/>
  <c r="D568" i="1"/>
  <c r="E568" i="1"/>
  <c r="F568" i="1"/>
  <c r="G568" i="1"/>
  <c r="H568" i="1"/>
  <c r="I568" i="1"/>
  <c r="J568" i="1"/>
  <c r="B569" i="1"/>
  <c r="C569" i="1"/>
  <c r="D569" i="1"/>
  <c r="E569" i="1"/>
  <c r="F569" i="1"/>
  <c r="G569" i="1"/>
  <c r="H569" i="1"/>
  <c r="I569" i="1"/>
  <c r="J569" i="1"/>
  <c r="B570" i="1"/>
  <c r="C570" i="1"/>
  <c r="D570" i="1"/>
  <c r="E570" i="1"/>
  <c r="F570" i="1"/>
  <c r="G570" i="1"/>
  <c r="H570" i="1"/>
  <c r="I570" i="1"/>
  <c r="J570" i="1"/>
  <c r="B571" i="1"/>
  <c r="C571" i="1"/>
  <c r="D571" i="1"/>
  <c r="E571" i="1"/>
  <c r="F571" i="1"/>
  <c r="G571" i="1"/>
  <c r="H571" i="1"/>
  <c r="I571" i="1"/>
  <c r="J571" i="1"/>
  <c r="B572" i="1"/>
  <c r="C572" i="1"/>
  <c r="D572" i="1"/>
  <c r="E572" i="1"/>
  <c r="F572" i="1"/>
  <c r="G572" i="1"/>
  <c r="H572" i="1"/>
  <c r="I572" i="1"/>
  <c r="J572" i="1"/>
  <c r="B573" i="1"/>
  <c r="C573" i="1"/>
  <c r="D573" i="1"/>
  <c r="E573" i="1"/>
  <c r="F573" i="1"/>
  <c r="G573" i="1"/>
  <c r="H573" i="1"/>
  <c r="I573" i="1"/>
  <c r="J573" i="1"/>
  <c r="B574" i="1"/>
  <c r="C574" i="1"/>
  <c r="D574" i="1"/>
  <c r="E574" i="1"/>
  <c r="F574" i="1"/>
  <c r="G574" i="1"/>
  <c r="H574" i="1"/>
  <c r="I574" i="1"/>
  <c r="J574" i="1"/>
  <c r="B575" i="1"/>
  <c r="C575" i="1"/>
  <c r="D575" i="1"/>
  <c r="E575" i="1"/>
  <c r="F575" i="1"/>
  <c r="G575" i="1"/>
  <c r="H575" i="1"/>
  <c r="I575" i="1"/>
  <c r="J575" i="1"/>
  <c r="B576" i="1"/>
  <c r="C576" i="1"/>
  <c r="D576" i="1"/>
  <c r="E576" i="1"/>
  <c r="F576" i="1"/>
  <c r="G576" i="1"/>
  <c r="H576" i="1"/>
  <c r="I576" i="1"/>
  <c r="J576" i="1"/>
  <c r="B577" i="1"/>
  <c r="C577" i="1"/>
  <c r="D577" i="1"/>
  <c r="E577" i="1"/>
  <c r="F577" i="1"/>
  <c r="G577" i="1"/>
  <c r="H577" i="1"/>
  <c r="I577" i="1"/>
  <c r="J577" i="1"/>
  <c r="B578" i="1"/>
  <c r="C578" i="1"/>
  <c r="D578" i="1"/>
  <c r="E578" i="1"/>
  <c r="F578" i="1"/>
  <c r="G578" i="1"/>
  <c r="H578" i="1"/>
  <c r="I578" i="1"/>
  <c r="J578" i="1"/>
  <c r="B579" i="1"/>
  <c r="C579" i="1"/>
  <c r="D579" i="1"/>
  <c r="E579" i="1"/>
  <c r="F579" i="1"/>
  <c r="G579" i="1"/>
  <c r="H579" i="1"/>
  <c r="I579" i="1"/>
  <c r="J579" i="1"/>
  <c r="B580" i="1"/>
  <c r="C580" i="1"/>
  <c r="D580" i="1"/>
  <c r="E580" i="1"/>
  <c r="F580" i="1"/>
  <c r="G580" i="1"/>
  <c r="H580" i="1"/>
  <c r="I580" i="1"/>
  <c r="J580" i="1"/>
  <c r="B581" i="1"/>
  <c r="C581" i="1"/>
  <c r="D581" i="1"/>
  <c r="E581" i="1"/>
  <c r="F581" i="1"/>
  <c r="G581" i="1"/>
  <c r="H581" i="1"/>
  <c r="I581" i="1"/>
  <c r="J581" i="1"/>
  <c r="B582" i="1"/>
  <c r="C582" i="1"/>
  <c r="D582" i="1"/>
  <c r="E582" i="1"/>
  <c r="F582" i="1"/>
  <c r="G582" i="1"/>
  <c r="H582" i="1"/>
  <c r="I582" i="1"/>
  <c r="J582" i="1"/>
  <c r="B583" i="1"/>
  <c r="C583" i="1"/>
  <c r="D583" i="1"/>
  <c r="E583" i="1"/>
  <c r="F583" i="1"/>
  <c r="G583" i="1"/>
  <c r="H583" i="1"/>
  <c r="I583" i="1"/>
  <c r="J583" i="1"/>
  <c r="B584" i="1"/>
  <c r="C584" i="1"/>
  <c r="D584" i="1"/>
  <c r="E584" i="1"/>
  <c r="F584" i="1"/>
  <c r="G584" i="1"/>
  <c r="H584" i="1"/>
  <c r="I584" i="1"/>
  <c r="J584" i="1"/>
  <c r="B585" i="1"/>
  <c r="C585" i="1"/>
  <c r="D585" i="1"/>
  <c r="E585" i="1"/>
  <c r="F585" i="1"/>
  <c r="G585" i="1"/>
  <c r="H585" i="1"/>
  <c r="I585" i="1"/>
  <c r="J585" i="1"/>
  <c r="B586" i="1"/>
  <c r="C586" i="1"/>
  <c r="D586" i="1"/>
  <c r="E586" i="1"/>
  <c r="F586" i="1"/>
  <c r="G586" i="1"/>
  <c r="H586" i="1"/>
  <c r="I586" i="1"/>
  <c r="J586" i="1"/>
  <c r="B587" i="1"/>
  <c r="C587" i="1"/>
  <c r="D587" i="1"/>
  <c r="E587" i="1"/>
  <c r="F587" i="1"/>
  <c r="G587" i="1"/>
  <c r="H587" i="1"/>
  <c r="I587" i="1"/>
  <c r="J587" i="1"/>
  <c r="B588" i="1"/>
  <c r="C588" i="1"/>
  <c r="D588" i="1"/>
  <c r="E588" i="1"/>
  <c r="F588" i="1"/>
  <c r="G588" i="1"/>
  <c r="H588" i="1"/>
  <c r="I588" i="1"/>
  <c r="J588" i="1"/>
  <c r="B589" i="1"/>
  <c r="C589" i="1"/>
  <c r="D589" i="1"/>
  <c r="E589" i="1"/>
  <c r="F589" i="1"/>
  <c r="G589" i="1"/>
  <c r="H589" i="1"/>
  <c r="I589" i="1"/>
  <c r="J589" i="1"/>
  <c r="B590" i="1"/>
  <c r="C590" i="1"/>
  <c r="D590" i="1"/>
  <c r="E590" i="1"/>
  <c r="F590" i="1"/>
  <c r="G590" i="1"/>
  <c r="H590" i="1"/>
  <c r="I590" i="1"/>
  <c r="J590" i="1"/>
  <c r="B591" i="1"/>
  <c r="C591" i="1"/>
  <c r="D591" i="1"/>
  <c r="E591" i="1"/>
  <c r="F591" i="1"/>
  <c r="G591" i="1"/>
  <c r="H591" i="1"/>
  <c r="I591" i="1"/>
  <c r="J591" i="1"/>
  <c r="B592" i="1"/>
  <c r="C592" i="1"/>
  <c r="D592" i="1"/>
  <c r="E592" i="1"/>
  <c r="F592" i="1"/>
  <c r="G592" i="1"/>
  <c r="H592" i="1"/>
  <c r="I592" i="1"/>
  <c r="J592" i="1"/>
  <c r="B593" i="1"/>
  <c r="C593" i="1"/>
  <c r="D593" i="1"/>
  <c r="E593" i="1"/>
  <c r="F593" i="1"/>
  <c r="G593" i="1"/>
  <c r="H593" i="1"/>
  <c r="I593" i="1"/>
  <c r="J593" i="1"/>
  <c r="B594" i="1"/>
  <c r="C594" i="1"/>
  <c r="D594" i="1"/>
  <c r="E594" i="1"/>
  <c r="F594" i="1"/>
  <c r="G594" i="1"/>
  <c r="H594" i="1"/>
  <c r="I594" i="1"/>
  <c r="J594" i="1"/>
  <c r="B595" i="1"/>
  <c r="C595" i="1"/>
  <c r="D595" i="1"/>
  <c r="E595" i="1"/>
  <c r="F595" i="1"/>
  <c r="G595" i="1"/>
  <c r="H595" i="1"/>
  <c r="I595" i="1"/>
  <c r="J595" i="1"/>
  <c r="B596" i="1"/>
  <c r="C596" i="1"/>
  <c r="D596" i="1"/>
  <c r="E596" i="1"/>
  <c r="F596" i="1"/>
  <c r="G596" i="1"/>
  <c r="H596" i="1"/>
  <c r="I596" i="1"/>
  <c r="J596" i="1"/>
  <c r="B597" i="1"/>
  <c r="C597" i="1"/>
  <c r="D597" i="1"/>
  <c r="E597" i="1"/>
  <c r="F597" i="1"/>
  <c r="G597" i="1"/>
  <c r="H597" i="1"/>
  <c r="I597" i="1"/>
  <c r="J597" i="1"/>
  <c r="B598" i="1"/>
  <c r="C598" i="1"/>
  <c r="D598" i="1"/>
  <c r="E598" i="1"/>
  <c r="F598" i="1"/>
  <c r="G598" i="1"/>
  <c r="H598" i="1"/>
  <c r="I598" i="1"/>
  <c r="J598" i="1"/>
  <c r="B599" i="1"/>
  <c r="C599" i="1"/>
  <c r="D599" i="1"/>
  <c r="E599" i="1"/>
  <c r="F599" i="1"/>
  <c r="G599" i="1"/>
  <c r="H599" i="1"/>
  <c r="I599" i="1"/>
  <c r="J599" i="1"/>
  <c r="B600" i="1"/>
  <c r="C600" i="1"/>
  <c r="D600" i="1"/>
  <c r="E600" i="1"/>
  <c r="F600" i="1"/>
  <c r="G600" i="1"/>
  <c r="H600" i="1"/>
  <c r="I600" i="1"/>
  <c r="J600" i="1"/>
  <c r="B601" i="1"/>
  <c r="C601" i="1"/>
  <c r="D601" i="1"/>
  <c r="E601" i="1"/>
  <c r="F601" i="1"/>
  <c r="G601" i="1"/>
  <c r="H601" i="1"/>
  <c r="I601" i="1"/>
  <c r="J601" i="1"/>
  <c r="B602" i="1"/>
  <c r="C602" i="1"/>
  <c r="D602" i="1"/>
  <c r="E602" i="1"/>
  <c r="F602" i="1"/>
  <c r="G602" i="1"/>
  <c r="H602" i="1"/>
  <c r="I602" i="1"/>
  <c r="J602" i="1"/>
  <c r="B603" i="1"/>
  <c r="C603" i="1"/>
  <c r="D603" i="1"/>
  <c r="E603" i="1"/>
  <c r="F603" i="1"/>
  <c r="G603" i="1"/>
  <c r="H603" i="1"/>
  <c r="I603" i="1"/>
  <c r="J603" i="1"/>
  <c r="B604" i="1"/>
  <c r="C604" i="1"/>
  <c r="D604" i="1"/>
  <c r="E604" i="1"/>
  <c r="F604" i="1"/>
  <c r="G604" i="1"/>
  <c r="H604" i="1"/>
  <c r="I604" i="1"/>
  <c r="J604" i="1"/>
  <c r="B605" i="1"/>
  <c r="C605" i="1"/>
  <c r="D605" i="1"/>
  <c r="E605" i="1"/>
  <c r="F605" i="1"/>
  <c r="G605" i="1"/>
  <c r="H605" i="1"/>
  <c r="I605" i="1"/>
  <c r="J605" i="1"/>
  <c r="B606" i="1"/>
  <c r="C606" i="1"/>
  <c r="D606" i="1"/>
  <c r="E606" i="1"/>
  <c r="F606" i="1"/>
  <c r="G606" i="1"/>
  <c r="H606" i="1"/>
  <c r="I606" i="1"/>
  <c r="J606" i="1"/>
  <c r="B607" i="1"/>
  <c r="C607" i="1"/>
  <c r="D607" i="1"/>
  <c r="E607" i="1"/>
  <c r="F607" i="1"/>
  <c r="G607" i="1"/>
  <c r="H607" i="1"/>
  <c r="I607" i="1"/>
  <c r="J607" i="1"/>
  <c r="B608" i="1"/>
  <c r="C608" i="1"/>
  <c r="D608" i="1"/>
  <c r="E608" i="1"/>
  <c r="F608" i="1"/>
  <c r="G608" i="1"/>
  <c r="H608" i="1"/>
  <c r="I608" i="1"/>
  <c r="J608" i="1"/>
  <c r="B609" i="1"/>
  <c r="C609" i="1"/>
  <c r="D609" i="1"/>
  <c r="E609" i="1"/>
  <c r="F609" i="1"/>
  <c r="G609" i="1"/>
  <c r="H609" i="1"/>
  <c r="I609" i="1"/>
  <c r="J609" i="1"/>
  <c r="B610" i="1"/>
  <c r="C610" i="1"/>
  <c r="D610" i="1"/>
  <c r="E610" i="1"/>
  <c r="F610" i="1"/>
  <c r="G610" i="1"/>
  <c r="H610" i="1"/>
  <c r="I610" i="1"/>
  <c r="J610" i="1"/>
  <c r="B611" i="1"/>
  <c r="C611" i="1"/>
  <c r="D611" i="1"/>
  <c r="E611" i="1"/>
  <c r="F611" i="1"/>
  <c r="G611" i="1"/>
  <c r="H611" i="1"/>
  <c r="I611" i="1"/>
  <c r="J611" i="1"/>
  <c r="B612" i="1"/>
  <c r="C612" i="1"/>
  <c r="D612" i="1"/>
  <c r="E612" i="1"/>
  <c r="F612" i="1"/>
  <c r="G612" i="1"/>
  <c r="H612" i="1"/>
  <c r="I612" i="1"/>
  <c r="J612" i="1"/>
  <c r="B613" i="1"/>
  <c r="C613" i="1"/>
  <c r="D613" i="1"/>
  <c r="E613" i="1"/>
  <c r="F613" i="1"/>
  <c r="G613" i="1"/>
  <c r="H613" i="1"/>
  <c r="I613" i="1"/>
  <c r="J613" i="1"/>
  <c r="B614" i="1"/>
  <c r="C614" i="1"/>
  <c r="D614" i="1"/>
  <c r="E614" i="1"/>
  <c r="F614" i="1"/>
  <c r="G614" i="1"/>
  <c r="H614" i="1"/>
  <c r="I614" i="1"/>
  <c r="J614" i="1"/>
  <c r="B615" i="1"/>
  <c r="C615" i="1"/>
  <c r="D615" i="1"/>
  <c r="E615" i="1"/>
  <c r="F615" i="1"/>
  <c r="G615" i="1"/>
  <c r="H615" i="1"/>
  <c r="I615" i="1"/>
  <c r="J615" i="1"/>
  <c r="B616" i="1"/>
  <c r="C616" i="1"/>
  <c r="D616" i="1"/>
  <c r="E616" i="1"/>
  <c r="F616" i="1"/>
  <c r="G616" i="1"/>
  <c r="H616" i="1"/>
  <c r="I616" i="1"/>
  <c r="J616" i="1"/>
  <c r="B617" i="1"/>
  <c r="C617" i="1"/>
  <c r="D617" i="1"/>
  <c r="E617" i="1"/>
  <c r="F617" i="1"/>
  <c r="G617" i="1"/>
  <c r="H617" i="1"/>
  <c r="I617" i="1"/>
  <c r="J617" i="1"/>
  <c r="B618" i="1"/>
  <c r="C618" i="1"/>
  <c r="D618" i="1"/>
  <c r="E618" i="1"/>
  <c r="F618" i="1"/>
  <c r="G618" i="1"/>
  <c r="H618" i="1"/>
  <c r="I618" i="1"/>
  <c r="J618" i="1"/>
  <c r="B619" i="1"/>
  <c r="C619" i="1"/>
  <c r="D619" i="1"/>
  <c r="E619" i="1"/>
  <c r="F619" i="1"/>
  <c r="G619" i="1"/>
  <c r="H619" i="1"/>
  <c r="I619" i="1"/>
  <c r="J619" i="1"/>
  <c r="B620" i="1"/>
  <c r="C620" i="1"/>
  <c r="D620" i="1"/>
  <c r="E620" i="1"/>
  <c r="F620" i="1"/>
  <c r="G620" i="1"/>
  <c r="H620" i="1"/>
  <c r="I620" i="1"/>
  <c r="J620" i="1"/>
  <c r="B621" i="1"/>
  <c r="C621" i="1"/>
  <c r="D621" i="1"/>
  <c r="E621" i="1"/>
  <c r="F621" i="1"/>
  <c r="G621" i="1"/>
  <c r="H621" i="1"/>
  <c r="I621" i="1"/>
  <c r="J621" i="1"/>
  <c r="B622" i="1"/>
  <c r="C622" i="1"/>
  <c r="D622" i="1"/>
  <c r="E622" i="1"/>
  <c r="F622" i="1"/>
  <c r="G622" i="1"/>
  <c r="H622" i="1"/>
  <c r="I622" i="1"/>
  <c r="J622" i="1"/>
  <c r="B623" i="1"/>
  <c r="C623" i="1"/>
  <c r="D623" i="1"/>
  <c r="E623" i="1"/>
  <c r="F623" i="1"/>
  <c r="G623" i="1"/>
  <c r="H623" i="1"/>
  <c r="I623" i="1"/>
  <c r="J623" i="1"/>
  <c r="B624" i="1"/>
  <c r="C624" i="1"/>
  <c r="D624" i="1"/>
  <c r="E624" i="1"/>
  <c r="F624" i="1"/>
  <c r="G624" i="1"/>
  <c r="H624" i="1"/>
  <c r="I624" i="1"/>
  <c r="J624" i="1"/>
  <c r="B625" i="1"/>
  <c r="C625" i="1"/>
  <c r="D625" i="1"/>
  <c r="E625" i="1"/>
  <c r="F625" i="1"/>
  <c r="G625" i="1"/>
  <c r="H625" i="1"/>
  <c r="I625" i="1"/>
  <c r="J625" i="1"/>
  <c r="B626" i="1"/>
  <c r="C626" i="1"/>
  <c r="D626" i="1"/>
  <c r="E626" i="1"/>
  <c r="F626" i="1"/>
  <c r="G626" i="1"/>
  <c r="H626" i="1"/>
  <c r="I626" i="1"/>
  <c r="J626" i="1"/>
  <c r="B627" i="1"/>
  <c r="C627" i="1"/>
  <c r="D627" i="1"/>
  <c r="E627" i="1"/>
  <c r="F627" i="1"/>
  <c r="G627" i="1"/>
  <c r="H627" i="1"/>
  <c r="I627" i="1"/>
  <c r="J627" i="1"/>
  <c r="B628" i="1"/>
  <c r="C628" i="1"/>
  <c r="D628" i="1"/>
  <c r="E628" i="1"/>
  <c r="F628" i="1"/>
  <c r="G628" i="1"/>
  <c r="H628" i="1"/>
  <c r="I628" i="1"/>
  <c r="J628" i="1"/>
  <c r="B629" i="1"/>
  <c r="C629" i="1"/>
  <c r="D629" i="1"/>
  <c r="E629" i="1"/>
  <c r="F629" i="1"/>
  <c r="G629" i="1"/>
  <c r="H629" i="1"/>
  <c r="I629" i="1"/>
  <c r="J629" i="1"/>
  <c r="B630" i="1"/>
  <c r="C630" i="1"/>
  <c r="D630" i="1"/>
  <c r="E630" i="1"/>
  <c r="F630" i="1"/>
  <c r="G630" i="1"/>
  <c r="H630" i="1"/>
  <c r="I630" i="1"/>
  <c r="J630" i="1"/>
  <c r="B631" i="1"/>
  <c r="C631" i="1"/>
  <c r="D631" i="1"/>
  <c r="E631" i="1"/>
  <c r="F631" i="1"/>
  <c r="G631" i="1"/>
  <c r="H631" i="1"/>
  <c r="I631" i="1"/>
  <c r="J631" i="1"/>
  <c r="B632" i="1"/>
  <c r="C632" i="1"/>
  <c r="D632" i="1"/>
  <c r="E632" i="1"/>
  <c r="F632" i="1"/>
  <c r="G632" i="1"/>
  <c r="H632" i="1"/>
  <c r="I632" i="1"/>
  <c r="J632" i="1"/>
  <c r="B633" i="1"/>
  <c r="C633" i="1"/>
  <c r="D633" i="1"/>
  <c r="E633" i="1"/>
  <c r="F633" i="1"/>
  <c r="G633" i="1"/>
  <c r="H633" i="1"/>
  <c r="I633" i="1"/>
  <c r="J633" i="1"/>
  <c r="B634" i="1"/>
  <c r="C634" i="1"/>
  <c r="D634" i="1"/>
  <c r="E634" i="1"/>
  <c r="F634" i="1"/>
  <c r="G634" i="1"/>
  <c r="H634" i="1"/>
  <c r="I634" i="1"/>
  <c r="J634" i="1"/>
  <c r="B635" i="1"/>
  <c r="C635" i="1"/>
  <c r="D635" i="1"/>
  <c r="E635" i="1"/>
  <c r="F635" i="1"/>
  <c r="G635" i="1"/>
  <c r="H635" i="1"/>
  <c r="I635" i="1"/>
  <c r="J635" i="1"/>
  <c r="B636" i="1"/>
  <c r="C636" i="1"/>
  <c r="D636" i="1"/>
  <c r="E636" i="1"/>
  <c r="F636" i="1"/>
  <c r="G636" i="1"/>
  <c r="H636" i="1"/>
  <c r="I636" i="1"/>
  <c r="J636" i="1"/>
  <c r="B637" i="1"/>
  <c r="C637" i="1"/>
  <c r="D637" i="1"/>
  <c r="E637" i="1"/>
  <c r="F637" i="1"/>
  <c r="G637" i="1"/>
  <c r="H637" i="1"/>
  <c r="I637" i="1"/>
  <c r="J637" i="1"/>
  <c r="B638" i="1"/>
  <c r="C638" i="1"/>
  <c r="D638" i="1"/>
  <c r="E638" i="1"/>
  <c r="F638" i="1"/>
  <c r="G638" i="1"/>
  <c r="H638" i="1"/>
  <c r="I638" i="1"/>
  <c r="J638" i="1"/>
  <c r="B639" i="1"/>
  <c r="C639" i="1"/>
  <c r="D639" i="1"/>
  <c r="E639" i="1"/>
  <c r="F639" i="1"/>
  <c r="G639" i="1"/>
  <c r="H639" i="1"/>
  <c r="I639" i="1"/>
  <c r="J639" i="1"/>
  <c r="B640" i="1"/>
  <c r="C640" i="1"/>
  <c r="D640" i="1"/>
  <c r="E640" i="1"/>
  <c r="F640" i="1"/>
  <c r="G640" i="1"/>
  <c r="H640" i="1"/>
  <c r="I640" i="1"/>
  <c r="J640" i="1"/>
  <c r="B641" i="1"/>
  <c r="C641" i="1"/>
  <c r="D641" i="1"/>
  <c r="E641" i="1"/>
  <c r="F641" i="1"/>
  <c r="G641" i="1"/>
  <c r="H641" i="1"/>
  <c r="I641" i="1"/>
  <c r="J641" i="1"/>
  <c r="B642" i="1"/>
  <c r="C642" i="1"/>
  <c r="D642" i="1"/>
  <c r="E642" i="1"/>
  <c r="F642" i="1"/>
  <c r="G642" i="1"/>
  <c r="H642" i="1"/>
  <c r="I642" i="1"/>
  <c r="J642" i="1"/>
  <c r="B643" i="1"/>
  <c r="C643" i="1"/>
  <c r="D643" i="1"/>
  <c r="E643" i="1"/>
  <c r="F643" i="1"/>
  <c r="G643" i="1"/>
  <c r="H643" i="1"/>
  <c r="I643" i="1"/>
  <c r="J643" i="1"/>
  <c r="B644" i="1"/>
  <c r="C644" i="1"/>
  <c r="D644" i="1"/>
  <c r="E644" i="1"/>
  <c r="F644" i="1"/>
  <c r="G644" i="1"/>
  <c r="H644" i="1"/>
  <c r="I644" i="1"/>
  <c r="J644" i="1"/>
  <c r="B645" i="1"/>
  <c r="C645" i="1"/>
  <c r="D645" i="1"/>
  <c r="E645" i="1"/>
  <c r="F645" i="1"/>
  <c r="G645" i="1"/>
  <c r="H645" i="1"/>
  <c r="I645" i="1"/>
  <c r="J645" i="1"/>
  <c r="B646" i="1"/>
  <c r="C646" i="1"/>
  <c r="D646" i="1"/>
  <c r="E646" i="1"/>
  <c r="F646" i="1"/>
  <c r="G646" i="1"/>
  <c r="H646" i="1"/>
  <c r="I646" i="1"/>
  <c r="J646" i="1"/>
  <c r="B647" i="1"/>
  <c r="C647" i="1"/>
  <c r="D647" i="1"/>
  <c r="E647" i="1"/>
  <c r="F647" i="1"/>
  <c r="G647" i="1"/>
  <c r="H647" i="1"/>
  <c r="I647" i="1"/>
  <c r="J647" i="1"/>
  <c r="B648" i="1"/>
  <c r="C648" i="1"/>
  <c r="D648" i="1"/>
  <c r="E648" i="1"/>
  <c r="F648" i="1"/>
  <c r="G648" i="1"/>
  <c r="H648" i="1"/>
  <c r="I648" i="1"/>
  <c r="J648" i="1"/>
  <c r="B649" i="1"/>
  <c r="C649" i="1"/>
  <c r="D649" i="1"/>
  <c r="E649" i="1"/>
  <c r="F649" i="1"/>
  <c r="G649" i="1"/>
  <c r="H649" i="1"/>
  <c r="I649" i="1"/>
  <c r="J649" i="1"/>
  <c r="B650" i="1"/>
  <c r="C650" i="1"/>
  <c r="D650" i="1"/>
  <c r="E650" i="1"/>
  <c r="F650" i="1"/>
  <c r="G650" i="1"/>
  <c r="H650" i="1"/>
  <c r="I650" i="1"/>
  <c r="J650" i="1"/>
  <c r="B651" i="1"/>
  <c r="C651" i="1"/>
  <c r="D651" i="1"/>
  <c r="E651" i="1"/>
  <c r="F651" i="1"/>
  <c r="G651" i="1"/>
  <c r="H651" i="1"/>
  <c r="I651" i="1"/>
  <c r="J651" i="1"/>
  <c r="B652" i="1"/>
  <c r="C652" i="1"/>
  <c r="D652" i="1"/>
  <c r="E652" i="1"/>
  <c r="F652" i="1"/>
  <c r="G652" i="1"/>
  <c r="H652" i="1"/>
  <c r="I652" i="1"/>
  <c r="J652" i="1"/>
  <c r="B653" i="1"/>
  <c r="C653" i="1"/>
  <c r="D653" i="1"/>
  <c r="E653" i="1"/>
  <c r="F653" i="1"/>
  <c r="G653" i="1"/>
  <c r="H653" i="1"/>
  <c r="I653" i="1"/>
  <c r="J653" i="1"/>
  <c r="B654" i="1"/>
  <c r="C654" i="1"/>
  <c r="D654" i="1"/>
  <c r="E654" i="1"/>
  <c r="F654" i="1"/>
  <c r="G654" i="1"/>
  <c r="H654" i="1"/>
  <c r="I654" i="1"/>
  <c r="J654" i="1"/>
  <c r="B655" i="1"/>
  <c r="C655" i="1"/>
  <c r="D655" i="1"/>
  <c r="E655" i="1"/>
  <c r="F655" i="1"/>
  <c r="G655" i="1"/>
  <c r="H655" i="1"/>
  <c r="I655" i="1"/>
  <c r="J655" i="1"/>
  <c r="B656" i="1"/>
  <c r="C656" i="1"/>
  <c r="D656" i="1"/>
  <c r="E656" i="1"/>
  <c r="F656" i="1"/>
  <c r="G656" i="1"/>
  <c r="H656" i="1"/>
  <c r="I656" i="1"/>
  <c r="J656" i="1"/>
  <c r="B657" i="1"/>
  <c r="C657" i="1"/>
  <c r="D657" i="1"/>
  <c r="E657" i="1"/>
  <c r="F657" i="1"/>
  <c r="G657" i="1"/>
  <c r="H657" i="1"/>
  <c r="I657" i="1"/>
  <c r="J657" i="1"/>
  <c r="B658" i="1"/>
  <c r="C658" i="1"/>
  <c r="D658" i="1"/>
  <c r="E658" i="1"/>
  <c r="F658" i="1"/>
  <c r="G658" i="1"/>
  <c r="H658" i="1"/>
  <c r="I658" i="1"/>
  <c r="J658" i="1"/>
  <c r="B659" i="1"/>
  <c r="C659" i="1"/>
  <c r="D659" i="1"/>
  <c r="E659" i="1"/>
  <c r="F659" i="1"/>
  <c r="G659" i="1"/>
  <c r="H659" i="1"/>
  <c r="I659" i="1"/>
  <c r="J659" i="1"/>
  <c r="B660" i="1"/>
  <c r="C660" i="1"/>
  <c r="D660" i="1"/>
  <c r="E660" i="1"/>
  <c r="F660" i="1"/>
  <c r="G660" i="1"/>
  <c r="H660" i="1"/>
  <c r="I660" i="1"/>
  <c r="J660" i="1"/>
  <c r="B661" i="1"/>
  <c r="C661" i="1"/>
  <c r="D661" i="1"/>
  <c r="E661" i="1"/>
  <c r="F661" i="1"/>
  <c r="G661" i="1"/>
  <c r="H661" i="1"/>
  <c r="I661" i="1"/>
  <c r="J661" i="1"/>
  <c r="B662" i="1"/>
  <c r="C662" i="1"/>
  <c r="D662" i="1"/>
  <c r="E662" i="1"/>
  <c r="F662" i="1"/>
  <c r="G662" i="1"/>
  <c r="H662" i="1"/>
  <c r="I662" i="1"/>
  <c r="J662" i="1"/>
  <c r="B663" i="1"/>
  <c r="C663" i="1"/>
  <c r="D663" i="1"/>
  <c r="E663" i="1"/>
  <c r="F663" i="1"/>
  <c r="G663" i="1"/>
  <c r="H663" i="1"/>
  <c r="I663" i="1"/>
  <c r="J663" i="1"/>
  <c r="B664" i="1"/>
  <c r="C664" i="1"/>
  <c r="D664" i="1"/>
  <c r="E664" i="1"/>
  <c r="F664" i="1"/>
  <c r="G664" i="1"/>
  <c r="H664" i="1"/>
  <c r="I664" i="1"/>
  <c r="J664" i="1"/>
  <c r="B665" i="1"/>
  <c r="C665" i="1"/>
  <c r="D665" i="1"/>
  <c r="E665" i="1"/>
  <c r="F665" i="1"/>
  <c r="G665" i="1"/>
  <c r="H665" i="1"/>
  <c r="I665" i="1"/>
  <c r="J665" i="1"/>
  <c r="B666" i="1"/>
  <c r="C666" i="1"/>
  <c r="D666" i="1"/>
  <c r="E666" i="1"/>
  <c r="F666" i="1"/>
  <c r="G666" i="1"/>
  <c r="H666" i="1"/>
  <c r="I666" i="1"/>
  <c r="J666" i="1"/>
  <c r="B667" i="1"/>
  <c r="C667" i="1"/>
  <c r="D667" i="1"/>
  <c r="E667" i="1"/>
  <c r="F667" i="1"/>
  <c r="G667" i="1"/>
  <c r="H667" i="1"/>
  <c r="I667" i="1"/>
  <c r="J667" i="1"/>
  <c r="B668" i="1"/>
  <c r="C668" i="1"/>
  <c r="D668" i="1"/>
  <c r="E668" i="1"/>
  <c r="F668" i="1"/>
  <c r="G668" i="1"/>
  <c r="H668" i="1"/>
  <c r="I668" i="1"/>
  <c r="J668" i="1"/>
  <c r="B669" i="1"/>
  <c r="C669" i="1"/>
  <c r="D669" i="1"/>
  <c r="E669" i="1"/>
  <c r="F669" i="1"/>
  <c r="G669" i="1"/>
  <c r="H669" i="1"/>
  <c r="I669" i="1"/>
  <c r="J669" i="1"/>
  <c r="B670" i="1"/>
  <c r="C670" i="1"/>
  <c r="D670" i="1"/>
  <c r="E670" i="1"/>
  <c r="F670" i="1"/>
  <c r="G670" i="1"/>
  <c r="H670" i="1"/>
  <c r="I670" i="1"/>
  <c r="J670" i="1"/>
  <c r="B671" i="1"/>
  <c r="C671" i="1"/>
  <c r="D671" i="1"/>
  <c r="E671" i="1"/>
  <c r="F671" i="1"/>
  <c r="G671" i="1"/>
  <c r="H671" i="1"/>
  <c r="I671" i="1"/>
  <c r="J671" i="1"/>
  <c r="B672" i="1"/>
  <c r="C672" i="1"/>
  <c r="D672" i="1"/>
  <c r="E672" i="1"/>
  <c r="F672" i="1"/>
  <c r="G672" i="1"/>
  <c r="H672" i="1"/>
  <c r="I672" i="1"/>
  <c r="J672" i="1"/>
  <c r="B673" i="1"/>
  <c r="C673" i="1"/>
  <c r="D673" i="1"/>
  <c r="E673" i="1"/>
  <c r="F673" i="1"/>
  <c r="G673" i="1"/>
  <c r="H673" i="1"/>
  <c r="I673" i="1"/>
  <c r="J673" i="1"/>
  <c r="B674" i="1"/>
  <c r="C674" i="1"/>
  <c r="D674" i="1"/>
  <c r="E674" i="1"/>
  <c r="F674" i="1"/>
  <c r="G674" i="1"/>
  <c r="H674" i="1"/>
  <c r="I674" i="1"/>
  <c r="J674" i="1"/>
  <c r="B675" i="1"/>
  <c r="C675" i="1"/>
  <c r="D675" i="1"/>
  <c r="E675" i="1"/>
  <c r="F675" i="1"/>
  <c r="G675" i="1"/>
  <c r="H675" i="1"/>
  <c r="I675" i="1"/>
  <c r="J675" i="1"/>
  <c r="B676" i="1"/>
  <c r="C676" i="1"/>
  <c r="D676" i="1"/>
  <c r="E676" i="1"/>
  <c r="F676" i="1"/>
  <c r="G676" i="1"/>
  <c r="H676" i="1"/>
  <c r="I676" i="1"/>
  <c r="J676" i="1"/>
  <c r="B677" i="1"/>
  <c r="C677" i="1"/>
  <c r="D677" i="1"/>
  <c r="E677" i="1"/>
  <c r="F677" i="1"/>
  <c r="G677" i="1"/>
  <c r="H677" i="1"/>
  <c r="I677" i="1"/>
  <c r="J677" i="1"/>
  <c r="B678" i="1"/>
  <c r="C678" i="1"/>
  <c r="D678" i="1"/>
  <c r="E678" i="1"/>
  <c r="F678" i="1"/>
  <c r="G678" i="1"/>
  <c r="H678" i="1"/>
  <c r="I678" i="1"/>
  <c r="J678" i="1"/>
  <c r="B679" i="1"/>
  <c r="C679" i="1"/>
  <c r="D679" i="1"/>
  <c r="E679" i="1"/>
  <c r="F679" i="1"/>
  <c r="G679" i="1"/>
  <c r="H679" i="1"/>
  <c r="I679" i="1"/>
  <c r="J679" i="1"/>
  <c r="B680" i="1"/>
  <c r="C680" i="1"/>
  <c r="D680" i="1"/>
  <c r="E680" i="1"/>
  <c r="F680" i="1"/>
  <c r="G680" i="1"/>
  <c r="H680" i="1"/>
  <c r="I680" i="1"/>
  <c r="J680" i="1"/>
  <c r="B681" i="1"/>
  <c r="C681" i="1"/>
  <c r="D681" i="1"/>
  <c r="E681" i="1"/>
  <c r="F681" i="1"/>
  <c r="G681" i="1"/>
  <c r="H681" i="1"/>
  <c r="I681" i="1"/>
  <c r="J681" i="1"/>
  <c r="B682" i="1"/>
  <c r="C682" i="1"/>
  <c r="D682" i="1"/>
  <c r="E682" i="1"/>
  <c r="F682" i="1"/>
  <c r="G682" i="1"/>
  <c r="H682" i="1"/>
  <c r="I682" i="1"/>
  <c r="J682" i="1"/>
  <c r="B683" i="1"/>
  <c r="C683" i="1"/>
  <c r="D683" i="1"/>
  <c r="E683" i="1"/>
  <c r="F683" i="1"/>
  <c r="G683" i="1"/>
  <c r="H683" i="1"/>
  <c r="I683" i="1"/>
  <c r="J683" i="1"/>
  <c r="B684" i="1"/>
  <c r="C684" i="1"/>
  <c r="D684" i="1"/>
  <c r="E684" i="1"/>
  <c r="F684" i="1"/>
  <c r="G684" i="1"/>
  <c r="H684" i="1"/>
  <c r="I684" i="1"/>
  <c r="J684" i="1"/>
  <c r="B685" i="1"/>
  <c r="C685" i="1"/>
  <c r="D685" i="1"/>
  <c r="E685" i="1"/>
  <c r="F685" i="1"/>
  <c r="G685" i="1"/>
  <c r="H685" i="1"/>
  <c r="I685" i="1"/>
  <c r="J685" i="1"/>
  <c r="B686" i="1"/>
  <c r="C686" i="1"/>
  <c r="D686" i="1"/>
  <c r="E686" i="1"/>
  <c r="F686" i="1"/>
  <c r="G686" i="1"/>
  <c r="H686" i="1"/>
  <c r="I686" i="1"/>
  <c r="J686" i="1"/>
  <c r="B687" i="1"/>
  <c r="C687" i="1"/>
  <c r="D687" i="1"/>
  <c r="E687" i="1"/>
  <c r="F687" i="1"/>
  <c r="G687" i="1"/>
  <c r="H687" i="1"/>
  <c r="I687" i="1"/>
  <c r="J687" i="1"/>
  <c r="B688" i="1"/>
  <c r="C688" i="1"/>
  <c r="D688" i="1"/>
  <c r="E688" i="1"/>
  <c r="F688" i="1"/>
  <c r="G688" i="1"/>
  <c r="H688" i="1"/>
  <c r="I688" i="1"/>
  <c r="J688" i="1"/>
  <c r="B689" i="1"/>
  <c r="C689" i="1"/>
  <c r="D689" i="1"/>
  <c r="E689" i="1"/>
  <c r="F689" i="1"/>
  <c r="G689" i="1"/>
  <c r="H689" i="1"/>
  <c r="I689" i="1"/>
  <c r="J689" i="1"/>
  <c r="B690" i="1"/>
  <c r="C690" i="1"/>
  <c r="D690" i="1"/>
  <c r="E690" i="1"/>
  <c r="F690" i="1"/>
  <c r="G690" i="1"/>
  <c r="H690" i="1"/>
  <c r="I690" i="1"/>
  <c r="J690" i="1"/>
  <c r="B691" i="1"/>
  <c r="C691" i="1"/>
  <c r="D691" i="1"/>
  <c r="E691" i="1"/>
  <c r="F691" i="1"/>
  <c r="G691" i="1"/>
  <c r="H691" i="1"/>
  <c r="I691" i="1"/>
  <c r="J691" i="1"/>
  <c r="B692" i="1"/>
  <c r="C692" i="1"/>
  <c r="D692" i="1"/>
  <c r="E692" i="1"/>
  <c r="F692" i="1"/>
  <c r="G692" i="1"/>
  <c r="H692" i="1"/>
  <c r="I692" i="1"/>
  <c r="J692" i="1"/>
  <c r="B693" i="1"/>
  <c r="C693" i="1"/>
  <c r="D693" i="1"/>
  <c r="E693" i="1"/>
  <c r="F693" i="1"/>
  <c r="G693" i="1"/>
  <c r="H693" i="1"/>
  <c r="I693" i="1"/>
  <c r="J693" i="1"/>
  <c r="B694" i="1"/>
  <c r="C694" i="1"/>
  <c r="D694" i="1"/>
  <c r="E694" i="1"/>
  <c r="F694" i="1"/>
  <c r="G694" i="1"/>
  <c r="H694" i="1"/>
  <c r="I694" i="1"/>
  <c r="J694" i="1"/>
  <c r="B695" i="1"/>
  <c r="C695" i="1"/>
  <c r="D695" i="1"/>
  <c r="E695" i="1"/>
  <c r="F695" i="1"/>
  <c r="G695" i="1"/>
  <c r="H695" i="1"/>
  <c r="I695" i="1"/>
  <c r="J695" i="1"/>
  <c r="B696" i="1"/>
  <c r="C696" i="1"/>
  <c r="D696" i="1"/>
  <c r="E696" i="1"/>
  <c r="F696" i="1"/>
  <c r="G696" i="1"/>
  <c r="H696" i="1"/>
  <c r="I696" i="1"/>
  <c r="J696" i="1"/>
  <c r="B697" i="1"/>
  <c r="C697" i="1"/>
  <c r="D697" i="1"/>
  <c r="E697" i="1"/>
  <c r="F697" i="1"/>
  <c r="G697" i="1"/>
  <c r="H697" i="1"/>
  <c r="I697" i="1"/>
  <c r="J697" i="1"/>
  <c r="B698" i="1"/>
  <c r="C698" i="1"/>
  <c r="D698" i="1"/>
  <c r="E698" i="1"/>
  <c r="F698" i="1"/>
  <c r="G698" i="1"/>
  <c r="H698" i="1"/>
  <c r="I698" i="1"/>
  <c r="J698" i="1"/>
  <c r="B699" i="1"/>
  <c r="C699" i="1"/>
  <c r="D699" i="1"/>
  <c r="E699" i="1"/>
  <c r="F699" i="1"/>
  <c r="G699" i="1"/>
  <c r="H699" i="1"/>
  <c r="I699" i="1"/>
  <c r="J699" i="1"/>
  <c r="B700" i="1"/>
  <c r="C700" i="1"/>
  <c r="D700" i="1"/>
  <c r="E700" i="1"/>
  <c r="F700" i="1"/>
  <c r="G700" i="1"/>
  <c r="H700" i="1"/>
  <c r="I700" i="1"/>
  <c r="J700" i="1"/>
  <c r="B701" i="1"/>
  <c r="C701" i="1"/>
  <c r="D701" i="1"/>
  <c r="E701" i="1"/>
  <c r="F701" i="1"/>
  <c r="G701" i="1"/>
  <c r="H701" i="1"/>
  <c r="I701" i="1"/>
  <c r="J701" i="1"/>
  <c r="B702" i="1"/>
  <c r="C702" i="1"/>
  <c r="D702" i="1"/>
  <c r="E702" i="1"/>
  <c r="F702" i="1"/>
  <c r="G702" i="1"/>
  <c r="H702" i="1"/>
  <c r="I702" i="1"/>
  <c r="J702" i="1"/>
  <c r="B703" i="1"/>
  <c r="C703" i="1"/>
  <c r="D703" i="1"/>
  <c r="E703" i="1"/>
  <c r="F703" i="1"/>
  <c r="G703" i="1"/>
  <c r="H703" i="1"/>
  <c r="I703" i="1"/>
  <c r="J703" i="1"/>
  <c r="B704" i="1"/>
  <c r="C704" i="1"/>
  <c r="D704" i="1"/>
  <c r="E704" i="1"/>
  <c r="F704" i="1"/>
  <c r="G704" i="1"/>
  <c r="H704" i="1"/>
  <c r="I704" i="1"/>
  <c r="J704" i="1"/>
  <c r="B705" i="1"/>
  <c r="C705" i="1"/>
  <c r="D705" i="1"/>
  <c r="E705" i="1"/>
  <c r="F705" i="1"/>
  <c r="G705" i="1"/>
  <c r="H705" i="1"/>
  <c r="I705" i="1"/>
  <c r="J705" i="1"/>
  <c r="B706" i="1"/>
  <c r="C706" i="1"/>
  <c r="D706" i="1"/>
  <c r="E706" i="1"/>
  <c r="F706" i="1"/>
  <c r="G706" i="1"/>
  <c r="H706" i="1"/>
  <c r="I706" i="1"/>
  <c r="J706" i="1"/>
  <c r="B707" i="1"/>
  <c r="C707" i="1"/>
  <c r="D707" i="1"/>
  <c r="E707" i="1"/>
  <c r="F707" i="1"/>
  <c r="G707" i="1"/>
  <c r="H707" i="1"/>
  <c r="I707" i="1"/>
  <c r="J707" i="1"/>
  <c r="B708" i="1"/>
  <c r="C708" i="1"/>
  <c r="D708" i="1"/>
  <c r="E708" i="1"/>
  <c r="F708" i="1"/>
  <c r="G708" i="1"/>
  <c r="H708" i="1"/>
  <c r="I708" i="1"/>
  <c r="J708" i="1"/>
  <c r="B709" i="1"/>
  <c r="C709" i="1"/>
  <c r="D709" i="1"/>
  <c r="E709" i="1"/>
  <c r="F709" i="1"/>
  <c r="G709" i="1"/>
  <c r="H709" i="1"/>
  <c r="I709" i="1"/>
  <c r="J709" i="1"/>
  <c r="B710" i="1"/>
  <c r="C710" i="1"/>
  <c r="D710" i="1"/>
  <c r="E710" i="1"/>
  <c r="F710" i="1"/>
  <c r="G710" i="1"/>
  <c r="H710" i="1"/>
  <c r="I710" i="1"/>
  <c r="J710" i="1"/>
  <c r="B711" i="1"/>
  <c r="C711" i="1"/>
  <c r="D711" i="1"/>
  <c r="E711" i="1"/>
  <c r="F711" i="1"/>
  <c r="G711" i="1"/>
  <c r="H711" i="1"/>
  <c r="I711" i="1"/>
  <c r="J711" i="1"/>
  <c r="B712" i="1"/>
  <c r="C712" i="1"/>
  <c r="D712" i="1"/>
  <c r="E712" i="1"/>
  <c r="F712" i="1"/>
  <c r="G712" i="1"/>
  <c r="H712" i="1"/>
  <c r="I712" i="1"/>
  <c r="J712" i="1"/>
  <c r="B713" i="1"/>
  <c r="C713" i="1"/>
  <c r="D713" i="1"/>
  <c r="E713" i="1"/>
  <c r="F713" i="1"/>
  <c r="G713" i="1"/>
  <c r="H713" i="1"/>
  <c r="I713" i="1"/>
  <c r="J713" i="1"/>
  <c r="B714" i="1"/>
  <c r="C714" i="1"/>
  <c r="D714" i="1"/>
  <c r="E714" i="1"/>
  <c r="F714" i="1"/>
  <c r="G714" i="1"/>
  <c r="H714" i="1"/>
  <c r="I714" i="1"/>
  <c r="J714" i="1"/>
  <c r="B715" i="1"/>
  <c r="C715" i="1"/>
  <c r="D715" i="1"/>
  <c r="E715" i="1"/>
  <c r="F715" i="1"/>
  <c r="G715" i="1"/>
  <c r="H715" i="1"/>
  <c r="I715" i="1"/>
  <c r="J715" i="1"/>
  <c r="B716" i="1"/>
  <c r="C716" i="1"/>
  <c r="D716" i="1"/>
  <c r="E716" i="1"/>
  <c r="F716" i="1"/>
  <c r="G716" i="1"/>
  <c r="H716" i="1"/>
  <c r="I716" i="1"/>
  <c r="J716" i="1"/>
  <c r="B717" i="1"/>
  <c r="C717" i="1"/>
  <c r="D717" i="1"/>
  <c r="E717" i="1"/>
  <c r="F717" i="1"/>
  <c r="G717" i="1"/>
  <c r="H717" i="1"/>
  <c r="I717" i="1"/>
  <c r="J717" i="1"/>
  <c r="B718" i="1"/>
  <c r="C718" i="1"/>
  <c r="D718" i="1"/>
  <c r="E718" i="1"/>
  <c r="F718" i="1"/>
  <c r="G718" i="1"/>
  <c r="H718" i="1"/>
  <c r="I718" i="1"/>
  <c r="J718" i="1"/>
  <c r="B719" i="1"/>
  <c r="C719" i="1"/>
  <c r="D719" i="1"/>
  <c r="E719" i="1"/>
  <c r="F719" i="1"/>
  <c r="G719" i="1"/>
  <c r="H719" i="1"/>
  <c r="I719" i="1"/>
  <c r="J719" i="1"/>
  <c r="B720" i="1"/>
  <c r="C720" i="1"/>
  <c r="D720" i="1"/>
  <c r="E720" i="1"/>
  <c r="F720" i="1"/>
  <c r="G720" i="1"/>
  <c r="H720" i="1"/>
  <c r="I720" i="1"/>
  <c r="J720" i="1"/>
  <c r="B721" i="1"/>
  <c r="C721" i="1"/>
  <c r="D721" i="1"/>
  <c r="E721" i="1"/>
  <c r="F721" i="1"/>
  <c r="G721" i="1"/>
  <c r="H721" i="1"/>
  <c r="I721" i="1"/>
  <c r="J721" i="1"/>
  <c r="B722" i="1"/>
  <c r="C722" i="1"/>
  <c r="D722" i="1"/>
  <c r="E722" i="1"/>
  <c r="F722" i="1"/>
  <c r="G722" i="1"/>
  <c r="H722" i="1"/>
  <c r="I722" i="1"/>
  <c r="J722" i="1"/>
  <c r="B723" i="1"/>
  <c r="C723" i="1"/>
  <c r="D723" i="1"/>
  <c r="E723" i="1"/>
  <c r="F723" i="1"/>
  <c r="G723" i="1"/>
  <c r="H723" i="1"/>
  <c r="I723" i="1"/>
  <c r="J723" i="1"/>
  <c r="B724" i="1"/>
  <c r="C724" i="1"/>
  <c r="D724" i="1"/>
  <c r="E724" i="1"/>
  <c r="F724" i="1"/>
  <c r="G724" i="1"/>
  <c r="H724" i="1"/>
  <c r="I724" i="1"/>
  <c r="J724" i="1"/>
  <c r="B725" i="1"/>
  <c r="C725" i="1"/>
  <c r="D725" i="1"/>
  <c r="E725" i="1"/>
  <c r="F725" i="1"/>
  <c r="G725" i="1"/>
  <c r="H725" i="1"/>
  <c r="I725" i="1"/>
  <c r="J725" i="1"/>
  <c r="B726" i="1"/>
  <c r="C726" i="1"/>
  <c r="D726" i="1"/>
  <c r="E726" i="1"/>
  <c r="F726" i="1"/>
  <c r="G726" i="1"/>
  <c r="H726" i="1"/>
  <c r="I726" i="1"/>
  <c r="J726" i="1"/>
  <c r="B727" i="1"/>
  <c r="C727" i="1"/>
  <c r="D727" i="1"/>
  <c r="E727" i="1"/>
  <c r="F727" i="1"/>
  <c r="G727" i="1"/>
  <c r="H727" i="1"/>
  <c r="I727" i="1"/>
  <c r="J727" i="1"/>
  <c r="B728" i="1"/>
  <c r="C728" i="1"/>
  <c r="D728" i="1"/>
  <c r="E728" i="1"/>
  <c r="F728" i="1"/>
  <c r="G728" i="1"/>
  <c r="H728" i="1"/>
  <c r="I728" i="1"/>
  <c r="J728" i="1"/>
  <c r="B729" i="1"/>
  <c r="C729" i="1"/>
  <c r="D729" i="1"/>
  <c r="E729" i="1"/>
  <c r="F729" i="1"/>
  <c r="G729" i="1"/>
  <c r="H729" i="1"/>
  <c r="I729" i="1"/>
  <c r="J729" i="1"/>
  <c r="B730" i="1"/>
  <c r="C730" i="1"/>
  <c r="D730" i="1"/>
  <c r="E730" i="1"/>
  <c r="F730" i="1"/>
  <c r="G730" i="1"/>
  <c r="H730" i="1"/>
  <c r="I730" i="1"/>
  <c r="J730" i="1"/>
  <c r="B731" i="1"/>
  <c r="C731" i="1"/>
  <c r="D731" i="1"/>
  <c r="E731" i="1"/>
  <c r="F731" i="1"/>
  <c r="G731" i="1"/>
  <c r="H731" i="1"/>
  <c r="I731" i="1"/>
  <c r="J731" i="1"/>
  <c r="B732" i="1"/>
  <c r="C732" i="1"/>
  <c r="D732" i="1"/>
  <c r="E732" i="1"/>
  <c r="F732" i="1"/>
  <c r="G732" i="1"/>
  <c r="H732" i="1"/>
  <c r="I732" i="1"/>
  <c r="J732" i="1"/>
  <c r="B733" i="1"/>
  <c r="C733" i="1"/>
  <c r="D733" i="1"/>
  <c r="E733" i="1"/>
  <c r="F733" i="1"/>
  <c r="G733" i="1"/>
  <c r="H733" i="1"/>
  <c r="I733" i="1"/>
  <c r="J733" i="1"/>
  <c r="B734" i="1"/>
  <c r="C734" i="1"/>
  <c r="D734" i="1"/>
  <c r="E734" i="1"/>
  <c r="F734" i="1"/>
  <c r="G734" i="1"/>
  <c r="H734" i="1"/>
  <c r="I734" i="1"/>
  <c r="J734" i="1"/>
  <c r="B735" i="1"/>
  <c r="C735" i="1"/>
  <c r="D735" i="1"/>
  <c r="E735" i="1"/>
  <c r="F735" i="1"/>
  <c r="G735" i="1"/>
  <c r="H735" i="1"/>
  <c r="I735" i="1"/>
  <c r="J735" i="1"/>
  <c r="B736" i="1"/>
  <c r="C736" i="1"/>
  <c r="D736" i="1"/>
  <c r="E736" i="1"/>
  <c r="F736" i="1"/>
  <c r="G736" i="1"/>
  <c r="H736" i="1"/>
  <c r="I736" i="1"/>
  <c r="J736" i="1"/>
  <c r="B737" i="1"/>
  <c r="C737" i="1"/>
  <c r="D737" i="1"/>
  <c r="E737" i="1"/>
  <c r="F737" i="1"/>
  <c r="G737" i="1"/>
  <c r="H737" i="1"/>
  <c r="I737" i="1"/>
  <c r="J737" i="1"/>
  <c r="B738" i="1"/>
  <c r="C738" i="1"/>
  <c r="D738" i="1"/>
  <c r="E738" i="1"/>
  <c r="F738" i="1"/>
  <c r="G738" i="1"/>
  <c r="H738" i="1"/>
  <c r="I738" i="1"/>
  <c r="J738" i="1"/>
  <c r="B739" i="1"/>
  <c r="C739" i="1"/>
  <c r="D739" i="1"/>
  <c r="E739" i="1"/>
  <c r="F739" i="1"/>
  <c r="G739" i="1"/>
  <c r="H739" i="1"/>
  <c r="I739" i="1"/>
  <c r="J739" i="1"/>
  <c r="B740" i="1"/>
  <c r="C740" i="1"/>
  <c r="D740" i="1"/>
  <c r="E740" i="1"/>
  <c r="F740" i="1"/>
  <c r="G740" i="1"/>
  <c r="H740" i="1"/>
  <c r="I740" i="1"/>
  <c r="J740" i="1"/>
  <c r="B741" i="1"/>
  <c r="C741" i="1"/>
  <c r="D741" i="1"/>
  <c r="E741" i="1"/>
  <c r="F741" i="1"/>
  <c r="G741" i="1"/>
  <c r="H741" i="1"/>
  <c r="I741" i="1"/>
  <c r="J741" i="1"/>
  <c r="B742" i="1"/>
  <c r="C742" i="1"/>
  <c r="D742" i="1"/>
  <c r="E742" i="1"/>
  <c r="F742" i="1"/>
  <c r="G742" i="1"/>
  <c r="H742" i="1"/>
  <c r="I742" i="1"/>
  <c r="J742" i="1"/>
  <c r="B743" i="1"/>
  <c r="C743" i="1"/>
  <c r="D743" i="1"/>
  <c r="E743" i="1"/>
  <c r="F743" i="1"/>
  <c r="G743" i="1"/>
  <c r="H743" i="1"/>
  <c r="I743" i="1"/>
  <c r="J743" i="1"/>
  <c r="B744" i="1"/>
  <c r="C744" i="1"/>
  <c r="D744" i="1"/>
  <c r="E744" i="1"/>
  <c r="F744" i="1"/>
  <c r="G744" i="1"/>
  <c r="H744" i="1"/>
  <c r="I744" i="1"/>
  <c r="J744" i="1"/>
  <c r="B745" i="1"/>
  <c r="C745" i="1"/>
  <c r="D745" i="1"/>
  <c r="E745" i="1"/>
  <c r="F745" i="1"/>
  <c r="G745" i="1"/>
  <c r="H745" i="1"/>
  <c r="I745" i="1"/>
  <c r="J745" i="1"/>
  <c r="B746" i="1"/>
  <c r="C746" i="1"/>
  <c r="D746" i="1"/>
  <c r="E746" i="1"/>
  <c r="F746" i="1"/>
  <c r="G746" i="1"/>
  <c r="H746" i="1"/>
  <c r="I746" i="1"/>
  <c r="J746" i="1"/>
  <c r="B747" i="1"/>
  <c r="C747" i="1"/>
  <c r="D747" i="1"/>
  <c r="E747" i="1"/>
  <c r="F747" i="1"/>
  <c r="G747" i="1"/>
  <c r="H747" i="1"/>
  <c r="I747" i="1"/>
  <c r="J747" i="1"/>
  <c r="B748" i="1"/>
  <c r="C748" i="1"/>
  <c r="D748" i="1"/>
  <c r="E748" i="1"/>
  <c r="F748" i="1"/>
  <c r="G748" i="1"/>
  <c r="H748" i="1"/>
  <c r="I748" i="1"/>
  <c r="J748" i="1"/>
  <c r="B749" i="1"/>
  <c r="C749" i="1"/>
  <c r="D749" i="1"/>
  <c r="E749" i="1"/>
  <c r="F749" i="1"/>
  <c r="G749" i="1"/>
  <c r="H749" i="1"/>
  <c r="I749" i="1"/>
  <c r="J749" i="1"/>
  <c r="B750" i="1"/>
  <c r="C750" i="1"/>
  <c r="D750" i="1"/>
  <c r="E750" i="1"/>
  <c r="F750" i="1"/>
  <c r="G750" i="1"/>
  <c r="H750" i="1"/>
  <c r="I750" i="1"/>
  <c r="J750" i="1"/>
  <c r="B751" i="1"/>
  <c r="C751" i="1"/>
  <c r="D751" i="1"/>
  <c r="E751" i="1"/>
  <c r="F751" i="1"/>
  <c r="G751" i="1"/>
  <c r="H751" i="1"/>
  <c r="I751" i="1"/>
  <c r="J751" i="1"/>
  <c r="B752" i="1"/>
  <c r="C752" i="1"/>
  <c r="D752" i="1"/>
  <c r="E752" i="1"/>
  <c r="F752" i="1"/>
  <c r="G752" i="1"/>
  <c r="H752" i="1"/>
  <c r="I752" i="1"/>
  <c r="J752" i="1"/>
  <c r="B753" i="1"/>
  <c r="C753" i="1"/>
  <c r="D753" i="1"/>
  <c r="E753" i="1"/>
  <c r="F753" i="1"/>
  <c r="G753" i="1"/>
  <c r="H753" i="1"/>
  <c r="I753" i="1"/>
  <c r="J753" i="1"/>
  <c r="B754" i="1"/>
  <c r="C754" i="1"/>
  <c r="D754" i="1"/>
  <c r="E754" i="1"/>
  <c r="F754" i="1"/>
  <c r="G754" i="1"/>
  <c r="H754" i="1"/>
  <c r="I754" i="1"/>
  <c r="J754" i="1"/>
  <c r="B755" i="1"/>
  <c r="C755" i="1"/>
  <c r="D755" i="1"/>
  <c r="E755" i="1"/>
  <c r="F755" i="1"/>
  <c r="G755" i="1"/>
  <c r="H755" i="1"/>
  <c r="I755" i="1"/>
  <c r="J755" i="1"/>
  <c r="B756" i="1"/>
  <c r="C756" i="1"/>
  <c r="D756" i="1"/>
  <c r="E756" i="1"/>
  <c r="F756" i="1"/>
  <c r="G756" i="1"/>
  <c r="H756" i="1"/>
  <c r="I756" i="1"/>
  <c r="J756" i="1"/>
  <c r="B757" i="1"/>
  <c r="C757" i="1"/>
  <c r="D757" i="1"/>
  <c r="E757" i="1"/>
  <c r="F757" i="1"/>
  <c r="G757" i="1"/>
  <c r="H757" i="1"/>
  <c r="I757" i="1"/>
  <c r="J757" i="1"/>
  <c r="B758" i="1"/>
  <c r="C758" i="1"/>
  <c r="D758" i="1"/>
  <c r="E758" i="1"/>
  <c r="F758" i="1"/>
  <c r="G758" i="1"/>
  <c r="H758" i="1"/>
  <c r="I758" i="1"/>
  <c r="J758" i="1"/>
  <c r="B759" i="1"/>
  <c r="C759" i="1"/>
  <c r="D759" i="1"/>
  <c r="E759" i="1"/>
  <c r="F759" i="1"/>
  <c r="G759" i="1"/>
  <c r="H759" i="1"/>
  <c r="I759" i="1"/>
  <c r="J759" i="1"/>
  <c r="B760" i="1"/>
  <c r="C760" i="1"/>
  <c r="D760" i="1"/>
  <c r="E760" i="1"/>
  <c r="F760" i="1"/>
  <c r="G760" i="1"/>
  <c r="H760" i="1"/>
  <c r="I760" i="1"/>
  <c r="J760" i="1"/>
  <c r="B761" i="1"/>
  <c r="C761" i="1"/>
  <c r="D761" i="1"/>
  <c r="E761" i="1"/>
  <c r="F761" i="1"/>
  <c r="G761" i="1"/>
  <c r="H761" i="1"/>
  <c r="I761" i="1"/>
  <c r="J761" i="1"/>
  <c r="B762" i="1"/>
  <c r="C762" i="1"/>
  <c r="D762" i="1"/>
  <c r="E762" i="1"/>
  <c r="F762" i="1"/>
  <c r="G762" i="1"/>
  <c r="H762" i="1"/>
  <c r="I762" i="1"/>
  <c r="J762" i="1"/>
  <c r="B763" i="1"/>
  <c r="C763" i="1"/>
  <c r="D763" i="1"/>
  <c r="E763" i="1"/>
  <c r="F763" i="1"/>
  <c r="G763" i="1"/>
  <c r="H763" i="1"/>
  <c r="I763" i="1"/>
  <c r="J763" i="1"/>
  <c r="B764" i="1"/>
  <c r="C764" i="1"/>
  <c r="D764" i="1"/>
  <c r="E764" i="1"/>
  <c r="F764" i="1"/>
  <c r="G764" i="1"/>
  <c r="H764" i="1"/>
  <c r="I764" i="1"/>
  <c r="J764" i="1"/>
  <c r="B765" i="1"/>
  <c r="C765" i="1"/>
  <c r="D765" i="1"/>
  <c r="E765" i="1"/>
  <c r="F765" i="1"/>
  <c r="G765" i="1"/>
  <c r="H765" i="1"/>
  <c r="I765" i="1"/>
  <c r="J765" i="1"/>
  <c r="B766" i="1"/>
  <c r="C766" i="1"/>
  <c r="D766" i="1"/>
  <c r="E766" i="1"/>
  <c r="F766" i="1"/>
  <c r="G766" i="1"/>
  <c r="H766" i="1"/>
  <c r="I766" i="1"/>
  <c r="J766" i="1"/>
  <c r="B767" i="1"/>
  <c r="C767" i="1"/>
  <c r="D767" i="1"/>
  <c r="E767" i="1"/>
  <c r="F767" i="1"/>
  <c r="G767" i="1"/>
  <c r="H767" i="1"/>
  <c r="I767" i="1"/>
  <c r="J767" i="1"/>
  <c r="B768" i="1"/>
  <c r="C768" i="1"/>
  <c r="D768" i="1"/>
  <c r="E768" i="1"/>
  <c r="F768" i="1"/>
  <c r="G768" i="1"/>
  <c r="H768" i="1"/>
  <c r="I768" i="1"/>
  <c r="J768" i="1"/>
  <c r="B769" i="1"/>
  <c r="C769" i="1"/>
  <c r="D769" i="1"/>
  <c r="E769" i="1"/>
  <c r="F769" i="1"/>
  <c r="G769" i="1"/>
  <c r="H769" i="1"/>
  <c r="I769" i="1"/>
  <c r="J769" i="1"/>
  <c r="B770" i="1"/>
  <c r="C770" i="1"/>
  <c r="D770" i="1"/>
  <c r="E770" i="1"/>
  <c r="F770" i="1"/>
  <c r="G770" i="1"/>
  <c r="H770" i="1"/>
  <c r="I770" i="1"/>
  <c r="J770" i="1"/>
  <c r="B771" i="1"/>
  <c r="C771" i="1"/>
  <c r="D771" i="1"/>
  <c r="E771" i="1"/>
  <c r="F771" i="1"/>
  <c r="G771" i="1"/>
  <c r="H771" i="1"/>
  <c r="I771" i="1"/>
  <c r="J771" i="1"/>
  <c r="B772" i="1"/>
  <c r="C772" i="1"/>
  <c r="D772" i="1"/>
  <c r="E772" i="1"/>
  <c r="F772" i="1"/>
  <c r="G772" i="1"/>
  <c r="H772" i="1"/>
  <c r="I772" i="1"/>
  <c r="J772" i="1"/>
  <c r="B773" i="1"/>
  <c r="C773" i="1"/>
  <c r="D773" i="1"/>
  <c r="E773" i="1"/>
  <c r="F773" i="1"/>
  <c r="G773" i="1"/>
  <c r="H773" i="1"/>
  <c r="I773" i="1"/>
  <c r="J773" i="1"/>
  <c r="B774" i="1"/>
  <c r="C774" i="1"/>
  <c r="D774" i="1"/>
  <c r="E774" i="1"/>
  <c r="F774" i="1"/>
  <c r="G774" i="1"/>
  <c r="H774" i="1"/>
  <c r="I774" i="1"/>
  <c r="J774" i="1"/>
  <c r="B775" i="1"/>
  <c r="C775" i="1"/>
  <c r="D775" i="1"/>
  <c r="E775" i="1"/>
  <c r="F775" i="1"/>
  <c r="G775" i="1"/>
  <c r="H775" i="1"/>
  <c r="I775" i="1"/>
  <c r="J775" i="1"/>
  <c r="B776" i="1"/>
  <c r="C776" i="1"/>
  <c r="D776" i="1"/>
  <c r="E776" i="1"/>
  <c r="F776" i="1"/>
  <c r="G776" i="1"/>
  <c r="H776" i="1"/>
  <c r="I776" i="1"/>
  <c r="J776" i="1"/>
  <c r="B777" i="1"/>
  <c r="C777" i="1"/>
  <c r="D777" i="1"/>
  <c r="E777" i="1"/>
  <c r="F777" i="1"/>
  <c r="G777" i="1"/>
  <c r="H777" i="1"/>
  <c r="I777" i="1"/>
  <c r="J777" i="1"/>
  <c r="B778" i="1"/>
  <c r="C778" i="1"/>
  <c r="D778" i="1"/>
  <c r="E778" i="1"/>
  <c r="F778" i="1"/>
  <c r="G778" i="1"/>
  <c r="H778" i="1"/>
  <c r="I778" i="1"/>
  <c r="J778" i="1"/>
  <c r="B779" i="1"/>
  <c r="C779" i="1"/>
  <c r="D779" i="1"/>
  <c r="E779" i="1"/>
  <c r="F779" i="1"/>
  <c r="G779" i="1"/>
  <c r="H779" i="1"/>
  <c r="I779" i="1"/>
  <c r="J779" i="1"/>
  <c r="B780" i="1"/>
  <c r="C780" i="1"/>
  <c r="D780" i="1"/>
  <c r="E780" i="1"/>
  <c r="F780" i="1"/>
  <c r="G780" i="1"/>
  <c r="H780" i="1"/>
  <c r="I780" i="1"/>
  <c r="J780" i="1"/>
  <c r="B781" i="1"/>
  <c r="C781" i="1"/>
  <c r="D781" i="1"/>
  <c r="E781" i="1"/>
  <c r="F781" i="1"/>
  <c r="G781" i="1"/>
  <c r="H781" i="1"/>
  <c r="I781" i="1"/>
  <c r="J781" i="1"/>
  <c r="B782" i="1"/>
  <c r="C782" i="1"/>
  <c r="D782" i="1"/>
  <c r="E782" i="1"/>
  <c r="F782" i="1"/>
  <c r="G782" i="1"/>
  <c r="H782" i="1"/>
  <c r="I782" i="1"/>
  <c r="J782" i="1"/>
  <c r="B783" i="1"/>
  <c r="C783" i="1"/>
  <c r="D783" i="1"/>
  <c r="E783" i="1"/>
  <c r="F783" i="1"/>
  <c r="G783" i="1"/>
  <c r="H783" i="1"/>
  <c r="I783" i="1"/>
  <c r="J783" i="1"/>
  <c r="B784" i="1"/>
  <c r="C784" i="1"/>
  <c r="D784" i="1"/>
  <c r="E784" i="1"/>
  <c r="F784" i="1"/>
  <c r="G784" i="1"/>
  <c r="H784" i="1"/>
  <c r="I784" i="1"/>
  <c r="J784" i="1"/>
  <c r="B785" i="1"/>
  <c r="C785" i="1"/>
  <c r="D785" i="1"/>
  <c r="E785" i="1"/>
  <c r="F785" i="1"/>
  <c r="G785" i="1"/>
  <c r="H785" i="1"/>
  <c r="I785" i="1"/>
  <c r="J785" i="1"/>
  <c r="B786" i="1"/>
  <c r="C786" i="1"/>
  <c r="D786" i="1"/>
  <c r="E786" i="1"/>
  <c r="F786" i="1"/>
  <c r="G786" i="1"/>
  <c r="H786" i="1"/>
  <c r="I786" i="1"/>
  <c r="J786" i="1"/>
  <c r="B787" i="1"/>
  <c r="C787" i="1"/>
  <c r="D787" i="1"/>
  <c r="E787" i="1"/>
  <c r="F787" i="1"/>
  <c r="G787" i="1"/>
  <c r="H787" i="1"/>
  <c r="I787" i="1"/>
  <c r="J787" i="1"/>
  <c r="B788" i="1"/>
  <c r="C788" i="1"/>
  <c r="D788" i="1"/>
  <c r="E788" i="1"/>
  <c r="F788" i="1"/>
  <c r="G788" i="1"/>
  <c r="H788" i="1"/>
  <c r="I788" i="1"/>
  <c r="J788" i="1"/>
  <c r="B789" i="1"/>
  <c r="C789" i="1"/>
  <c r="D789" i="1"/>
  <c r="E789" i="1"/>
  <c r="F789" i="1"/>
  <c r="G789" i="1"/>
  <c r="H789" i="1"/>
  <c r="I789" i="1"/>
  <c r="J789" i="1"/>
  <c r="B790" i="1"/>
  <c r="C790" i="1"/>
  <c r="D790" i="1"/>
  <c r="E790" i="1"/>
  <c r="F790" i="1"/>
  <c r="G790" i="1"/>
  <c r="H790" i="1"/>
  <c r="I790" i="1"/>
  <c r="J790" i="1"/>
  <c r="B791" i="1"/>
  <c r="C791" i="1"/>
  <c r="D791" i="1"/>
  <c r="E791" i="1"/>
  <c r="F791" i="1"/>
  <c r="G791" i="1"/>
  <c r="H791" i="1"/>
  <c r="I791" i="1"/>
  <c r="J791" i="1"/>
  <c r="B792" i="1"/>
  <c r="C792" i="1"/>
  <c r="D792" i="1"/>
  <c r="E792" i="1"/>
  <c r="F792" i="1"/>
  <c r="G792" i="1"/>
  <c r="H792" i="1"/>
  <c r="I792" i="1"/>
  <c r="J792" i="1"/>
  <c r="B793" i="1"/>
  <c r="C793" i="1"/>
  <c r="D793" i="1"/>
  <c r="E793" i="1"/>
  <c r="F793" i="1"/>
  <c r="G793" i="1"/>
  <c r="H793" i="1"/>
  <c r="I793" i="1"/>
  <c r="J793" i="1"/>
  <c r="B794" i="1"/>
  <c r="C794" i="1"/>
  <c r="D794" i="1"/>
  <c r="E794" i="1"/>
  <c r="F794" i="1"/>
  <c r="G794" i="1"/>
  <c r="H794" i="1"/>
  <c r="I794" i="1"/>
  <c r="J794" i="1"/>
  <c r="B795" i="1"/>
  <c r="C795" i="1"/>
  <c r="D795" i="1"/>
  <c r="E795" i="1"/>
  <c r="F795" i="1"/>
  <c r="G795" i="1"/>
  <c r="H795" i="1"/>
  <c r="I795" i="1"/>
  <c r="J795" i="1"/>
  <c r="B796" i="1"/>
  <c r="C796" i="1"/>
  <c r="D796" i="1"/>
  <c r="E796" i="1"/>
  <c r="F796" i="1"/>
  <c r="G796" i="1"/>
  <c r="H796" i="1"/>
  <c r="I796" i="1"/>
  <c r="J796" i="1"/>
  <c r="B797" i="1"/>
  <c r="C797" i="1"/>
  <c r="D797" i="1"/>
  <c r="E797" i="1"/>
  <c r="F797" i="1"/>
  <c r="G797" i="1"/>
  <c r="H797" i="1"/>
  <c r="I797" i="1"/>
  <c r="J797" i="1"/>
  <c r="B798" i="1"/>
  <c r="C798" i="1"/>
  <c r="D798" i="1"/>
  <c r="E798" i="1"/>
  <c r="F798" i="1"/>
  <c r="G798" i="1"/>
  <c r="H798" i="1"/>
  <c r="I798" i="1"/>
  <c r="J798" i="1"/>
  <c r="B799" i="1"/>
  <c r="C799" i="1"/>
  <c r="D799" i="1"/>
  <c r="E799" i="1"/>
  <c r="F799" i="1"/>
  <c r="G799" i="1"/>
  <c r="H799" i="1"/>
  <c r="I799" i="1"/>
  <c r="J799" i="1"/>
  <c r="B800" i="1"/>
  <c r="C800" i="1"/>
  <c r="D800" i="1"/>
  <c r="E800" i="1"/>
  <c r="F800" i="1"/>
  <c r="G800" i="1"/>
  <c r="H800" i="1"/>
  <c r="I800" i="1"/>
  <c r="J800" i="1"/>
  <c r="B801" i="1"/>
  <c r="C801" i="1"/>
  <c r="D801" i="1"/>
  <c r="E801" i="1"/>
  <c r="F801" i="1"/>
  <c r="G801" i="1"/>
  <c r="H801" i="1"/>
  <c r="I801" i="1"/>
  <c r="J801" i="1"/>
  <c r="B802" i="1"/>
  <c r="C802" i="1"/>
  <c r="D802" i="1"/>
  <c r="E802" i="1"/>
  <c r="F802" i="1"/>
  <c r="G802" i="1"/>
  <c r="H802" i="1"/>
  <c r="I802" i="1"/>
  <c r="J802" i="1"/>
  <c r="B803" i="1"/>
  <c r="C803" i="1"/>
  <c r="D803" i="1"/>
  <c r="E803" i="1"/>
  <c r="F803" i="1"/>
  <c r="G803" i="1"/>
  <c r="H803" i="1"/>
  <c r="I803" i="1"/>
  <c r="J803" i="1"/>
  <c r="B804" i="1"/>
  <c r="C804" i="1"/>
  <c r="D804" i="1"/>
  <c r="E804" i="1"/>
  <c r="F804" i="1"/>
  <c r="G804" i="1"/>
  <c r="H804" i="1"/>
  <c r="I804" i="1"/>
  <c r="J804" i="1"/>
  <c r="B805" i="1"/>
  <c r="C805" i="1"/>
  <c r="D805" i="1"/>
  <c r="E805" i="1"/>
  <c r="F805" i="1"/>
  <c r="G805" i="1"/>
  <c r="H805" i="1"/>
  <c r="I805" i="1"/>
  <c r="J805" i="1"/>
  <c r="B806" i="1"/>
  <c r="C806" i="1"/>
  <c r="D806" i="1"/>
  <c r="E806" i="1"/>
  <c r="F806" i="1"/>
  <c r="G806" i="1"/>
  <c r="H806" i="1"/>
  <c r="I806" i="1"/>
  <c r="J806" i="1"/>
  <c r="B807" i="1"/>
  <c r="C807" i="1"/>
  <c r="D807" i="1"/>
  <c r="E807" i="1"/>
  <c r="F807" i="1"/>
  <c r="G807" i="1"/>
  <c r="H807" i="1"/>
  <c r="I807" i="1"/>
  <c r="J807" i="1"/>
  <c r="B808" i="1"/>
  <c r="C808" i="1"/>
  <c r="D808" i="1"/>
  <c r="E808" i="1"/>
  <c r="F808" i="1"/>
  <c r="G808" i="1"/>
  <c r="H808" i="1"/>
  <c r="I808" i="1"/>
  <c r="J808" i="1"/>
  <c r="B809" i="1"/>
  <c r="C809" i="1"/>
  <c r="D809" i="1"/>
  <c r="E809" i="1"/>
  <c r="F809" i="1"/>
  <c r="G809" i="1"/>
  <c r="H809" i="1"/>
  <c r="I809" i="1"/>
  <c r="J809" i="1"/>
  <c r="B810" i="1"/>
  <c r="C810" i="1"/>
  <c r="D810" i="1"/>
  <c r="E810" i="1"/>
  <c r="F810" i="1"/>
  <c r="G810" i="1"/>
  <c r="H810" i="1"/>
  <c r="I810" i="1"/>
  <c r="J810" i="1"/>
  <c r="B811" i="1"/>
  <c r="C811" i="1"/>
  <c r="D811" i="1"/>
  <c r="E811" i="1"/>
  <c r="F811" i="1"/>
  <c r="G811" i="1"/>
  <c r="H811" i="1"/>
  <c r="I811" i="1"/>
  <c r="J811" i="1"/>
  <c r="B812" i="1"/>
  <c r="C812" i="1"/>
  <c r="D812" i="1"/>
  <c r="E812" i="1"/>
  <c r="F812" i="1"/>
  <c r="G812" i="1"/>
  <c r="H812" i="1"/>
  <c r="I812" i="1"/>
  <c r="J812" i="1"/>
  <c r="B813" i="1"/>
  <c r="C813" i="1"/>
  <c r="D813" i="1"/>
  <c r="E813" i="1"/>
  <c r="F813" i="1"/>
  <c r="G813" i="1"/>
  <c r="H813" i="1"/>
  <c r="I813" i="1"/>
  <c r="J813" i="1"/>
  <c r="B814" i="1"/>
  <c r="C814" i="1"/>
  <c r="D814" i="1"/>
  <c r="E814" i="1"/>
  <c r="F814" i="1"/>
  <c r="G814" i="1"/>
  <c r="H814" i="1"/>
  <c r="I814" i="1"/>
  <c r="J814" i="1"/>
  <c r="B815" i="1"/>
  <c r="C815" i="1"/>
  <c r="D815" i="1"/>
  <c r="E815" i="1"/>
  <c r="F815" i="1"/>
  <c r="G815" i="1"/>
  <c r="H815" i="1"/>
  <c r="I815" i="1"/>
  <c r="J815" i="1"/>
  <c r="B816" i="1"/>
  <c r="C816" i="1"/>
  <c r="D816" i="1"/>
  <c r="E816" i="1"/>
  <c r="F816" i="1"/>
  <c r="G816" i="1"/>
  <c r="H816" i="1"/>
  <c r="I816" i="1"/>
  <c r="J816" i="1"/>
  <c r="B817" i="1"/>
  <c r="C817" i="1"/>
  <c r="D817" i="1"/>
  <c r="E817" i="1"/>
  <c r="F817" i="1"/>
  <c r="G817" i="1"/>
  <c r="H817" i="1"/>
  <c r="I817" i="1"/>
  <c r="J817" i="1"/>
  <c r="B818" i="1"/>
  <c r="C818" i="1"/>
  <c r="D818" i="1"/>
  <c r="E818" i="1"/>
  <c r="F818" i="1"/>
  <c r="G818" i="1"/>
  <c r="H818" i="1"/>
  <c r="I818" i="1"/>
  <c r="J818" i="1"/>
  <c r="B819" i="1"/>
  <c r="C819" i="1"/>
  <c r="D819" i="1"/>
  <c r="E819" i="1"/>
  <c r="F819" i="1"/>
  <c r="G819" i="1"/>
  <c r="H819" i="1"/>
  <c r="I819" i="1"/>
  <c r="J819" i="1"/>
  <c r="B820" i="1"/>
  <c r="C820" i="1"/>
  <c r="D820" i="1"/>
  <c r="E820" i="1"/>
  <c r="F820" i="1"/>
  <c r="G820" i="1"/>
  <c r="H820" i="1"/>
  <c r="I820" i="1"/>
  <c r="J820" i="1"/>
  <c r="B821" i="1"/>
  <c r="C821" i="1"/>
  <c r="D821" i="1"/>
  <c r="E821" i="1"/>
  <c r="F821" i="1"/>
  <c r="G821" i="1"/>
  <c r="H821" i="1"/>
  <c r="I821" i="1"/>
  <c r="J821" i="1"/>
  <c r="B822" i="1"/>
  <c r="C822" i="1"/>
  <c r="D822" i="1"/>
  <c r="E822" i="1"/>
  <c r="F822" i="1"/>
  <c r="G822" i="1"/>
  <c r="H822" i="1"/>
  <c r="I822" i="1"/>
  <c r="J822" i="1"/>
  <c r="B823" i="1"/>
  <c r="C823" i="1"/>
  <c r="D823" i="1"/>
  <c r="E823" i="1"/>
  <c r="F823" i="1"/>
  <c r="G823" i="1"/>
  <c r="H823" i="1"/>
  <c r="I823" i="1"/>
  <c r="J823" i="1"/>
  <c r="B824" i="1"/>
  <c r="C824" i="1"/>
  <c r="D824" i="1"/>
  <c r="E824" i="1"/>
  <c r="F824" i="1"/>
  <c r="G824" i="1"/>
  <c r="H824" i="1"/>
  <c r="I824" i="1"/>
  <c r="J824" i="1"/>
  <c r="B825" i="1"/>
  <c r="C825" i="1"/>
  <c r="D825" i="1"/>
  <c r="E825" i="1"/>
  <c r="F825" i="1"/>
  <c r="G825" i="1"/>
  <c r="H825" i="1"/>
  <c r="I825" i="1"/>
  <c r="J825" i="1"/>
  <c r="B826" i="1"/>
  <c r="C826" i="1"/>
  <c r="D826" i="1"/>
  <c r="E826" i="1"/>
  <c r="F826" i="1"/>
  <c r="G826" i="1"/>
  <c r="H826" i="1"/>
  <c r="I826" i="1"/>
  <c r="J826" i="1"/>
  <c r="B827" i="1"/>
  <c r="C827" i="1"/>
  <c r="D827" i="1"/>
  <c r="E827" i="1"/>
  <c r="F827" i="1"/>
  <c r="G827" i="1"/>
  <c r="H827" i="1"/>
  <c r="I827" i="1"/>
  <c r="J827" i="1"/>
  <c r="B828" i="1"/>
  <c r="C828" i="1"/>
  <c r="D828" i="1"/>
  <c r="E828" i="1"/>
  <c r="F828" i="1"/>
  <c r="G828" i="1"/>
  <c r="H828" i="1"/>
  <c r="I828" i="1"/>
  <c r="J828" i="1"/>
  <c r="B829" i="1"/>
  <c r="C829" i="1"/>
  <c r="D829" i="1"/>
  <c r="E829" i="1"/>
  <c r="F829" i="1"/>
  <c r="G829" i="1"/>
  <c r="H829" i="1"/>
  <c r="I829" i="1"/>
  <c r="J829" i="1"/>
  <c r="B830" i="1"/>
  <c r="C830" i="1"/>
  <c r="D830" i="1"/>
  <c r="E830" i="1"/>
  <c r="F830" i="1"/>
  <c r="G830" i="1"/>
  <c r="H830" i="1"/>
  <c r="I830" i="1"/>
  <c r="J830" i="1"/>
  <c r="B831" i="1"/>
  <c r="C831" i="1"/>
  <c r="D831" i="1"/>
  <c r="E831" i="1"/>
  <c r="F831" i="1"/>
  <c r="G831" i="1"/>
  <c r="H831" i="1"/>
  <c r="I831" i="1"/>
  <c r="J831" i="1"/>
  <c r="B832" i="1"/>
  <c r="C832" i="1"/>
  <c r="D832" i="1"/>
  <c r="E832" i="1"/>
  <c r="F832" i="1"/>
  <c r="G832" i="1"/>
  <c r="H832" i="1"/>
  <c r="I832" i="1"/>
  <c r="J832" i="1"/>
  <c r="B833" i="1"/>
  <c r="C833" i="1"/>
  <c r="D833" i="1"/>
  <c r="E833" i="1"/>
  <c r="F833" i="1"/>
  <c r="G833" i="1"/>
  <c r="H833" i="1"/>
  <c r="I833" i="1"/>
  <c r="J833" i="1"/>
  <c r="B834" i="1"/>
  <c r="C834" i="1"/>
  <c r="D834" i="1"/>
  <c r="E834" i="1"/>
  <c r="F834" i="1"/>
  <c r="G834" i="1"/>
  <c r="H834" i="1"/>
  <c r="I834" i="1"/>
  <c r="J834" i="1"/>
  <c r="B835" i="1"/>
  <c r="C835" i="1"/>
  <c r="D835" i="1"/>
  <c r="E835" i="1"/>
  <c r="F835" i="1"/>
  <c r="G835" i="1"/>
  <c r="H835" i="1"/>
  <c r="I835" i="1"/>
  <c r="J835" i="1"/>
  <c r="B836" i="1"/>
  <c r="C836" i="1"/>
  <c r="D836" i="1"/>
  <c r="E836" i="1"/>
  <c r="F836" i="1"/>
  <c r="G836" i="1"/>
  <c r="H836" i="1"/>
  <c r="I836" i="1"/>
  <c r="J836" i="1"/>
  <c r="B837" i="1"/>
  <c r="C837" i="1"/>
  <c r="D837" i="1"/>
  <c r="E837" i="1"/>
  <c r="F837" i="1"/>
  <c r="G837" i="1"/>
  <c r="H837" i="1"/>
  <c r="I837" i="1"/>
  <c r="J837" i="1"/>
  <c r="B838" i="1"/>
  <c r="C838" i="1"/>
  <c r="D838" i="1"/>
  <c r="E838" i="1"/>
  <c r="F838" i="1"/>
  <c r="G838" i="1"/>
  <c r="H838" i="1"/>
  <c r="I838" i="1"/>
  <c r="J838" i="1"/>
  <c r="B839" i="1"/>
  <c r="C839" i="1"/>
  <c r="D839" i="1"/>
  <c r="E839" i="1"/>
  <c r="F839" i="1"/>
  <c r="G839" i="1"/>
  <c r="H839" i="1"/>
  <c r="I839" i="1"/>
  <c r="J839" i="1"/>
  <c r="B840" i="1"/>
  <c r="C840" i="1"/>
  <c r="D840" i="1"/>
  <c r="E840" i="1"/>
  <c r="F840" i="1"/>
  <c r="G840" i="1"/>
  <c r="H840" i="1"/>
  <c r="I840" i="1"/>
  <c r="J840" i="1"/>
  <c r="B841" i="1"/>
  <c r="C841" i="1"/>
  <c r="D841" i="1"/>
  <c r="E841" i="1"/>
  <c r="F841" i="1"/>
  <c r="G841" i="1"/>
  <c r="H841" i="1"/>
  <c r="I841" i="1"/>
  <c r="J841" i="1"/>
  <c r="B842" i="1"/>
  <c r="C842" i="1"/>
  <c r="D842" i="1"/>
  <c r="E842" i="1"/>
  <c r="F842" i="1"/>
  <c r="G842" i="1"/>
  <c r="H842" i="1"/>
  <c r="I842" i="1"/>
  <c r="J842" i="1"/>
  <c r="B843" i="1"/>
  <c r="C843" i="1"/>
  <c r="D843" i="1"/>
  <c r="E843" i="1"/>
  <c r="F843" i="1"/>
  <c r="G843" i="1"/>
  <c r="H843" i="1"/>
  <c r="I843" i="1"/>
  <c r="J843" i="1"/>
  <c r="B844" i="1"/>
  <c r="C844" i="1"/>
  <c r="D844" i="1"/>
  <c r="E844" i="1"/>
  <c r="F844" i="1"/>
  <c r="G844" i="1"/>
  <c r="H844" i="1"/>
  <c r="I844" i="1"/>
  <c r="J844" i="1"/>
  <c r="B845" i="1"/>
  <c r="C845" i="1"/>
  <c r="D845" i="1"/>
  <c r="E845" i="1"/>
  <c r="F845" i="1"/>
  <c r="G845" i="1"/>
  <c r="H845" i="1"/>
  <c r="I845" i="1"/>
  <c r="J845" i="1"/>
  <c r="B846" i="1"/>
  <c r="C846" i="1"/>
  <c r="D846" i="1"/>
  <c r="E846" i="1"/>
  <c r="F846" i="1"/>
  <c r="G846" i="1"/>
  <c r="H846" i="1"/>
  <c r="I846" i="1"/>
  <c r="J846" i="1"/>
  <c r="B847" i="1"/>
  <c r="C847" i="1"/>
  <c r="D847" i="1"/>
  <c r="E847" i="1"/>
  <c r="F847" i="1"/>
  <c r="G847" i="1"/>
  <c r="H847" i="1"/>
  <c r="I847" i="1"/>
  <c r="J847" i="1"/>
  <c r="B848" i="1"/>
  <c r="C848" i="1"/>
  <c r="D848" i="1"/>
  <c r="E848" i="1"/>
  <c r="F848" i="1"/>
  <c r="G848" i="1"/>
  <c r="H848" i="1"/>
  <c r="I848" i="1"/>
  <c r="J848" i="1"/>
  <c r="B849" i="1"/>
  <c r="C849" i="1"/>
  <c r="D849" i="1"/>
  <c r="E849" i="1"/>
  <c r="F849" i="1"/>
  <c r="G849" i="1"/>
  <c r="H849" i="1"/>
  <c r="I849" i="1"/>
  <c r="J849" i="1"/>
  <c r="B850" i="1"/>
  <c r="C850" i="1"/>
  <c r="D850" i="1"/>
  <c r="E850" i="1"/>
  <c r="F850" i="1"/>
  <c r="G850" i="1"/>
  <c r="H850" i="1"/>
  <c r="I850" i="1"/>
  <c r="J850" i="1"/>
  <c r="B851" i="1"/>
  <c r="C851" i="1"/>
  <c r="D851" i="1"/>
  <c r="E851" i="1"/>
  <c r="F851" i="1"/>
  <c r="G851" i="1"/>
  <c r="H851" i="1"/>
  <c r="I851" i="1"/>
  <c r="J851" i="1"/>
  <c r="B852" i="1"/>
  <c r="C852" i="1"/>
  <c r="D852" i="1"/>
  <c r="E852" i="1"/>
  <c r="F852" i="1"/>
  <c r="G852" i="1"/>
  <c r="H852" i="1"/>
  <c r="I852" i="1"/>
  <c r="J852" i="1"/>
  <c r="B853" i="1"/>
  <c r="C853" i="1"/>
  <c r="D853" i="1"/>
  <c r="E853" i="1"/>
  <c r="F853" i="1"/>
  <c r="G853" i="1"/>
  <c r="H853" i="1"/>
  <c r="I853" i="1"/>
  <c r="J853" i="1"/>
  <c r="B854" i="1"/>
  <c r="C854" i="1"/>
  <c r="D854" i="1"/>
  <c r="E854" i="1"/>
  <c r="F854" i="1"/>
  <c r="G854" i="1"/>
  <c r="H854" i="1"/>
  <c r="I854" i="1"/>
  <c r="J854" i="1"/>
  <c r="B855" i="1"/>
  <c r="C855" i="1"/>
  <c r="D855" i="1"/>
  <c r="E855" i="1"/>
  <c r="F855" i="1"/>
  <c r="G855" i="1"/>
  <c r="H855" i="1"/>
  <c r="I855" i="1"/>
  <c r="J855" i="1"/>
  <c r="B856" i="1"/>
  <c r="C856" i="1"/>
  <c r="D856" i="1"/>
  <c r="E856" i="1"/>
  <c r="F856" i="1"/>
  <c r="G856" i="1"/>
  <c r="H856" i="1"/>
  <c r="I856" i="1"/>
  <c r="J856" i="1"/>
  <c r="B857" i="1"/>
  <c r="C857" i="1"/>
  <c r="D857" i="1"/>
  <c r="E857" i="1"/>
  <c r="F857" i="1"/>
  <c r="G857" i="1"/>
  <c r="H857" i="1"/>
  <c r="I857" i="1"/>
  <c r="J857" i="1"/>
  <c r="B858" i="1"/>
  <c r="C858" i="1"/>
  <c r="D858" i="1"/>
  <c r="E858" i="1"/>
  <c r="F858" i="1"/>
  <c r="G858" i="1"/>
  <c r="H858" i="1"/>
  <c r="I858" i="1"/>
  <c r="J858" i="1"/>
  <c r="B859" i="1"/>
  <c r="C859" i="1"/>
  <c r="D859" i="1"/>
  <c r="E859" i="1"/>
  <c r="F859" i="1"/>
  <c r="G859" i="1"/>
  <c r="H859" i="1"/>
  <c r="I859" i="1"/>
  <c r="J859" i="1"/>
  <c r="B860" i="1"/>
  <c r="C860" i="1"/>
  <c r="D860" i="1"/>
  <c r="E860" i="1"/>
  <c r="F860" i="1"/>
  <c r="G860" i="1"/>
  <c r="H860" i="1"/>
  <c r="I860" i="1"/>
  <c r="J860" i="1"/>
  <c r="B861" i="1"/>
  <c r="C861" i="1"/>
  <c r="D861" i="1"/>
  <c r="E861" i="1"/>
  <c r="F861" i="1"/>
  <c r="G861" i="1"/>
  <c r="H861" i="1"/>
  <c r="I861" i="1"/>
  <c r="J861" i="1"/>
  <c r="B862" i="1"/>
  <c r="C862" i="1"/>
  <c r="D862" i="1"/>
  <c r="E862" i="1"/>
  <c r="F862" i="1"/>
  <c r="G862" i="1"/>
  <c r="H862" i="1"/>
  <c r="I862" i="1"/>
  <c r="J862" i="1"/>
  <c r="B863" i="1"/>
  <c r="C863" i="1"/>
  <c r="D863" i="1"/>
  <c r="E863" i="1"/>
  <c r="F863" i="1"/>
  <c r="G863" i="1"/>
  <c r="H863" i="1"/>
  <c r="I863" i="1"/>
  <c r="J863" i="1"/>
  <c r="B864" i="1"/>
  <c r="C864" i="1"/>
  <c r="D864" i="1"/>
  <c r="E864" i="1"/>
  <c r="F864" i="1"/>
  <c r="G864" i="1"/>
  <c r="H864" i="1"/>
  <c r="I864" i="1"/>
  <c r="J864" i="1"/>
  <c r="B865" i="1"/>
  <c r="C865" i="1"/>
  <c r="D865" i="1"/>
  <c r="E865" i="1"/>
  <c r="F865" i="1"/>
  <c r="G865" i="1"/>
  <c r="H865" i="1"/>
  <c r="I865" i="1"/>
  <c r="J865" i="1"/>
  <c r="B866" i="1"/>
  <c r="C866" i="1"/>
  <c r="D866" i="1"/>
  <c r="E866" i="1"/>
  <c r="F866" i="1"/>
  <c r="G866" i="1"/>
  <c r="H866" i="1"/>
  <c r="I866" i="1"/>
  <c r="J866" i="1"/>
  <c r="B867" i="1"/>
  <c r="C867" i="1"/>
  <c r="D867" i="1"/>
  <c r="E867" i="1"/>
  <c r="F867" i="1"/>
  <c r="G867" i="1"/>
  <c r="H867" i="1"/>
  <c r="I867" i="1"/>
  <c r="J867" i="1"/>
  <c r="B868" i="1"/>
  <c r="C868" i="1"/>
  <c r="D868" i="1"/>
  <c r="E868" i="1"/>
  <c r="F868" i="1"/>
  <c r="G868" i="1"/>
  <c r="H868" i="1"/>
  <c r="I868" i="1"/>
  <c r="J868" i="1"/>
  <c r="B869" i="1"/>
  <c r="C869" i="1"/>
  <c r="D869" i="1"/>
  <c r="E869" i="1"/>
  <c r="F869" i="1"/>
  <c r="G869" i="1"/>
  <c r="H869" i="1"/>
  <c r="I869" i="1"/>
  <c r="J869" i="1"/>
  <c r="B870" i="1"/>
  <c r="C870" i="1"/>
  <c r="D870" i="1"/>
  <c r="E870" i="1"/>
  <c r="F870" i="1"/>
  <c r="G870" i="1"/>
  <c r="H870" i="1"/>
  <c r="I870" i="1"/>
  <c r="J870" i="1"/>
  <c r="B871" i="1"/>
  <c r="C871" i="1"/>
  <c r="D871" i="1"/>
  <c r="E871" i="1"/>
  <c r="F871" i="1"/>
  <c r="G871" i="1"/>
  <c r="H871" i="1"/>
  <c r="I871" i="1"/>
  <c r="J871" i="1"/>
  <c r="B872" i="1"/>
  <c r="C872" i="1"/>
  <c r="D872" i="1"/>
  <c r="E872" i="1"/>
  <c r="F872" i="1"/>
  <c r="G872" i="1"/>
  <c r="H872" i="1"/>
  <c r="I872" i="1"/>
  <c r="J872" i="1"/>
  <c r="B873" i="1"/>
  <c r="C873" i="1"/>
  <c r="D873" i="1"/>
  <c r="E873" i="1"/>
  <c r="F873" i="1"/>
  <c r="G873" i="1"/>
  <c r="H873" i="1"/>
  <c r="I873" i="1"/>
  <c r="J873" i="1"/>
  <c r="B874" i="1"/>
  <c r="C874" i="1"/>
  <c r="D874" i="1"/>
  <c r="E874" i="1"/>
  <c r="F874" i="1"/>
  <c r="G874" i="1"/>
  <c r="H874" i="1"/>
  <c r="I874" i="1"/>
  <c r="J874" i="1"/>
  <c r="B875" i="1"/>
  <c r="C875" i="1"/>
  <c r="D875" i="1"/>
  <c r="E875" i="1"/>
  <c r="F875" i="1"/>
  <c r="G875" i="1"/>
  <c r="H875" i="1"/>
  <c r="I875" i="1"/>
  <c r="J875" i="1"/>
  <c r="B876" i="1"/>
  <c r="C876" i="1"/>
  <c r="D876" i="1"/>
  <c r="E876" i="1"/>
  <c r="F876" i="1"/>
  <c r="G876" i="1"/>
  <c r="H876" i="1"/>
  <c r="I876" i="1"/>
  <c r="J876" i="1"/>
  <c r="B877" i="1"/>
  <c r="C877" i="1"/>
  <c r="D877" i="1"/>
  <c r="E877" i="1"/>
  <c r="F877" i="1"/>
  <c r="G877" i="1"/>
  <c r="H877" i="1"/>
  <c r="I877" i="1"/>
  <c r="J877" i="1"/>
  <c r="B878" i="1"/>
  <c r="C878" i="1"/>
  <c r="D878" i="1"/>
  <c r="E878" i="1"/>
  <c r="F878" i="1"/>
  <c r="G878" i="1"/>
  <c r="H878" i="1"/>
  <c r="I878" i="1"/>
  <c r="J878" i="1"/>
  <c r="B879" i="1"/>
  <c r="C879" i="1"/>
  <c r="D879" i="1"/>
  <c r="E879" i="1"/>
  <c r="F879" i="1"/>
  <c r="G879" i="1"/>
  <c r="H879" i="1"/>
  <c r="I879" i="1"/>
  <c r="J879" i="1"/>
  <c r="B880" i="1"/>
  <c r="C880" i="1"/>
  <c r="D880" i="1"/>
  <c r="E880" i="1"/>
  <c r="F880" i="1"/>
  <c r="G880" i="1"/>
  <c r="H880" i="1"/>
  <c r="I880" i="1"/>
  <c r="J880" i="1"/>
  <c r="B881" i="1"/>
  <c r="C881" i="1"/>
  <c r="D881" i="1"/>
  <c r="E881" i="1"/>
  <c r="F881" i="1"/>
  <c r="G881" i="1"/>
  <c r="H881" i="1"/>
  <c r="I881" i="1"/>
  <c r="J881" i="1"/>
  <c r="B882" i="1"/>
  <c r="C882" i="1"/>
  <c r="D882" i="1"/>
  <c r="E882" i="1"/>
  <c r="F882" i="1"/>
  <c r="G882" i="1"/>
  <c r="H882" i="1"/>
  <c r="I882" i="1"/>
  <c r="J882" i="1"/>
  <c r="B883" i="1"/>
  <c r="C883" i="1"/>
  <c r="D883" i="1"/>
  <c r="E883" i="1"/>
  <c r="F883" i="1"/>
  <c r="G883" i="1"/>
  <c r="H883" i="1"/>
  <c r="I883" i="1"/>
  <c r="J883" i="1"/>
  <c r="B884" i="1"/>
  <c r="C884" i="1"/>
  <c r="D884" i="1"/>
  <c r="E884" i="1"/>
  <c r="F884" i="1"/>
  <c r="G884" i="1"/>
  <c r="H884" i="1"/>
  <c r="I884" i="1"/>
  <c r="J884" i="1"/>
  <c r="B885" i="1"/>
  <c r="C885" i="1"/>
  <c r="D885" i="1"/>
  <c r="E885" i="1"/>
  <c r="F885" i="1"/>
  <c r="G885" i="1"/>
  <c r="H885" i="1"/>
  <c r="I885" i="1"/>
  <c r="J885" i="1"/>
  <c r="B886" i="1"/>
  <c r="C886" i="1"/>
  <c r="D886" i="1"/>
  <c r="E886" i="1"/>
  <c r="F886" i="1"/>
  <c r="G886" i="1"/>
  <c r="H886" i="1"/>
  <c r="I886" i="1"/>
  <c r="J886" i="1"/>
  <c r="B887" i="1"/>
  <c r="C887" i="1"/>
  <c r="D887" i="1"/>
  <c r="E887" i="1"/>
  <c r="F887" i="1"/>
  <c r="G887" i="1"/>
  <c r="H887" i="1"/>
  <c r="I887" i="1"/>
  <c r="J887" i="1"/>
  <c r="B888" i="1"/>
  <c r="C888" i="1"/>
  <c r="D888" i="1"/>
  <c r="E888" i="1"/>
  <c r="F888" i="1"/>
  <c r="G888" i="1"/>
  <c r="H888" i="1"/>
  <c r="I888" i="1"/>
  <c r="J888" i="1"/>
  <c r="B889" i="1"/>
  <c r="C889" i="1"/>
  <c r="D889" i="1"/>
  <c r="E889" i="1"/>
  <c r="F889" i="1"/>
  <c r="G889" i="1"/>
  <c r="H889" i="1"/>
  <c r="I889" i="1"/>
  <c r="J889" i="1"/>
  <c r="B890" i="1"/>
  <c r="C890" i="1"/>
  <c r="D890" i="1"/>
  <c r="E890" i="1"/>
  <c r="F890" i="1"/>
  <c r="G890" i="1"/>
  <c r="H890" i="1"/>
  <c r="I890" i="1"/>
  <c r="J890" i="1"/>
  <c r="B891" i="1"/>
  <c r="C891" i="1"/>
  <c r="D891" i="1"/>
  <c r="E891" i="1"/>
  <c r="F891" i="1"/>
  <c r="G891" i="1"/>
  <c r="H891" i="1"/>
  <c r="I891" i="1"/>
  <c r="J891" i="1"/>
  <c r="B892" i="1"/>
  <c r="C892" i="1"/>
  <c r="D892" i="1"/>
  <c r="E892" i="1"/>
  <c r="F892" i="1"/>
  <c r="G892" i="1"/>
  <c r="H892" i="1"/>
  <c r="I892" i="1"/>
  <c r="J892" i="1"/>
  <c r="B893" i="1"/>
  <c r="C893" i="1"/>
  <c r="D893" i="1"/>
  <c r="E893" i="1"/>
  <c r="F893" i="1"/>
  <c r="G893" i="1"/>
  <c r="H893" i="1"/>
  <c r="I893" i="1"/>
  <c r="J893" i="1"/>
  <c r="B894" i="1"/>
  <c r="C894" i="1"/>
  <c r="D894" i="1"/>
  <c r="E894" i="1"/>
  <c r="F894" i="1"/>
  <c r="G894" i="1"/>
  <c r="H894" i="1"/>
  <c r="I894" i="1"/>
  <c r="J894" i="1"/>
  <c r="B895" i="1"/>
  <c r="C895" i="1"/>
  <c r="D895" i="1"/>
  <c r="E895" i="1"/>
  <c r="F895" i="1"/>
  <c r="G895" i="1"/>
  <c r="H895" i="1"/>
  <c r="I895" i="1"/>
  <c r="J895" i="1"/>
  <c r="B896" i="1"/>
  <c r="C896" i="1"/>
  <c r="D896" i="1"/>
  <c r="E896" i="1"/>
  <c r="F896" i="1"/>
  <c r="G896" i="1"/>
  <c r="H896" i="1"/>
  <c r="I896" i="1"/>
  <c r="J896" i="1"/>
  <c r="B897" i="1"/>
  <c r="C897" i="1"/>
  <c r="D897" i="1"/>
  <c r="E897" i="1"/>
  <c r="F897" i="1"/>
  <c r="G897" i="1"/>
  <c r="H897" i="1"/>
  <c r="I897" i="1"/>
  <c r="J897" i="1"/>
  <c r="B898" i="1"/>
  <c r="C898" i="1"/>
  <c r="D898" i="1"/>
  <c r="E898" i="1"/>
  <c r="F898" i="1"/>
  <c r="G898" i="1"/>
  <c r="H898" i="1"/>
  <c r="I898" i="1"/>
  <c r="J898" i="1"/>
  <c r="B899" i="1"/>
  <c r="C899" i="1"/>
  <c r="D899" i="1"/>
  <c r="E899" i="1"/>
  <c r="F899" i="1"/>
  <c r="G899" i="1"/>
  <c r="H899" i="1"/>
  <c r="I899" i="1"/>
  <c r="J899" i="1"/>
  <c r="B900" i="1"/>
  <c r="C900" i="1"/>
  <c r="D900" i="1"/>
  <c r="E900" i="1"/>
  <c r="F900" i="1"/>
  <c r="G900" i="1"/>
  <c r="H900" i="1"/>
  <c r="I900" i="1"/>
  <c r="J900" i="1"/>
  <c r="B901" i="1"/>
  <c r="C901" i="1"/>
  <c r="D901" i="1"/>
  <c r="E901" i="1"/>
  <c r="F901" i="1"/>
  <c r="G901" i="1"/>
  <c r="H901" i="1"/>
  <c r="I901" i="1"/>
  <c r="J901" i="1"/>
  <c r="B902" i="1"/>
  <c r="C902" i="1"/>
  <c r="D902" i="1"/>
  <c r="E902" i="1"/>
  <c r="F902" i="1"/>
  <c r="G902" i="1"/>
  <c r="H902" i="1"/>
  <c r="I902" i="1"/>
  <c r="J902" i="1"/>
  <c r="B903" i="1"/>
  <c r="C903" i="1"/>
  <c r="D903" i="1"/>
  <c r="E903" i="1"/>
  <c r="F903" i="1"/>
  <c r="G903" i="1"/>
  <c r="H903" i="1"/>
  <c r="I903" i="1"/>
  <c r="J903" i="1"/>
  <c r="B904" i="1"/>
  <c r="C904" i="1"/>
  <c r="D904" i="1"/>
  <c r="E904" i="1"/>
  <c r="F904" i="1"/>
  <c r="G904" i="1"/>
  <c r="H904" i="1"/>
  <c r="I904" i="1"/>
  <c r="J904" i="1"/>
  <c r="B905" i="1"/>
  <c r="C905" i="1"/>
  <c r="D905" i="1"/>
  <c r="E905" i="1"/>
  <c r="F905" i="1"/>
  <c r="G905" i="1"/>
  <c r="H905" i="1"/>
  <c r="I905" i="1"/>
  <c r="J905" i="1"/>
  <c r="B906" i="1"/>
  <c r="C906" i="1"/>
  <c r="D906" i="1"/>
  <c r="E906" i="1"/>
  <c r="F906" i="1"/>
  <c r="G906" i="1"/>
  <c r="H906" i="1"/>
  <c r="I906" i="1"/>
  <c r="J906" i="1"/>
  <c r="B907" i="1"/>
  <c r="C907" i="1"/>
  <c r="D907" i="1"/>
  <c r="E907" i="1"/>
  <c r="F907" i="1"/>
  <c r="G907" i="1"/>
  <c r="H907" i="1"/>
  <c r="I907" i="1"/>
  <c r="J907" i="1"/>
  <c r="B908" i="1"/>
  <c r="C908" i="1"/>
  <c r="D908" i="1"/>
  <c r="E908" i="1"/>
  <c r="F908" i="1"/>
  <c r="G908" i="1"/>
  <c r="H908" i="1"/>
  <c r="I908" i="1"/>
  <c r="J908" i="1"/>
  <c r="B909" i="1"/>
  <c r="C909" i="1"/>
  <c r="D909" i="1"/>
  <c r="E909" i="1"/>
  <c r="F909" i="1"/>
  <c r="G909" i="1"/>
  <c r="H909" i="1"/>
  <c r="I909" i="1"/>
  <c r="J909" i="1"/>
  <c r="B910" i="1"/>
  <c r="C910" i="1"/>
  <c r="D910" i="1"/>
  <c r="E910" i="1"/>
  <c r="F910" i="1"/>
  <c r="G910" i="1"/>
  <c r="H910" i="1"/>
  <c r="I910" i="1"/>
  <c r="J910" i="1"/>
  <c r="B911" i="1"/>
  <c r="C911" i="1"/>
  <c r="D911" i="1"/>
  <c r="E911" i="1"/>
  <c r="F911" i="1"/>
  <c r="G911" i="1"/>
  <c r="H911" i="1"/>
  <c r="I911" i="1"/>
  <c r="J911" i="1"/>
  <c r="B912" i="1"/>
  <c r="C912" i="1"/>
  <c r="D912" i="1"/>
  <c r="E912" i="1"/>
  <c r="F912" i="1"/>
  <c r="G912" i="1"/>
  <c r="H912" i="1"/>
  <c r="I912" i="1"/>
  <c r="J912" i="1"/>
  <c r="B913" i="1"/>
  <c r="C913" i="1"/>
  <c r="D913" i="1"/>
  <c r="E913" i="1"/>
  <c r="F913" i="1"/>
  <c r="G913" i="1"/>
  <c r="H913" i="1"/>
  <c r="I913" i="1"/>
  <c r="J913" i="1"/>
  <c r="B914" i="1"/>
  <c r="C914" i="1"/>
  <c r="D914" i="1"/>
  <c r="E914" i="1"/>
  <c r="F914" i="1"/>
  <c r="G914" i="1"/>
  <c r="H914" i="1"/>
  <c r="I914" i="1"/>
  <c r="J914" i="1"/>
  <c r="B915" i="1"/>
  <c r="C915" i="1"/>
  <c r="D915" i="1"/>
  <c r="E915" i="1"/>
  <c r="F915" i="1"/>
  <c r="G915" i="1"/>
  <c r="H915" i="1"/>
  <c r="I915" i="1"/>
  <c r="J915" i="1"/>
  <c r="B916" i="1"/>
  <c r="C916" i="1"/>
  <c r="D916" i="1"/>
  <c r="E916" i="1"/>
  <c r="F916" i="1"/>
  <c r="G916" i="1"/>
  <c r="H916" i="1"/>
  <c r="I916" i="1"/>
  <c r="J916" i="1"/>
  <c r="B917" i="1"/>
  <c r="C917" i="1"/>
  <c r="D917" i="1"/>
  <c r="E917" i="1"/>
  <c r="F917" i="1"/>
  <c r="G917" i="1"/>
  <c r="H917" i="1"/>
  <c r="I917" i="1"/>
  <c r="J917" i="1"/>
  <c r="B918" i="1"/>
  <c r="C918" i="1"/>
  <c r="D918" i="1"/>
  <c r="E918" i="1"/>
  <c r="F918" i="1"/>
  <c r="G918" i="1"/>
  <c r="H918" i="1"/>
  <c r="I918" i="1"/>
  <c r="J918" i="1"/>
  <c r="B919" i="1"/>
  <c r="C919" i="1"/>
  <c r="D919" i="1"/>
  <c r="E919" i="1"/>
  <c r="F919" i="1"/>
  <c r="G919" i="1"/>
  <c r="H919" i="1"/>
  <c r="I919" i="1"/>
  <c r="J919" i="1"/>
  <c r="B920" i="1"/>
  <c r="C920" i="1"/>
  <c r="D920" i="1"/>
  <c r="E920" i="1"/>
  <c r="F920" i="1"/>
  <c r="G920" i="1"/>
  <c r="H920" i="1"/>
  <c r="I920" i="1"/>
  <c r="J920" i="1"/>
  <c r="B921" i="1"/>
  <c r="C921" i="1"/>
  <c r="D921" i="1"/>
  <c r="E921" i="1"/>
  <c r="F921" i="1"/>
  <c r="G921" i="1"/>
  <c r="H921" i="1"/>
  <c r="I921" i="1"/>
  <c r="J921" i="1"/>
  <c r="B922" i="1"/>
  <c r="C922" i="1"/>
  <c r="D922" i="1"/>
  <c r="E922" i="1"/>
  <c r="F922" i="1"/>
  <c r="G922" i="1"/>
  <c r="H922" i="1"/>
  <c r="I922" i="1"/>
  <c r="J922" i="1"/>
  <c r="B923" i="1"/>
  <c r="C923" i="1"/>
  <c r="D923" i="1"/>
  <c r="E923" i="1"/>
  <c r="F923" i="1"/>
  <c r="G923" i="1"/>
  <c r="H923" i="1"/>
  <c r="I923" i="1"/>
  <c r="J923" i="1"/>
  <c r="B924" i="1"/>
  <c r="C924" i="1"/>
  <c r="D924" i="1"/>
  <c r="E924" i="1"/>
  <c r="F924" i="1"/>
  <c r="G924" i="1"/>
  <c r="H924" i="1"/>
  <c r="I924" i="1"/>
  <c r="J924" i="1"/>
  <c r="B925" i="1"/>
  <c r="C925" i="1"/>
  <c r="D925" i="1"/>
  <c r="E925" i="1"/>
  <c r="F925" i="1"/>
  <c r="G925" i="1"/>
  <c r="H925" i="1"/>
  <c r="I925" i="1"/>
  <c r="J925" i="1"/>
  <c r="B926" i="1"/>
  <c r="C926" i="1"/>
  <c r="D926" i="1"/>
  <c r="E926" i="1"/>
  <c r="F926" i="1"/>
  <c r="G926" i="1"/>
  <c r="H926" i="1"/>
  <c r="I926" i="1"/>
  <c r="J926" i="1"/>
  <c r="B927" i="1"/>
  <c r="C927" i="1"/>
  <c r="D927" i="1"/>
  <c r="E927" i="1"/>
  <c r="F927" i="1"/>
  <c r="G927" i="1"/>
  <c r="H927" i="1"/>
  <c r="I927" i="1"/>
  <c r="J927" i="1"/>
  <c r="B928" i="1"/>
  <c r="C928" i="1"/>
  <c r="D928" i="1"/>
  <c r="E928" i="1"/>
  <c r="F928" i="1"/>
  <c r="G928" i="1"/>
  <c r="H928" i="1"/>
  <c r="I928" i="1"/>
  <c r="J928" i="1"/>
  <c r="B929" i="1"/>
  <c r="C929" i="1"/>
  <c r="D929" i="1"/>
  <c r="E929" i="1"/>
  <c r="F929" i="1"/>
  <c r="G929" i="1"/>
  <c r="H929" i="1"/>
  <c r="I929" i="1"/>
  <c r="J929" i="1"/>
  <c r="B930" i="1"/>
  <c r="C930" i="1"/>
  <c r="D930" i="1"/>
  <c r="E930" i="1"/>
  <c r="F930" i="1"/>
  <c r="G930" i="1"/>
  <c r="H930" i="1"/>
  <c r="I930" i="1"/>
  <c r="J930" i="1"/>
  <c r="B931" i="1"/>
  <c r="C931" i="1"/>
  <c r="D931" i="1"/>
  <c r="E931" i="1"/>
  <c r="F931" i="1"/>
  <c r="G931" i="1"/>
  <c r="H931" i="1"/>
  <c r="I931" i="1"/>
  <c r="J931" i="1"/>
  <c r="B932" i="1"/>
  <c r="C932" i="1"/>
  <c r="D932" i="1"/>
  <c r="E932" i="1"/>
  <c r="F932" i="1"/>
  <c r="G932" i="1"/>
  <c r="H932" i="1"/>
  <c r="I932" i="1"/>
  <c r="J932" i="1"/>
  <c r="B933" i="1"/>
  <c r="C933" i="1"/>
  <c r="D933" i="1"/>
  <c r="E933" i="1"/>
  <c r="F933" i="1"/>
  <c r="G933" i="1"/>
  <c r="H933" i="1"/>
  <c r="I933" i="1"/>
  <c r="J933" i="1"/>
  <c r="B934" i="1"/>
  <c r="C934" i="1"/>
  <c r="D934" i="1"/>
  <c r="E934" i="1"/>
  <c r="F934" i="1"/>
  <c r="G934" i="1"/>
  <c r="H934" i="1"/>
  <c r="I934" i="1"/>
  <c r="J934" i="1"/>
  <c r="B935" i="1"/>
  <c r="C935" i="1"/>
  <c r="D935" i="1"/>
  <c r="E935" i="1"/>
  <c r="F935" i="1"/>
  <c r="G935" i="1"/>
  <c r="H935" i="1"/>
  <c r="I935" i="1"/>
  <c r="J935" i="1"/>
  <c r="B936" i="1"/>
  <c r="C936" i="1"/>
  <c r="D936" i="1"/>
  <c r="E936" i="1"/>
  <c r="F936" i="1"/>
  <c r="G936" i="1"/>
  <c r="H936" i="1"/>
  <c r="I936" i="1"/>
  <c r="J936" i="1"/>
  <c r="B937" i="1"/>
  <c r="C937" i="1"/>
  <c r="D937" i="1"/>
  <c r="E937" i="1"/>
  <c r="F937" i="1"/>
  <c r="G937" i="1"/>
  <c r="H937" i="1"/>
  <c r="I937" i="1"/>
  <c r="J937" i="1"/>
  <c r="B938" i="1"/>
  <c r="C938" i="1"/>
  <c r="D938" i="1"/>
  <c r="E938" i="1"/>
  <c r="F938" i="1"/>
  <c r="G938" i="1"/>
  <c r="H938" i="1"/>
  <c r="I938" i="1"/>
  <c r="J938" i="1"/>
  <c r="B939" i="1"/>
  <c r="C939" i="1"/>
  <c r="D939" i="1"/>
  <c r="E939" i="1"/>
  <c r="F939" i="1"/>
  <c r="G939" i="1"/>
  <c r="H939" i="1"/>
  <c r="I939" i="1"/>
  <c r="J939" i="1"/>
  <c r="B940" i="1"/>
  <c r="C940" i="1"/>
  <c r="D940" i="1"/>
  <c r="E940" i="1"/>
  <c r="F940" i="1"/>
  <c r="G940" i="1"/>
  <c r="H940" i="1"/>
  <c r="I940" i="1"/>
  <c r="J940" i="1"/>
  <c r="B941" i="1"/>
  <c r="C941" i="1"/>
  <c r="D941" i="1"/>
  <c r="E941" i="1"/>
  <c r="F941" i="1"/>
  <c r="G941" i="1"/>
  <c r="H941" i="1"/>
  <c r="I941" i="1"/>
  <c r="J941" i="1"/>
  <c r="B942" i="1"/>
  <c r="C942" i="1"/>
  <c r="D942" i="1"/>
  <c r="E942" i="1"/>
  <c r="F942" i="1"/>
  <c r="G942" i="1"/>
  <c r="H942" i="1"/>
  <c r="I942" i="1"/>
  <c r="J942" i="1"/>
  <c r="B943" i="1"/>
  <c r="C943" i="1"/>
  <c r="D943" i="1"/>
  <c r="E943" i="1"/>
  <c r="F943" i="1"/>
  <c r="G943" i="1"/>
  <c r="H943" i="1"/>
  <c r="I943" i="1"/>
  <c r="J943" i="1"/>
  <c r="B944" i="1"/>
  <c r="C944" i="1"/>
  <c r="D944" i="1"/>
  <c r="E944" i="1"/>
  <c r="F944" i="1"/>
  <c r="G944" i="1"/>
  <c r="H944" i="1"/>
  <c r="I944" i="1"/>
  <c r="J944" i="1"/>
  <c r="B945" i="1"/>
  <c r="C945" i="1"/>
  <c r="D945" i="1"/>
  <c r="E945" i="1"/>
  <c r="F945" i="1"/>
  <c r="G945" i="1"/>
  <c r="H945" i="1"/>
  <c r="I945" i="1"/>
  <c r="J945" i="1"/>
  <c r="B946" i="1"/>
  <c r="C946" i="1"/>
  <c r="D946" i="1"/>
  <c r="E946" i="1"/>
  <c r="F946" i="1"/>
  <c r="G946" i="1"/>
  <c r="H946" i="1"/>
  <c r="I946" i="1"/>
  <c r="J946" i="1"/>
  <c r="B947" i="1"/>
  <c r="C947" i="1"/>
  <c r="D947" i="1"/>
  <c r="E947" i="1"/>
  <c r="F947" i="1"/>
  <c r="G947" i="1"/>
  <c r="H947" i="1"/>
  <c r="I947" i="1"/>
  <c r="J947" i="1"/>
  <c r="B948" i="1"/>
  <c r="C948" i="1"/>
  <c r="D948" i="1"/>
  <c r="E948" i="1"/>
  <c r="F948" i="1"/>
  <c r="G948" i="1"/>
  <c r="H948" i="1"/>
  <c r="I948" i="1"/>
  <c r="J948" i="1"/>
  <c r="B949" i="1"/>
  <c r="C949" i="1"/>
  <c r="D949" i="1"/>
  <c r="E949" i="1"/>
  <c r="F949" i="1"/>
  <c r="G949" i="1"/>
  <c r="H949" i="1"/>
  <c r="I949" i="1"/>
  <c r="J949" i="1"/>
  <c r="B950" i="1"/>
  <c r="C950" i="1"/>
  <c r="D950" i="1"/>
  <c r="E950" i="1"/>
  <c r="F950" i="1"/>
  <c r="G950" i="1"/>
  <c r="H950" i="1"/>
  <c r="I950" i="1"/>
  <c r="J950" i="1"/>
  <c r="B951" i="1"/>
  <c r="C951" i="1"/>
  <c r="D951" i="1"/>
  <c r="E951" i="1"/>
  <c r="F951" i="1"/>
  <c r="G951" i="1"/>
  <c r="H951" i="1"/>
  <c r="I951" i="1"/>
  <c r="J951" i="1"/>
  <c r="B952" i="1"/>
  <c r="C952" i="1"/>
  <c r="D952" i="1"/>
  <c r="E952" i="1"/>
  <c r="F952" i="1"/>
  <c r="G952" i="1"/>
  <c r="H952" i="1"/>
  <c r="I952" i="1"/>
  <c r="J952" i="1"/>
  <c r="B953" i="1"/>
  <c r="C953" i="1"/>
  <c r="D953" i="1"/>
  <c r="E953" i="1"/>
  <c r="F953" i="1"/>
  <c r="G953" i="1"/>
  <c r="H953" i="1"/>
  <c r="I953" i="1"/>
  <c r="J953" i="1"/>
  <c r="B954" i="1"/>
  <c r="C954" i="1"/>
  <c r="D954" i="1"/>
  <c r="E954" i="1"/>
  <c r="F954" i="1"/>
  <c r="G954" i="1"/>
  <c r="H954" i="1"/>
  <c r="I954" i="1"/>
  <c r="J954" i="1"/>
  <c r="B955" i="1"/>
  <c r="C955" i="1"/>
  <c r="D955" i="1"/>
  <c r="E955" i="1"/>
  <c r="F955" i="1"/>
  <c r="G955" i="1"/>
  <c r="H955" i="1"/>
  <c r="I955" i="1"/>
  <c r="J955" i="1"/>
  <c r="B956" i="1"/>
  <c r="C956" i="1"/>
  <c r="D956" i="1"/>
  <c r="E956" i="1"/>
  <c r="F956" i="1"/>
  <c r="G956" i="1"/>
  <c r="H956" i="1"/>
  <c r="I956" i="1"/>
  <c r="J956" i="1"/>
  <c r="B957" i="1"/>
  <c r="C957" i="1"/>
  <c r="D957" i="1"/>
  <c r="E957" i="1"/>
  <c r="F957" i="1"/>
  <c r="G957" i="1"/>
  <c r="H957" i="1"/>
  <c r="I957" i="1"/>
  <c r="J957" i="1"/>
  <c r="B958" i="1"/>
  <c r="C958" i="1"/>
  <c r="D958" i="1"/>
  <c r="E958" i="1"/>
  <c r="F958" i="1"/>
  <c r="G958" i="1"/>
  <c r="H958" i="1"/>
  <c r="I958" i="1"/>
  <c r="J958" i="1"/>
  <c r="B959" i="1"/>
  <c r="C959" i="1"/>
  <c r="D959" i="1"/>
  <c r="E959" i="1"/>
  <c r="F959" i="1"/>
  <c r="G959" i="1"/>
  <c r="H959" i="1"/>
  <c r="I959" i="1"/>
  <c r="J959" i="1"/>
  <c r="B960" i="1"/>
  <c r="C960" i="1"/>
  <c r="D960" i="1"/>
  <c r="E960" i="1"/>
  <c r="F960" i="1"/>
  <c r="G960" i="1"/>
  <c r="H960" i="1"/>
  <c r="I960" i="1"/>
  <c r="J960" i="1"/>
  <c r="B961" i="1"/>
  <c r="C961" i="1"/>
  <c r="D961" i="1"/>
  <c r="E961" i="1"/>
  <c r="F961" i="1"/>
  <c r="G961" i="1"/>
  <c r="H961" i="1"/>
  <c r="I961" i="1"/>
  <c r="J961" i="1"/>
  <c r="B962" i="1"/>
  <c r="C962" i="1"/>
  <c r="D962" i="1"/>
  <c r="E962" i="1"/>
  <c r="F962" i="1"/>
  <c r="G962" i="1"/>
  <c r="H962" i="1"/>
  <c r="I962" i="1"/>
  <c r="J962" i="1"/>
  <c r="B963" i="1"/>
  <c r="C963" i="1"/>
  <c r="D963" i="1"/>
  <c r="E963" i="1"/>
  <c r="F963" i="1"/>
  <c r="G963" i="1"/>
  <c r="H963" i="1"/>
  <c r="I963" i="1"/>
  <c r="J963" i="1"/>
  <c r="B964" i="1"/>
  <c r="C964" i="1"/>
  <c r="D964" i="1"/>
  <c r="E964" i="1"/>
  <c r="F964" i="1"/>
  <c r="G964" i="1"/>
  <c r="H964" i="1"/>
  <c r="I964" i="1"/>
  <c r="J964" i="1"/>
  <c r="B965" i="1"/>
  <c r="C965" i="1"/>
  <c r="D965" i="1"/>
  <c r="E965" i="1"/>
  <c r="F965" i="1"/>
  <c r="G965" i="1"/>
  <c r="H965" i="1"/>
  <c r="I965" i="1"/>
  <c r="J965" i="1"/>
  <c r="B966" i="1"/>
  <c r="C966" i="1"/>
  <c r="D966" i="1"/>
  <c r="E966" i="1"/>
  <c r="F966" i="1"/>
  <c r="G966" i="1"/>
  <c r="H966" i="1"/>
  <c r="I966" i="1"/>
  <c r="J966" i="1"/>
  <c r="B967" i="1"/>
  <c r="C967" i="1"/>
  <c r="D967" i="1"/>
  <c r="E967" i="1"/>
  <c r="F967" i="1"/>
  <c r="G967" i="1"/>
  <c r="H967" i="1"/>
  <c r="I967" i="1"/>
  <c r="J967" i="1"/>
  <c r="B968" i="1"/>
  <c r="C968" i="1"/>
  <c r="D968" i="1"/>
  <c r="E968" i="1"/>
  <c r="F968" i="1"/>
  <c r="G968" i="1"/>
  <c r="H968" i="1"/>
  <c r="I968" i="1"/>
  <c r="J968" i="1"/>
  <c r="B969" i="1"/>
  <c r="C969" i="1"/>
  <c r="D969" i="1"/>
  <c r="E969" i="1"/>
  <c r="F969" i="1"/>
  <c r="G969" i="1"/>
  <c r="H969" i="1"/>
  <c r="I969" i="1"/>
  <c r="J969" i="1"/>
  <c r="B970" i="1"/>
  <c r="C970" i="1"/>
  <c r="D970" i="1"/>
  <c r="E970" i="1"/>
  <c r="F970" i="1"/>
  <c r="G970" i="1"/>
  <c r="H970" i="1"/>
  <c r="I970" i="1"/>
  <c r="J970" i="1"/>
  <c r="B971" i="1"/>
  <c r="C971" i="1"/>
  <c r="D971" i="1"/>
  <c r="E971" i="1"/>
  <c r="F971" i="1"/>
  <c r="G971" i="1"/>
  <c r="H971" i="1"/>
  <c r="I971" i="1"/>
  <c r="J971" i="1"/>
  <c r="B972" i="1"/>
  <c r="C972" i="1"/>
  <c r="D972" i="1"/>
  <c r="E972" i="1"/>
  <c r="F972" i="1"/>
  <c r="G972" i="1"/>
  <c r="H972" i="1"/>
  <c r="I972" i="1"/>
  <c r="J972" i="1"/>
  <c r="B973" i="1"/>
  <c r="C973" i="1"/>
  <c r="D973" i="1"/>
  <c r="E973" i="1"/>
  <c r="F973" i="1"/>
  <c r="G973" i="1"/>
  <c r="H973" i="1"/>
  <c r="I973" i="1"/>
  <c r="J973" i="1"/>
  <c r="B974" i="1"/>
  <c r="C974" i="1"/>
  <c r="D974" i="1"/>
  <c r="E974" i="1"/>
  <c r="F974" i="1"/>
  <c r="G974" i="1"/>
  <c r="H974" i="1"/>
  <c r="I974" i="1"/>
  <c r="J974" i="1"/>
  <c r="B975" i="1"/>
  <c r="C975" i="1"/>
  <c r="D975" i="1"/>
  <c r="E975" i="1"/>
  <c r="F975" i="1"/>
  <c r="G975" i="1"/>
  <c r="H975" i="1"/>
  <c r="I975" i="1"/>
  <c r="J975" i="1"/>
  <c r="B976" i="1"/>
  <c r="C976" i="1"/>
  <c r="D976" i="1"/>
  <c r="E976" i="1"/>
  <c r="F976" i="1"/>
  <c r="G976" i="1"/>
  <c r="H976" i="1"/>
  <c r="I976" i="1"/>
  <c r="J976" i="1"/>
  <c r="B977" i="1"/>
  <c r="C977" i="1"/>
  <c r="D977" i="1"/>
  <c r="E977" i="1"/>
  <c r="F977" i="1"/>
  <c r="G977" i="1"/>
  <c r="H977" i="1"/>
  <c r="I977" i="1"/>
  <c r="J977" i="1"/>
  <c r="B978" i="1"/>
  <c r="C978" i="1"/>
  <c r="D978" i="1"/>
  <c r="E978" i="1"/>
  <c r="F978" i="1"/>
  <c r="G978" i="1"/>
  <c r="H978" i="1"/>
  <c r="I978" i="1"/>
  <c r="J978" i="1"/>
  <c r="B979" i="1"/>
  <c r="C979" i="1"/>
  <c r="D979" i="1"/>
  <c r="E979" i="1"/>
  <c r="F979" i="1"/>
  <c r="G979" i="1"/>
  <c r="H979" i="1"/>
  <c r="I979" i="1"/>
  <c r="J979" i="1"/>
  <c r="B980" i="1"/>
  <c r="C980" i="1"/>
  <c r="D980" i="1"/>
  <c r="E980" i="1"/>
  <c r="F980" i="1"/>
  <c r="G980" i="1"/>
  <c r="H980" i="1"/>
  <c r="I980" i="1"/>
  <c r="J980" i="1"/>
  <c r="B981" i="1"/>
  <c r="C981" i="1"/>
  <c r="D981" i="1"/>
  <c r="E981" i="1"/>
  <c r="F981" i="1"/>
  <c r="G981" i="1"/>
  <c r="H981" i="1"/>
  <c r="I981" i="1"/>
  <c r="J981" i="1"/>
  <c r="B982" i="1"/>
  <c r="C982" i="1"/>
  <c r="D982" i="1"/>
  <c r="E982" i="1"/>
  <c r="F982" i="1"/>
  <c r="G982" i="1"/>
  <c r="H982" i="1"/>
  <c r="I982" i="1"/>
  <c r="J982" i="1"/>
  <c r="B983" i="1"/>
  <c r="C983" i="1"/>
  <c r="D983" i="1"/>
  <c r="E983" i="1"/>
  <c r="F983" i="1"/>
  <c r="G983" i="1"/>
  <c r="H983" i="1"/>
  <c r="I983" i="1"/>
  <c r="J983" i="1"/>
  <c r="B984" i="1"/>
  <c r="C984" i="1"/>
  <c r="D984" i="1"/>
  <c r="E984" i="1"/>
  <c r="F984" i="1"/>
  <c r="G984" i="1"/>
  <c r="H984" i="1"/>
  <c r="I984" i="1"/>
  <c r="J984" i="1"/>
  <c r="B985" i="1"/>
  <c r="C985" i="1"/>
  <c r="D985" i="1"/>
  <c r="E985" i="1"/>
  <c r="F985" i="1"/>
  <c r="G985" i="1"/>
  <c r="H985" i="1"/>
  <c r="I985" i="1"/>
  <c r="J985" i="1"/>
  <c r="B986" i="1"/>
  <c r="C986" i="1"/>
  <c r="D986" i="1"/>
  <c r="E986" i="1"/>
  <c r="F986" i="1"/>
  <c r="G986" i="1"/>
  <c r="H986" i="1"/>
  <c r="I986" i="1"/>
  <c r="J986" i="1"/>
  <c r="B987" i="1"/>
  <c r="C987" i="1"/>
  <c r="D987" i="1"/>
  <c r="E987" i="1"/>
  <c r="F987" i="1"/>
  <c r="G987" i="1"/>
  <c r="H987" i="1"/>
  <c r="I987" i="1"/>
  <c r="J987" i="1"/>
  <c r="B988" i="1"/>
  <c r="C988" i="1"/>
  <c r="D988" i="1"/>
  <c r="E988" i="1"/>
  <c r="F988" i="1"/>
  <c r="G988" i="1"/>
  <c r="H988" i="1"/>
  <c r="I988" i="1"/>
  <c r="J988" i="1"/>
  <c r="B989" i="1"/>
  <c r="C989" i="1"/>
  <c r="D989" i="1"/>
  <c r="E989" i="1"/>
  <c r="F989" i="1"/>
  <c r="G989" i="1"/>
  <c r="H989" i="1"/>
  <c r="I989" i="1"/>
  <c r="J989" i="1"/>
  <c r="B990" i="1"/>
  <c r="C990" i="1"/>
  <c r="D990" i="1"/>
  <c r="E990" i="1"/>
  <c r="F990" i="1"/>
  <c r="G990" i="1"/>
  <c r="H990" i="1"/>
  <c r="I990" i="1"/>
  <c r="J990" i="1"/>
  <c r="B991" i="1"/>
  <c r="C991" i="1"/>
  <c r="D991" i="1"/>
  <c r="E991" i="1"/>
  <c r="F991" i="1"/>
  <c r="G991" i="1"/>
  <c r="H991" i="1"/>
  <c r="I991" i="1"/>
  <c r="J991" i="1"/>
  <c r="B992" i="1"/>
  <c r="C992" i="1"/>
  <c r="D992" i="1"/>
  <c r="E992" i="1"/>
  <c r="F992" i="1"/>
  <c r="G992" i="1"/>
  <c r="H992" i="1"/>
  <c r="I992" i="1"/>
  <c r="J992" i="1"/>
  <c r="B993" i="1"/>
  <c r="C993" i="1"/>
  <c r="D993" i="1"/>
  <c r="E993" i="1"/>
  <c r="F993" i="1"/>
  <c r="G993" i="1"/>
  <c r="H993" i="1"/>
  <c r="I993" i="1"/>
  <c r="J993" i="1"/>
  <c r="B994" i="1"/>
  <c r="C994" i="1"/>
  <c r="D994" i="1"/>
  <c r="E994" i="1"/>
  <c r="F994" i="1"/>
  <c r="G994" i="1"/>
  <c r="H994" i="1"/>
  <c r="I994" i="1"/>
  <c r="J994" i="1"/>
  <c r="B995" i="1"/>
  <c r="C995" i="1"/>
  <c r="D995" i="1"/>
  <c r="E995" i="1"/>
  <c r="F995" i="1"/>
  <c r="G995" i="1"/>
  <c r="H995" i="1"/>
  <c r="I995" i="1"/>
  <c r="J995" i="1"/>
  <c r="B996" i="1"/>
  <c r="C996" i="1"/>
  <c r="D996" i="1"/>
  <c r="E996" i="1"/>
  <c r="F996" i="1"/>
  <c r="G996" i="1"/>
  <c r="H996" i="1"/>
  <c r="I996" i="1"/>
  <c r="J996" i="1"/>
  <c r="B997" i="1"/>
  <c r="C997" i="1"/>
  <c r="D997" i="1"/>
  <c r="E997" i="1"/>
  <c r="F997" i="1"/>
  <c r="G997" i="1"/>
  <c r="H997" i="1"/>
  <c r="I997" i="1"/>
  <c r="J997" i="1"/>
  <c r="B998" i="1"/>
  <c r="C998" i="1"/>
  <c r="D998" i="1"/>
  <c r="E998" i="1"/>
  <c r="F998" i="1"/>
  <c r="G998" i="1"/>
  <c r="H998" i="1"/>
  <c r="I998" i="1"/>
  <c r="J998" i="1"/>
  <c r="B999" i="1"/>
  <c r="C999" i="1"/>
  <c r="D999" i="1"/>
  <c r="E999" i="1"/>
  <c r="F999" i="1"/>
  <c r="G999" i="1"/>
  <c r="H999" i="1"/>
  <c r="I999" i="1"/>
  <c r="J999" i="1"/>
  <c r="B1000" i="1"/>
  <c r="C1000" i="1"/>
  <c r="D1000" i="1"/>
  <c r="E1000" i="1"/>
  <c r="F1000" i="1"/>
  <c r="G1000" i="1"/>
  <c r="H1000" i="1"/>
  <c r="I1000" i="1"/>
  <c r="J1000" i="1"/>
  <c r="B1001" i="1"/>
  <c r="C1001" i="1"/>
  <c r="D1001" i="1"/>
  <c r="E1001" i="1"/>
  <c r="F1001" i="1"/>
  <c r="G1001" i="1"/>
  <c r="H1001" i="1"/>
  <c r="I1001" i="1"/>
  <c r="J1001" i="1"/>
  <c r="B1002" i="1"/>
  <c r="C1002" i="1"/>
  <c r="D1002" i="1"/>
  <c r="E1002" i="1"/>
  <c r="F1002" i="1"/>
  <c r="G1002" i="1"/>
  <c r="H1002" i="1"/>
  <c r="I1002" i="1"/>
  <c r="J1002" i="1"/>
  <c r="B1003" i="1"/>
  <c r="C1003" i="1"/>
  <c r="D1003" i="1"/>
  <c r="E1003" i="1"/>
  <c r="F1003" i="1"/>
  <c r="G1003" i="1"/>
  <c r="H1003" i="1"/>
  <c r="I1003" i="1"/>
  <c r="J1003" i="1"/>
  <c r="B1004" i="1"/>
  <c r="C1004" i="1"/>
  <c r="D1004" i="1"/>
  <c r="E1004" i="1"/>
  <c r="F1004" i="1"/>
  <c r="G1004" i="1"/>
  <c r="H1004" i="1"/>
  <c r="I1004" i="1"/>
  <c r="J1004" i="1"/>
  <c r="B1005" i="1"/>
  <c r="C1005" i="1"/>
  <c r="D1005" i="1"/>
  <c r="E1005" i="1"/>
  <c r="F1005" i="1"/>
  <c r="G1005" i="1"/>
  <c r="H1005" i="1"/>
  <c r="I1005" i="1"/>
  <c r="J1005" i="1"/>
  <c r="B1006" i="1"/>
  <c r="C1006" i="1"/>
  <c r="D1006" i="1"/>
  <c r="E1006" i="1"/>
  <c r="F1006" i="1"/>
  <c r="G1006" i="1"/>
  <c r="H1006" i="1"/>
  <c r="I1006" i="1"/>
  <c r="J1006" i="1"/>
  <c r="B1007" i="1"/>
  <c r="C1007" i="1"/>
  <c r="D1007" i="1"/>
  <c r="E1007" i="1"/>
  <c r="F1007" i="1"/>
  <c r="G1007" i="1"/>
  <c r="H1007" i="1"/>
  <c r="I1007" i="1"/>
  <c r="J1007" i="1"/>
  <c r="B1008" i="1"/>
  <c r="C1008" i="1"/>
  <c r="D1008" i="1"/>
  <c r="E1008" i="1"/>
  <c r="F1008" i="1"/>
  <c r="G1008" i="1"/>
  <c r="H1008" i="1"/>
  <c r="I1008" i="1"/>
  <c r="J1008" i="1"/>
  <c r="B1009" i="1"/>
  <c r="C1009" i="1"/>
  <c r="D1009" i="1"/>
  <c r="E1009" i="1"/>
  <c r="F1009" i="1"/>
  <c r="G1009" i="1"/>
  <c r="H1009" i="1"/>
  <c r="I1009" i="1"/>
  <c r="J1009" i="1"/>
  <c r="B1010" i="1"/>
  <c r="C1010" i="1"/>
  <c r="D1010" i="1"/>
  <c r="E1010" i="1"/>
  <c r="F1010" i="1"/>
  <c r="G1010" i="1"/>
  <c r="H1010" i="1"/>
  <c r="I1010" i="1"/>
  <c r="J1010" i="1"/>
  <c r="B1011" i="1"/>
  <c r="C1011" i="1"/>
  <c r="D1011" i="1"/>
  <c r="E1011" i="1"/>
  <c r="F1011" i="1"/>
  <c r="G1011" i="1"/>
  <c r="H1011" i="1"/>
  <c r="I1011" i="1"/>
  <c r="J1011" i="1"/>
  <c r="B1012" i="1"/>
  <c r="C1012" i="1"/>
  <c r="D1012" i="1"/>
  <c r="E1012" i="1"/>
  <c r="F1012" i="1"/>
  <c r="G1012" i="1"/>
  <c r="H1012" i="1"/>
  <c r="I1012" i="1"/>
  <c r="J1012" i="1"/>
  <c r="B1013" i="1"/>
  <c r="C1013" i="1"/>
  <c r="D1013" i="1"/>
  <c r="E1013" i="1"/>
  <c r="F1013" i="1"/>
  <c r="G1013" i="1"/>
  <c r="H1013" i="1"/>
  <c r="I1013" i="1"/>
  <c r="J1013" i="1"/>
  <c r="B1014" i="1"/>
  <c r="C1014" i="1"/>
  <c r="D1014" i="1"/>
  <c r="E1014" i="1"/>
  <c r="F1014" i="1"/>
  <c r="G1014" i="1"/>
  <c r="H1014" i="1"/>
  <c r="I1014" i="1"/>
  <c r="J1014" i="1"/>
  <c r="B1015" i="1"/>
  <c r="C1015" i="1"/>
  <c r="D1015" i="1"/>
  <c r="E1015" i="1"/>
  <c r="F1015" i="1"/>
  <c r="G1015" i="1"/>
  <c r="H1015" i="1"/>
  <c r="I1015" i="1"/>
  <c r="J1015" i="1"/>
  <c r="B1016" i="1"/>
  <c r="C1016" i="1"/>
  <c r="D1016" i="1"/>
  <c r="E1016" i="1"/>
  <c r="F1016" i="1"/>
  <c r="G1016" i="1"/>
  <c r="H1016" i="1"/>
  <c r="I1016" i="1"/>
  <c r="J1016" i="1"/>
  <c r="B1017" i="1"/>
  <c r="C1017" i="1"/>
  <c r="D1017" i="1"/>
  <c r="E1017" i="1"/>
  <c r="F1017" i="1"/>
  <c r="G1017" i="1"/>
  <c r="H1017" i="1"/>
  <c r="I1017" i="1"/>
  <c r="J1017" i="1"/>
  <c r="B1018" i="1"/>
  <c r="C1018" i="1"/>
  <c r="D1018" i="1"/>
  <c r="E1018" i="1"/>
  <c r="F1018" i="1"/>
  <c r="G1018" i="1"/>
  <c r="H1018" i="1"/>
  <c r="I1018" i="1"/>
  <c r="J1018" i="1"/>
  <c r="B1019" i="1"/>
  <c r="C1019" i="1"/>
  <c r="D1019" i="1"/>
  <c r="E1019" i="1"/>
  <c r="F1019" i="1"/>
  <c r="G1019" i="1"/>
  <c r="H1019" i="1"/>
  <c r="I1019" i="1"/>
  <c r="J1019" i="1"/>
  <c r="B1020" i="1"/>
  <c r="C1020" i="1"/>
  <c r="D1020" i="1"/>
  <c r="E1020" i="1"/>
  <c r="F1020" i="1"/>
  <c r="G1020" i="1"/>
  <c r="H1020" i="1"/>
  <c r="I1020" i="1"/>
  <c r="J1020" i="1"/>
  <c r="B1021" i="1"/>
  <c r="C1021" i="1"/>
  <c r="D1021" i="1"/>
  <c r="E1021" i="1"/>
  <c r="F1021" i="1"/>
  <c r="G1021" i="1"/>
  <c r="H1021" i="1"/>
  <c r="I1021" i="1"/>
  <c r="J1021" i="1"/>
  <c r="B1022" i="1"/>
  <c r="C1022" i="1"/>
  <c r="D1022" i="1"/>
  <c r="E1022" i="1"/>
  <c r="F1022" i="1"/>
  <c r="G1022" i="1"/>
  <c r="H1022" i="1"/>
  <c r="I1022" i="1"/>
  <c r="J1022" i="1"/>
  <c r="B1023" i="1"/>
  <c r="C1023" i="1"/>
  <c r="D1023" i="1"/>
  <c r="E1023" i="1"/>
  <c r="F1023" i="1"/>
  <c r="G1023" i="1"/>
  <c r="H1023" i="1"/>
  <c r="I1023" i="1"/>
  <c r="J1023" i="1"/>
  <c r="B1024" i="1"/>
  <c r="C1024" i="1"/>
  <c r="D1024" i="1"/>
  <c r="E1024" i="1"/>
  <c r="F1024" i="1"/>
  <c r="G1024" i="1"/>
  <c r="H1024" i="1"/>
  <c r="I1024" i="1"/>
  <c r="J1024" i="1"/>
  <c r="B1025" i="1"/>
  <c r="C1025" i="1"/>
  <c r="D1025" i="1"/>
  <c r="E1025" i="1"/>
  <c r="F1025" i="1"/>
  <c r="G1025" i="1"/>
  <c r="H1025" i="1"/>
  <c r="I1025" i="1"/>
  <c r="J1025" i="1"/>
  <c r="B1026" i="1"/>
  <c r="C1026" i="1"/>
  <c r="D1026" i="1"/>
  <c r="E1026" i="1"/>
  <c r="F1026" i="1"/>
  <c r="G1026" i="1"/>
  <c r="H1026" i="1"/>
  <c r="I1026" i="1"/>
  <c r="J1026" i="1"/>
  <c r="B1027" i="1"/>
  <c r="C1027" i="1"/>
  <c r="D1027" i="1"/>
  <c r="E1027" i="1"/>
  <c r="F1027" i="1"/>
  <c r="G1027" i="1"/>
  <c r="H1027" i="1"/>
  <c r="I1027" i="1"/>
  <c r="J1027" i="1"/>
  <c r="B1028" i="1"/>
  <c r="C1028" i="1"/>
  <c r="D1028" i="1"/>
  <c r="E1028" i="1"/>
  <c r="F1028" i="1"/>
  <c r="G1028" i="1"/>
  <c r="H1028" i="1"/>
  <c r="I1028" i="1"/>
  <c r="J1028" i="1"/>
  <c r="B1029" i="1"/>
  <c r="C1029" i="1"/>
  <c r="D1029" i="1"/>
  <c r="E1029" i="1"/>
  <c r="F1029" i="1"/>
  <c r="G1029" i="1"/>
  <c r="H1029" i="1"/>
  <c r="I1029" i="1"/>
  <c r="J1029" i="1"/>
  <c r="B1030" i="1"/>
  <c r="C1030" i="1"/>
  <c r="D1030" i="1"/>
  <c r="E1030" i="1"/>
  <c r="F1030" i="1"/>
  <c r="G1030" i="1"/>
  <c r="H1030" i="1"/>
  <c r="I1030" i="1"/>
  <c r="J1030" i="1"/>
  <c r="B1031" i="1"/>
  <c r="C1031" i="1"/>
  <c r="D1031" i="1"/>
  <c r="E1031" i="1"/>
  <c r="F1031" i="1"/>
  <c r="G1031" i="1"/>
  <c r="H1031" i="1"/>
  <c r="I1031" i="1"/>
  <c r="J1031" i="1"/>
  <c r="B1032" i="1"/>
  <c r="C1032" i="1"/>
  <c r="D1032" i="1"/>
  <c r="E1032" i="1"/>
  <c r="F1032" i="1"/>
  <c r="G1032" i="1"/>
  <c r="H1032" i="1"/>
  <c r="I1032" i="1"/>
  <c r="J1032" i="1"/>
  <c r="B1033" i="1"/>
  <c r="C1033" i="1"/>
  <c r="D1033" i="1"/>
  <c r="E1033" i="1"/>
  <c r="F1033" i="1"/>
  <c r="G1033" i="1"/>
  <c r="H1033" i="1"/>
  <c r="I1033" i="1"/>
  <c r="J1033" i="1"/>
  <c r="B1034" i="1"/>
  <c r="C1034" i="1"/>
  <c r="D1034" i="1"/>
  <c r="E1034" i="1"/>
  <c r="F1034" i="1"/>
  <c r="G1034" i="1"/>
  <c r="H1034" i="1"/>
  <c r="I1034" i="1"/>
  <c r="J1034" i="1"/>
  <c r="B1035" i="1"/>
  <c r="C1035" i="1"/>
  <c r="D1035" i="1"/>
  <c r="E1035" i="1"/>
  <c r="F1035" i="1"/>
  <c r="G1035" i="1"/>
  <c r="H1035" i="1"/>
  <c r="I1035" i="1"/>
  <c r="J1035" i="1"/>
  <c r="B1036" i="1"/>
  <c r="C1036" i="1"/>
  <c r="D1036" i="1"/>
  <c r="E1036" i="1"/>
  <c r="F1036" i="1"/>
  <c r="G1036" i="1"/>
  <c r="H1036" i="1"/>
  <c r="I1036" i="1"/>
  <c r="J1036" i="1"/>
  <c r="B1037" i="1"/>
  <c r="C1037" i="1"/>
  <c r="D1037" i="1"/>
  <c r="E1037" i="1"/>
  <c r="F1037" i="1"/>
  <c r="G1037" i="1"/>
  <c r="H1037" i="1"/>
  <c r="I1037" i="1"/>
  <c r="J1037" i="1"/>
  <c r="B1038" i="1"/>
  <c r="C1038" i="1"/>
  <c r="D1038" i="1"/>
  <c r="E1038" i="1"/>
  <c r="F1038" i="1"/>
  <c r="G1038" i="1"/>
  <c r="H1038" i="1"/>
  <c r="I1038" i="1"/>
  <c r="J1038" i="1"/>
  <c r="B1039" i="1"/>
  <c r="C1039" i="1"/>
  <c r="D1039" i="1"/>
  <c r="E1039" i="1"/>
  <c r="F1039" i="1"/>
  <c r="G1039" i="1"/>
  <c r="H1039" i="1"/>
  <c r="I1039" i="1"/>
  <c r="J1039" i="1"/>
  <c r="B1040" i="1"/>
  <c r="C1040" i="1"/>
  <c r="D1040" i="1"/>
  <c r="E1040" i="1"/>
  <c r="F1040" i="1"/>
  <c r="G1040" i="1"/>
  <c r="H1040" i="1"/>
  <c r="I1040" i="1"/>
  <c r="J1040" i="1"/>
  <c r="B1041" i="1"/>
  <c r="C1041" i="1"/>
  <c r="D1041" i="1"/>
  <c r="E1041" i="1"/>
  <c r="F1041" i="1"/>
  <c r="G1041" i="1"/>
  <c r="H1041" i="1"/>
  <c r="I1041" i="1"/>
  <c r="J1041" i="1"/>
  <c r="B1042" i="1"/>
  <c r="C1042" i="1"/>
  <c r="D1042" i="1"/>
  <c r="E1042" i="1"/>
  <c r="F1042" i="1"/>
  <c r="G1042" i="1"/>
  <c r="H1042" i="1"/>
  <c r="I1042" i="1"/>
  <c r="J1042" i="1"/>
  <c r="B1043" i="1"/>
  <c r="C1043" i="1"/>
  <c r="D1043" i="1"/>
  <c r="E1043" i="1"/>
  <c r="F1043" i="1"/>
  <c r="G1043" i="1"/>
  <c r="H1043" i="1"/>
  <c r="I1043" i="1"/>
  <c r="J1043" i="1"/>
  <c r="B1044" i="1"/>
  <c r="C1044" i="1"/>
  <c r="D1044" i="1"/>
  <c r="E1044" i="1"/>
  <c r="F1044" i="1"/>
  <c r="G1044" i="1"/>
  <c r="H1044" i="1"/>
  <c r="I1044" i="1"/>
  <c r="J1044" i="1"/>
  <c r="B1045" i="1"/>
  <c r="C1045" i="1"/>
  <c r="D1045" i="1"/>
  <c r="E1045" i="1"/>
  <c r="F1045" i="1"/>
  <c r="G1045" i="1"/>
  <c r="H1045" i="1"/>
  <c r="I1045" i="1"/>
  <c r="J1045" i="1"/>
  <c r="B1046" i="1"/>
  <c r="C1046" i="1"/>
  <c r="D1046" i="1"/>
  <c r="E1046" i="1"/>
  <c r="F1046" i="1"/>
  <c r="G1046" i="1"/>
  <c r="H1046" i="1"/>
  <c r="I1046" i="1"/>
  <c r="J1046" i="1"/>
  <c r="B1047" i="1"/>
  <c r="C1047" i="1"/>
  <c r="D1047" i="1"/>
  <c r="E1047" i="1"/>
  <c r="F1047" i="1"/>
  <c r="G1047" i="1"/>
  <c r="H1047" i="1"/>
  <c r="I1047" i="1"/>
  <c r="J1047" i="1"/>
  <c r="B1048" i="1"/>
  <c r="C1048" i="1"/>
  <c r="D1048" i="1"/>
  <c r="E1048" i="1"/>
  <c r="F1048" i="1"/>
  <c r="G1048" i="1"/>
  <c r="H1048" i="1"/>
  <c r="I1048" i="1"/>
  <c r="J1048" i="1"/>
  <c r="E1050" i="1"/>
  <c r="L1050" i="1"/>
  <c r="M1050" i="1"/>
  <c r="N1050" i="1"/>
  <c r="O1050" i="1"/>
  <c r="P1050" i="1"/>
  <c r="S1050" i="1"/>
  <c r="C1051" i="1"/>
  <c r="L1051" i="1"/>
  <c r="M1051" i="1"/>
  <c r="N1051" i="1"/>
  <c r="O1051" i="1"/>
  <c r="P1051" i="1"/>
  <c r="G1052" i="1"/>
  <c r="I1052" i="1"/>
  <c r="L1052" i="1"/>
  <c r="M1052" i="1"/>
  <c r="N1052" i="1"/>
  <c r="O1052" i="1"/>
  <c r="P1052" i="1"/>
  <c r="Q1052" i="1"/>
  <c r="J1053" i="1"/>
  <c r="L1053" i="1"/>
  <c r="M1053" i="1"/>
  <c r="N1053" i="1"/>
  <c r="O1053" i="1"/>
  <c r="P1053" i="1"/>
  <c r="Q1053" i="1"/>
  <c r="D1054" i="1"/>
  <c r="E1054" i="1"/>
  <c r="L1054" i="1"/>
  <c r="M1054" i="1"/>
  <c r="N1054" i="1"/>
  <c r="O1054" i="1"/>
  <c r="P1054" i="1"/>
  <c r="Q1054" i="1"/>
  <c r="C1055" i="1"/>
  <c r="L1055" i="1"/>
  <c r="M1055" i="1"/>
  <c r="N1055" i="1"/>
  <c r="O1055" i="1"/>
  <c r="P1055" i="1"/>
  <c r="Q1055" i="1"/>
  <c r="E1056" i="1"/>
  <c r="L1056" i="1"/>
  <c r="M1056" i="1"/>
  <c r="N1056" i="1"/>
  <c r="O1056" i="1"/>
  <c r="P1056" i="1"/>
  <c r="Q1056" i="1"/>
  <c r="L1057" i="1"/>
  <c r="M1057" i="1"/>
  <c r="N1057" i="1"/>
  <c r="O1057" i="1"/>
  <c r="P1057" i="1"/>
  <c r="Q1057" i="1"/>
  <c r="G1058" i="1"/>
  <c r="L1058" i="1"/>
  <c r="M1058" i="1"/>
  <c r="N1058" i="1"/>
  <c r="O1058" i="1"/>
  <c r="P1058" i="1"/>
  <c r="Q1058" i="1"/>
  <c r="F1059" i="1"/>
  <c r="L1059" i="1"/>
  <c r="M1059" i="1"/>
  <c r="N1059" i="1"/>
  <c r="O1059" i="1"/>
  <c r="P1059" i="1"/>
  <c r="Q1059" i="1"/>
  <c r="H1060" i="1"/>
  <c r="J1060" i="1"/>
  <c r="L1060" i="1"/>
  <c r="M1060" i="1"/>
  <c r="N1060" i="1"/>
  <c r="O1060" i="1"/>
  <c r="P1060" i="1"/>
  <c r="Q1060" i="1"/>
  <c r="C1061" i="1"/>
  <c r="L1061" i="1"/>
  <c r="M1061" i="1"/>
  <c r="N1061" i="1"/>
  <c r="O1061" i="1"/>
  <c r="P1061" i="1"/>
  <c r="Q1061" i="1"/>
  <c r="E1062" i="1"/>
  <c r="G1062" i="1"/>
  <c r="L1062" i="1"/>
  <c r="M1062" i="1"/>
  <c r="N1062" i="1"/>
  <c r="O1062" i="1"/>
  <c r="P1062" i="1"/>
  <c r="Q1062" i="1"/>
  <c r="D1063" i="1"/>
  <c r="L1063" i="1"/>
  <c r="M1063" i="1"/>
  <c r="N1063" i="1"/>
  <c r="O1063" i="1"/>
  <c r="P1063" i="1"/>
  <c r="Q1063" i="1"/>
  <c r="F1064" i="1"/>
  <c r="L1064" i="1"/>
  <c r="M1064" i="1"/>
  <c r="N1064" i="1"/>
  <c r="O1064" i="1"/>
  <c r="P1064" i="1"/>
  <c r="Q1064" i="1"/>
  <c r="L1065" i="1"/>
  <c r="M1065" i="1"/>
  <c r="N1065" i="1"/>
  <c r="O1065" i="1"/>
  <c r="P1065" i="1"/>
  <c r="Q1065" i="1"/>
  <c r="H1066" i="1"/>
  <c r="L1066" i="1"/>
  <c r="M1066" i="1"/>
  <c r="N1066" i="1"/>
  <c r="O1066" i="1"/>
  <c r="P1066" i="1"/>
  <c r="Q1066" i="1"/>
  <c r="L1067" i="1"/>
  <c r="M1067" i="1"/>
  <c r="N1067" i="1"/>
  <c r="O1067" i="1"/>
  <c r="P1067" i="1"/>
  <c r="Q1067" i="1"/>
  <c r="L1068" i="1"/>
  <c r="M1068" i="1"/>
  <c r="N1068" i="1"/>
  <c r="O1068" i="1"/>
  <c r="P1068" i="1"/>
  <c r="Q1068" i="1"/>
  <c r="L1069" i="1"/>
  <c r="M1069" i="1"/>
  <c r="N1069" i="1"/>
  <c r="O1069" i="1"/>
  <c r="P1069" i="1"/>
  <c r="Q1069" i="1"/>
  <c r="L1070" i="1"/>
  <c r="M1070" i="1"/>
  <c r="N1070" i="1"/>
  <c r="O1070" i="1"/>
  <c r="P1070" i="1"/>
  <c r="Q1070" i="1"/>
  <c r="L1071" i="1"/>
  <c r="M1071" i="1"/>
  <c r="N1071" i="1"/>
  <c r="O1071" i="1"/>
  <c r="P1071" i="1"/>
  <c r="Q1071" i="1"/>
  <c r="D1072" i="1"/>
  <c r="L1072" i="1"/>
  <c r="M1072" i="1"/>
  <c r="N1072" i="1"/>
  <c r="O1072" i="1"/>
  <c r="P1072" i="1"/>
  <c r="Q1072" i="1"/>
  <c r="A1073" i="1"/>
  <c r="A1074" i="1" s="1"/>
  <c r="A1075" i="1" s="1"/>
  <c r="A1076" i="1" s="1"/>
  <c r="A1077" i="1" s="1"/>
  <c r="L1073" i="1"/>
  <c r="M1073" i="1"/>
  <c r="N1073" i="1"/>
  <c r="O1073" i="1"/>
  <c r="P1073" i="1"/>
  <c r="Q1073" i="1"/>
  <c r="L1074" i="1"/>
  <c r="M1074" i="1"/>
  <c r="N1074" i="1"/>
  <c r="O1074" i="1"/>
  <c r="P1074" i="1"/>
  <c r="Q1074" i="1"/>
  <c r="F1075" i="1"/>
  <c r="L1075" i="1"/>
  <c r="M1075" i="1"/>
  <c r="N1075" i="1"/>
  <c r="O1075" i="1"/>
  <c r="P1075" i="1"/>
  <c r="Q1075" i="1"/>
  <c r="E1076" i="1"/>
  <c r="L1076" i="1"/>
  <c r="M1076" i="1"/>
  <c r="N1076" i="1"/>
  <c r="O1076" i="1"/>
  <c r="P1076" i="1"/>
  <c r="Q1076" i="1"/>
  <c r="G1077" i="1"/>
  <c r="L1077" i="1"/>
  <c r="M1077" i="1"/>
  <c r="N1077" i="1"/>
  <c r="O1077" i="1"/>
  <c r="P1077" i="1"/>
  <c r="Q1077" i="1"/>
  <c r="A1078" i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L1078" i="1"/>
  <c r="M1078" i="1"/>
  <c r="N1078" i="1"/>
  <c r="O1078" i="1"/>
  <c r="P1078" i="1"/>
  <c r="Q1078" i="1"/>
  <c r="L1079" i="1"/>
  <c r="M1079" i="1"/>
  <c r="N1079" i="1"/>
  <c r="O1079" i="1"/>
  <c r="P1079" i="1"/>
  <c r="Q1079" i="1"/>
  <c r="L1080" i="1"/>
  <c r="M1080" i="1"/>
  <c r="N1080" i="1"/>
  <c r="O1080" i="1"/>
  <c r="P1080" i="1"/>
  <c r="Q1080" i="1"/>
  <c r="L1081" i="1"/>
  <c r="M1081" i="1"/>
  <c r="N1081" i="1"/>
  <c r="O1081" i="1"/>
  <c r="P1081" i="1"/>
  <c r="Q1081" i="1"/>
  <c r="L1082" i="1"/>
  <c r="M1082" i="1"/>
  <c r="N1082" i="1"/>
  <c r="O1082" i="1"/>
  <c r="P1082" i="1"/>
  <c r="Q1082" i="1"/>
  <c r="L1083" i="1"/>
  <c r="M1083" i="1"/>
  <c r="N1083" i="1"/>
  <c r="O1083" i="1"/>
  <c r="P1083" i="1"/>
  <c r="Q1083" i="1"/>
  <c r="E1084" i="1"/>
  <c r="L1084" i="1"/>
  <c r="M1084" i="1"/>
  <c r="N1084" i="1"/>
  <c r="O1084" i="1"/>
  <c r="P1084" i="1"/>
  <c r="Q1084" i="1"/>
  <c r="L1085" i="1"/>
  <c r="M1085" i="1"/>
  <c r="N1085" i="1"/>
  <c r="O1085" i="1"/>
  <c r="P1085" i="1"/>
  <c r="Q1085" i="1"/>
  <c r="F1086" i="1"/>
  <c r="L1086" i="1"/>
  <c r="M1086" i="1"/>
  <c r="N1086" i="1"/>
  <c r="O1086" i="1"/>
  <c r="P1086" i="1"/>
  <c r="Q1086" i="1"/>
  <c r="J1087" i="1"/>
  <c r="L1087" i="1"/>
  <c r="M1087" i="1"/>
  <c r="N1087" i="1"/>
  <c r="O1087" i="1"/>
  <c r="P1087" i="1"/>
  <c r="Q1087" i="1"/>
  <c r="C1088" i="1"/>
  <c r="L1088" i="1"/>
  <c r="M1088" i="1"/>
  <c r="N1088" i="1"/>
  <c r="O1088" i="1"/>
  <c r="P1088" i="1"/>
  <c r="Q1088" i="1"/>
  <c r="D1089" i="1"/>
  <c r="L1089" i="1"/>
  <c r="M1089" i="1"/>
  <c r="N1089" i="1"/>
  <c r="O1089" i="1"/>
  <c r="P1089" i="1"/>
  <c r="Q1089" i="1"/>
  <c r="L1090" i="1"/>
  <c r="M1090" i="1"/>
  <c r="N1090" i="1"/>
  <c r="O1090" i="1"/>
  <c r="P1090" i="1"/>
  <c r="Q1090" i="1"/>
  <c r="L1091" i="1"/>
  <c r="M1091" i="1"/>
  <c r="N1091" i="1"/>
  <c r="O1091" i="1"/>
  <c r="P1091" i="1"/>
  <c r="Q1091" i="1"/>
  <c r="L1092" i="1"/>
  <c r="M1092" i="1"/>
  <c r="N1092" i="1"/>
  <c r="O1092" i="1"/>
  <c r="P1092" i="1"/>
  <c r="Q1092" i="1"/>
  <c r="D1093" i="1"/>
  <c r="L1093" i="1"/>
  <c r="M1093" i="1"/>
  <c r="N1093" i="1"/>
  <c r="O1093" i="1"/>
  <c r="P1093" i="1"/>
  <c r="Q1093" i="1"/>
  <c r="G1094" i="1"/>
  <c r="L1094" i="1"/>
  <c r="M1094" i="1"/>
  <c r="N1094" i="1"/>
  <c r="O1094" i="1"/>
  <c r="P1094" i="1"/>
  <c r="Q1094" i="1"/>
  <c r="A1095" i="1"/>
  <c r="A1096" i="1" s="1"/>
  <c r="A1097" i="1" s="1"/>
  <c r="O1097" i="1" s="1"/>
  <c r="L1095" i="1"/>
  <c r="M1095" i="1"/>
  <c r="N1095" i="1"/>
  <c r="O1095" i="1"/>
  <c r="P1095" i="1"/>
  <c r="Q1095" i="1"/>
  <c r="L1096" i="1"/>
  <c r="M1096" i="1"/>
  <c r="N1096" i="1"/>
  <c r="O1096" i="1"/>
  <c r="P1096" i="1"/>
  <c r="Q1096" i="1"/>
  <c r="E1066" i="1" l="1"/>
  <c r="F1066" i="1"/>
  <c r="B1065" i="1"/>
  <c r="C1065" i="1"/>
  <c r="G1064" i="1"/>
  <c r="I1064" i="1"/>
  <c r="J1064" i="1"/>
  <c r="E1063" i="1"/>
  <c r="H1062" i="1"/>
  <c r="E1058" i="1"/>
  <c r="J1057" i="1"/>
  <c r="B1057" i="1"/>
  <c r="F1056" i="1"/>
  <c r="G1056" i="1"/>
  <c r="I1056" i="1"/>
  <c r="I1055" i="1"/>
  <c r="G1054" i="1"/>
  <c r="C1050" i="1"/>
  <c r="C1089" i="3"/>
  <c r="C1052" i="3"/>
  <c r="G1115" i="4"/>
  <c r="B1093" i="3"/>
  <c r="B1080" i="3"/>
  <c r="H1103" i="4"/>
  <c r="B1089" i="4"/>
  <c r="F1096" i="1"/>
  <c r="I1094" i="1"/>
  <c r="F1093" i="1"/>
  <c r="G1092" i="1"/>
  <c r="I1092" i="1"/>
  <c r="D1091" i="1"/>
  <c r="E1091" i="1"/>
  <c r="C1089" i="1"/>
  <c r="B1088" i="1"/>
  <c r="I1087" i="1"/>
  <c r="G1087" i="1"/>
  <c r="E1086" i="1"/>
  <c r="G1086" i="1"/>
  <c r="J1085" i="1"/>
  <c r="B1083" i="1"/>
  <c r="E1082" i="1"/>
  <c r="F1082" i="1"/>
  <c r="B1081" i="1"/>
  <c r="C1081" i="1"/>
  <c r="D1081" i="1"/>
  <c r="J1080" i="1"/>
  <c r="I1079" i="1"/>
  <c r="I1077" i="1"/>
  <c r="F1076" i="1"/>
  <c r="C1076" i="1"/>
  <c r="E1074" i="1"/>
  <c r="D1074" i="1"/>
  <c r="J1073" i="1"/>
  <c r="B1071" i="1"/>
  <c r="E1070" i="1"/>
  <c r="G1070" i="1"/>
  <c r="H1070" i="1"/>
  <c r="B1069" i="1"/>
  <c r="C1069" i="1"/>
  <c r="E1068" i="1"/>
  <c r="H1068" i="1"/>
  <c r="J1068" i="1"/>
  <c r="F1067" i="1"/>
  <c r="B1067" i="1"/>
  <c r="G1066" i="1"/>
  <c r="D1062" i="1"/>
  <c r="B1061" i="1"/>
  <c r="G1060" i="1"/>
  <c r="I1060" i="1"/>
  <c r="E1059" i="1"/>
  <c r="F1058" i="1"/>
  <c r="D1058" i="1"/>
  <c r="C1054" i="1"/>
  <c r="B1053" i="1"/>
  <c r="F1052" i="1"/>
  <c r="H1052" i="1"/>
  <c r="H1051" i="1"/>
  <c r="F1050" i="1"/>
  <c r="D1050" i="1"/>
  <c r="G1130" i="4"/>
  <c r="G1124" i="4"/>
  <c r="G1122" i="4"/>
  <c r="I1121" i="4"/>
  <c r="I1120" i="4"/>
  <c r="I1119" i="4"/>
  <c r="I1117" i="4"/>
  <c r="I1116" i="4"/>
  <c r="I1115" i="4"/>
  <c r="E1114" i="4"/>
  <c r="G1113" i="4"/>
  <c r="E1112" i="4"/>
  <c r="G1112" i="4"/>
  <c r="I1112" i="4"/>
  <c r="G1111" i="4"/>
  <c r="I1111" i="4"/>
  <c r="G1110" i="4"/>
  <c r="I1110" i="4"/>
  <c r="C1109" i="4"/>
  <c r="G1109" i="4"/>
  <c r="I1109" i="4"/>
  <c r="G1108" i="4"/>
  <c r="I1108" i="4"/>
  <c r="E1107" i="4"/>
  <c r="G1107" i="4"/>
  <c r="I1107" i="4"/>
  <c r="G1106" i="4"/>
  <c r="I1106" i="4"/>
  <c r="G1105" i="4"/>
  <c r="I1105" i="4"/>
  <c r="G1104" i="4"/>
  <c r="I1104" i="4"/>
  <c r="G1103" i="4"/>
  <c r="I1103" i="4"/>
  <c r="G1102" i="4"/>
  <c r="I1102" i="4"/>
  <c r="G1101" i="4"/>
  <c r="I1101" i="4"/>
  <c r="G1100" i="4"/>
  <c r="I1100" i="4"/>
  <c r="G1099" i="4"/>
  <c r="I1099" i="4"/>
  <c r="C1098" i="4"/>
  <c r="G1098" i="4"/>
  <c r="I1098" i="4"/>
  <c r="G1097" i="4"/>
  <c r="I1097" i="4"/>
  <c r="G1096" i="4"/>
  <c r="I1096" i="4"/>
  <c r="G1095" i="4"/>
  <c r="I1095" i="4"/>
  <c r="G1094" i="4"/>
  <c r="I1094" i="4"/>
  <c r="G1093" i="4"/>
  <c r="I1093" i="4"/>
  <c r="G1092" i="4"/>
  <c r="I1092" i="4"/>
  <c r="G1091" i="4"/>
  <c r="I1091" i="4"/>
  <c r="G1090" i="4"/>
  <c r="I1090" i="4"/>
  <c r="K1089" i="4"/>
  <c r="G1089" i="4"/>
  <c r="I1089" i="4"/>
  <c r="K1088" i="4"/>
  <c r="G1088" i="4"/>
  <c r="I1088" i="4"/>
  <c r="G1087" i="4"/>
  <c r="I1087" i="4"/>
  <c r="G1086" i="4"/>
  <c r="I1086" i="4"/>
  <c r="G1084" i="4"/>
  <c r="I1084" i="4"/>
  <c r="G1083" i="4"/>
  <c r="I1083" i="4"/>
  <c r="G1082" i="4"/>
  <c r="I1082" i="4"/>
  <c r="G1081" i="4"/>
  <c r="I1081" i="4"/>
  <c r="G1080" i="4"/>
  <c r="I1080" i="4"/>
  <c r="G1079" i="4"/>
  <c r="I1079" i="4"/>
  <c r="K1078" i="4"/>
  <c r="G1078" i="4"/>
  <c r="I1078" i="4"/>
  <c r="K1077" i="4"/>
  <c r="G1077" i="4"/>
  <c r="I1077" i="4"/>
  <c r="C1076" i="4"/>
  <c r="G1076" i="4"/>
  <c r="I1076" i="4"/>
  <c r="E1075" i="4"/>
  <c r="G1075" i="4"/>
  <c r="I1075" i="4"/>
  <c r="G1074" i="4"/>
  <c r="I1074" i="4"/>
  <c r="G1073" i="4"/>
  <c r="I1073" i="4"/>
  <c r="C1072" i="4"/>
  <c r="G1072" i="4"/>
  <c r="I1072" i="4"/>
  <c r="G1071" i="4"/>
  <c r="I1071" i="4"/>
  <c r="G1070" i="4"/>
  <c r="I1070" i="4"/>
  <c r="G1069" i="4"/>
  <c r="I1069" i="4"/>
  <c r="K1068" i="4"/>
  <c r="G1068" i="4"/>
  <c r="I1068" i="4"/>
  <c r="G1067" i="4"/>
  <c r="I1067" i="4"/>
  <c r="K1066" i="4"/>
  <c r="G1066" i="4"/>
  <c r="I1066" i="4"/>
  <c r="C1065" i="4"/>
  <c r="G1065" i="4"/>
  <c r="I1065" i="4"/>
  <c r="E1064" i="4"/>
  <c r="G1064" i="4"/>
  <c r="I1064" i="4"/>
  <c r="E1063" i="4"/>
  <c r="G1063" i="4"/>
  <c r="I1063" i="4"/>
  <c r="G1062" i="4"/>
  <c r="I1062" i="4"/>
  <c r="C1061" i="4"/>
  <c r="G1061" i="4"/>
  <c r="I1061" i="4"/>
  <c r="G1060" i="4"/>
  <c r="I1060" i="4"/>
  <c r="G1059" i="4"/>
  <c r="I1059" i="4"/>
  <c r="G1058" i="4"/>
  <c r="I1058" i="4"/>
  <c r="E1057" i="4"/>
  <c r="G1057" i="4"/>
  <c r="I1057" i="4"/>
  <c r="C1056" i="4"/>
  <c r="G1056" i="4"/>
  <c r="I1056" i="4"/>
  <c r="G1055" i="4"/>
  <c r="I1055" i="4"/>
  <c r="G1054" i="4"/>
  <c r="I1054" i="4"/>
  <c r="G1053" i="4"/>
  <c r="I1053" i="4"/>
  <c r="K1052" i="4"/>
  <c r="G1052" i="4"/>
  <c r="I1052" i="4"/>
  <c r="E1051" i="4"/>
  <c r="G1051" i="4"/>
  <c r="I1051" i="4"/>
  <c r="G1050" i="4"/>
  <c r="I1050" i="4"/>
  <c r="G1049" i="4"/>
  <c r="I1049" i="4"/>
  <c r="C1048" i="4"/>
  <c r="G1048" i="4"/>
  <c r="I1048" i="4"/>
  <c r="E1047" i="4"/>
  <c r="G1047" i="4"/>
  <c r="I1047" i="4"/>
  <c r="G1046" i="4"/>
  <c r="I1046" i="4"/>
  <c r="E1045" i="4"/>
  <c r="E1085" i="4"/>
  <c r="G1045" i="4"/>
  <c r="G1085" i="4"/>
  <c r="A1098" i="1"/>
  <c r="H1130" i="4"/>
  <c r="H1129" i="4"/>
  <c r="H1128" i="4"/>
  <c r="H1127" i="4"/>
  <c r="H1126" i="4"/>
  <c r="H1125" i="4"/>
  <c r="H1124" i="4"/>
  <c r="H1123" i="4"/>
  <c r="H1122" i="4"/>
  <c r="H1121" i="4"/>
  <c r="H1120" i="4"/>
  <c r="H1119" i="4"/>
  <c r="H1118" i="4"/>
  <c r="H1117" i="4"/>
  <c r="H1116" i="4"/>
  <c r="H1115" i="4"/>
  <c r="H1114" i="4"/>
  <c r="H1113" i="4"/>
  <c r="J1112" i="4"/>
  <c r="H1112" i="4"/>
  <c r="H1111" i="4"/>
  <c r="H1110" i="4"/>
  <c r="H1109" i="4"/>
  <c r="H1108" i="4"/>
  <c r="I1089" i="1"/>
  <c r="E1078" i="1"/>
  <c r="I1128" i="4"/>
  <c r="G1126" i="4"/>
  <c r="I1125" i="4"/>
  <c r="I1122" i="4"/>
  <c r="G1121" i="4"/>
  <c r="G1118" i="4"/>
  <c r="G1116" i="4"/>
  <c r="G1114" i="4"/>
  <c r="I1113" i="4"/>
  <c r="H1091" i="1"/>
  <c r="H1089" i="1"/>
  <c r="H1087" i="1"/>
  <c r="D1084" i="1"/>
  <c r="D1082" i="1"/>
  <c r="I1080" i="1"/>
  <c r="H1079" i="1"/>
  <c r="H1075" i="1"/>
  <c r="H1071" i="1"/>
  <c r="C1096" i="1"/>
  <c r="F1094" i="1"/>
  <c r="F1090" i="1"/>
  <c r="B1086" i="1"/>
  <c r="I1084" i="1"/>
  <c r="C1083" i="1"/>
  <c r="J1077" i="1"/>
  <c r="G1072" i="1"/>
  <c r="E1071" i="1"/>
  <c r="D1097" i="3"/>
  <c r="B1097" i="3"/>
  <c r="C1097" i="3"/>
  <c r="E1097" i="3"/>
  <c r="A1098" i="3"/>
  <c r="H1097" i="1"/>
  <c r="Q1097" i="1"/>
  <c r="F1097" i="1"/>
  <c r="P1097" i="1"/>
  <c r="J1097" i="1"/>
  <c r="L1097" i="1"/>
  <c r="C1097" i="1"/>
  <c r="B1097" i="1"/>
  <c r="M1097" i="1"/>
  <c r="N1097" i="1"/>
  <c r="D1097" i="1"/>
  <c r="E1097" i="1"/>
  <c r="I1097" i="1"/>
  <c r="I1130" i="4"/>
  <c r="G1129" i="4"/>
  <c r="G1127" i="4"/>
  <c r="I1126" i="4"/>
  <c r="G1125" i="4"/>
  <c r="I1124" i="4"/>
  <c r="I1123" i="4"/>
  <c r="G1120" i="4"/>
  <c r="I1118" i="4"/>
  <c r="G1117" i="4"/>
  <c r="I1114" i="4"/>
  <c r="H1095" i="1"/>
  <c r="H1093" i="1"/>
  <c r="D1086" i="1"/>
  <c r="H1083" i="1"/>
  <c r="H1081" i="1"/>
  <c r="D1080" i="1"/>
  <c r="D1078" i="1"/>
  <c r="G1075" i="1"/>
  <c r="C1074" i="1"/>
  <c r="H1073" i="1"/>
  <c r="D1070" i="1"/>
  <c r="H1069" i="1"/>
  <c r="I1068" i="1"/>
  <c r="D1068" i="1"/>
  <c r="H1067" i="1"/>
  <c r="B1096" i="1"/>
  <c r="B1095" i="1"/>
  <c r="E1093" i="1"/>
  <c r="C1091" i="1"/>
  <c r="J1090" i="1"/>
  <c r="F1084" i="1"/>
  <c r="J1082" i="1"/>
  <c r="C1079" i="1"/>
  <c r="G1079" i="1"/>
  <c r="B1078" i="1"/>
  <c r="B1073" i="1"/>
  <c r="J1072" i="1"/>
  <c r="I1129" i="4"/>
  <c r="G1128" i="4"/>
  <c r="I1127" i="4"/>
  <c r="G1123" i="4"/>
  <c r="E1122" i="4"/>
  <c r="G1119" i="4"/>
  <c r="G1097" i="1"/>
  <c r="D1096" i="1"/>
  <c r="D1094" i="1"/>
  <c r="D1092" i="1"/>
  <c r="D1090" i="1"/>
  <c r="D1088" i="1"/>
  <c r="H1085" i="1"/>
  <c r="H1077" i="1"/>
  <c r="D1076" i="1"/>
  <c r="J1095" i="1"/>
  <c r="J1094" i="1"/>
  <c r="B1091" i="1"/>
  <c r="E1089" i="1"/>
  <c r="D1085" i="1"/>
  <c r="G1084" i="1"/>
  <c r="F1079" i="1"/>
  <c r="B1074" i="1"/>
  <c r="I1072" i="1"/>
  <c r="I1070" i="1"/>
  <c r="H1107" i="4"/>
  <c r="H1106" i="4"/>
  <c r="H1105" i="4"/>
  <c r="H1104" i="4"/>
  <c r="H1102" i="4"/>
  <c r="J1101" i="4"/>
  <c r="H1101" i="4"/>
  <c r="H1100" i="4"/>
  <c r="H1099" i="4"/>
  <c r="H1098" i="4"/>
  <c r="H1097" i="4"/>
  <c r="H1096" i="4"/>
  <c r="H1095" i="4"/>
  <c r="B1094" i="4"/>
  <c r="F1094" i="4"/>
  <c r="H1094" i="4"/>
  <c r="H1093" i="4"/>
  <c r="H1092" i="4"/>
  <c r="H1091" i="4"/>
  <c r="F1090" i="4"/>
  <c r="H1090" i="4"/>
  <c r="H1089" i="4"/>
  <c r="H1088" i="4"/>
  <c r="H1087" i="4"/>
  <c r="H1086" i="4"/>
  <c r="H1084" i="4"/>
  <c r="B1083" i="4"/>
  <c r="F1083" i="4"/>
  <c r="H1083" i="4"/>
  <c r="H1082" i="4"/>
  <c r="H1081" i="4"/>
  <c r="H1080" i="4"/>
  <c r="J1079" i="4"/>
  <c r="F1079" i="4"/>
  <c r="H1079" i="4"/>
  <c r="H1078" i="4"/>
  <c r="H1077" i="4"/>
  <c r="H1076" i="4"/>
  <c r="H1075" i="4"/>
  <c r="D1074" i="4"/>
  <c r="H1074" i="4"/>
  <c r="H1073" i="4"/>
  <c r="H1072" i="4"/>
  <c r="H1071" i="4"/>
  <c r="H1070" i="4"/>
  <c r="H1069" i="4"/>
  <c r="F1068" i="4"/>
  <c r="H1068" i="4"/>
  <c r="H1067" i="4"/>
  <c r="H1066" i="4"/>
  <c r="D1065" i="4"/>
  <c r="H1065" i="4"/>
  <c r="J1064" i="4"/>
  <c r="H1064" i="4"/>
  <c r="F1063" i="4"/>
  <c r="H1063" i="4"/>
  <c r="H1062" i="4"/>
  <c r="H1061" i="4"/>
  <c r="H1060" i="4"/>
  <c r="F1059" i="4"/>
  <c r="H1059" i="4"/>
  <c r="H1058" i="4"/>
  <c r="F1057" i="4"/>
  <c r="H1057" i="4"/>
  <c r="H1056" i="4"/>
  <c r="H1055" i="4"/>
  <c r="F1054" i="4"/>
  <c r="H1054" i="4"/>
  <c r="H1053" i="4"/>
  <c r="H1052" i="4"/>
  <c r="D1051" i="4"/>
  <c r="H1051" i="4"/>
  <c r="H1050" i="4"/>
  <c r="H1049" i="4"/>
  <c r="H1048" i="4"/>
  <c r="H1047" i="4"/>
  <c r="H1046" i="4"/>
  <c r="D1085" i="4"/>
  <c r="F1085" i="4"/>
  <c r="F1045" i="4"/>
  <c r="E1096" i="1"/>
  <c r="I1095" i="1"/>
  <c r="E1094" i="1"/>
  <c r="I1093" i="1"/>
  <c r="E1092" i="1"/>
  <c r="I1091" i="1"/>
  <c r="E1090" i="1"/>
  <c r="E1088" i="1"/>
  <c r="I1085" i="1"/>
  <c r="I1083" i="1"/>
  <c r="I1081" i="1"/>
  <c r="E1080" i="1"/>
  <c r="I1075" i="1"/>
  <c r="I1073" i="1"/>
  <c r="E1072" i="1"/>
  <c r="I1071" i="1"/>
  <c r="I1069" i="1"/>
  <c r="I1067" i="1"/>
  <c r="I1065" i="1"/>
  <c r="E1064" i="1"/>
  <c r="I1063" i="1"/>
  <c r="I1061" i="1"/>
  <c r="E1060" i="1"/>
  <c r="I1059" i="1"/>
  <c r="I1057" i="1"/>
  <c r="I1053" i="1"/>
  <c r="G1050" i="1"/>
  <c r="J1050" i="1"/>
  <c r="B1050" i="1"/>
  <c r="H1065" i="1"/>
  <c r="H1059" i="1"/>
  <c r="H1057" i="1"/>
  <c r="B1052" i="1"/>
  <c r="J1051" i="1"/>
  <c r="D1051" i="1"/>
  <c r="B1130" i="4"/>
  <c r="F1130" i="4"/>
  <c r="B1129" i="4"/>
  <c r="D1129" i="4"/>
  <c r="J1128" i="4"/>
  <c r="D1128" i="4"/>
  <c r="B1127" i="4"/>
  <c r="F1127" i="4"/>
  <c r="J1126" i="4"/>
  <c r="D1126" i="4"/>
  <c r="B1125" i="4"/>
  <c r="F1125" i="4"/>
  <c r="B1124" i="4"/>
  <c r="F1124" i="4"/>
  <c r="J1123" i="4"/>
  <c r="D1123" i="4"/>
  <c r="J1122" i="4"/>
  <c r="D1122" i="4"/>
  <c r="B1121" i="4"/>
  <c r="F1121" i="4"/>
  <c r="J1120" i="4"/>
  <c r="D1120" i="4"/>
  <c r="B1119" i="4"/>
  <c r="F1119" i="4"/>
  <c r="J1118" i="4"/>
  <c r="D1118" i="4"/>
  <c r="J1117" i="4"/>
  <c r="D1117" i="4"/>
  <c r="B1116" i="4"/>
  <c r="B1109" i="4"/>
  <c r="B1098" i="4"/>
  <c r="F1074" i="4"/>
  <c r="J1096" i="1"/>
  <c r="G1095" i="1"/>
  <c r="G1093" i="1"/>
  <c r="J1092" i="1"/>
  <c r="F1091" i="1"/>
  <c r="I1090" i="1"/>
  <c r="C1090" i="1"/>
  <c r="B1089" i="1"/>
  <c r="F1089" i="1"/>
  <c r="G1088" i="1"/>
  <c r="C1087" i="1"/>
  <c r="F1087" i="1"/>
  <c r="C1086" i="1"/>
  <c r="B1085" i="1"/>
  <c r="E1085" i="1"/>
  <c r="C1084" i="1"/>
  <c r="F1083" i="1"/>
  <c r="I1082" i="1"/>
  <c r="C1082" i="1"/>
  <c r="J1081" i="1"/>
  <c r="G1081" i="1"/>
  <c r="C1080" i="1"/>
  <c r="B1079" i="1"/>
  <c r="E1079" i="1"/>
  <c r="F1078" i="1"/>
  <c r="J1078" i="1"/>
  <c r="D1077" i="1"/>
  <c r="G1076" i="1"/>
  <c r="J1076" i="1"/>
  <c r="J1075" i="1"/>
  <c r="D1075" i="1"/>
  <c r="I1074" i="1"/>
  <c r="E1073" i="1"/>
  <c r="F1071" i="1"/>
  <c r="B1070" i="1"/>
  <c r="J1069" i="1"/>
  <c r="D1069" i="1"/>
  <c r="G1069" i="1"/>
  <c r="B1068" i="1"/>
  <c r="J1067" i="1"/>
  <c r="G1067" i="1"/>
  <c r="I1066" i="1"/>
  <c r="C1066" i="1"/>
  <c r="D1065" i="1"/>
  <c r="F1065" i="1"/>
  <c r="B1063" i="1"/>
  <c r="F1063" i="1"/>
  <c r="I1062" i="1"/>
  <c r="C1062" i="1"/>
  <c r="D1061" i="1"/>
  <c r="F1061" i="1"/>
  <c r="B1060" i="1"/>
  <c r="G1059" i="1"/>
  <c r="J1058" i="1"/>
  <c r="C1057" i="1"/>
  <c r="F1057" i="1"/>
  <c r="C1056" i="1"/>
  <c r="J1055" i="1"/>
  <c r="F1055" i="1"/>
  <c r="I1054" i="1"/>
  <c r="D1053" i="1"/>
  <c r="G1053" i="1"/>
  <c r="R1051" i="1"/>
  <c r="K1050" i="1"/>
  <c r="D1064" i="1"/>
  <c r="H1063" i="1"/>
  <c r="H1061" i="1"/>
  <c r="D1056" i="1"/>
  <c r="H1055" i="1"/>
  <c r="H1053" i="1"/>
  <c r="J1052" i="1"/>
  <c r="F1051" i="1"/>
  <c r="R1050" i="1"/>
  <c r="J1130" i="4"/>
  <c r="D1130" i="4"/>
  <c r="J1129" i="4"/>
  <c r="F1129" i="4"/>
  <c r="B1128" i="4"/>
  <c r="F1128" i="4"/>
  <c r="J1127" i="4"/>
  <c r="D1127" i="4"/>
  <c r="B1126" i="4"/>
  <c r="F1126" i="4"/>
  <c r="J1125" i="4"/>
  <c r="D1125" i="4"/>
  <c r="J1124" i="4"/>
  <c r="D1124" i="4"/>
  <c r="B1123" i="4"/>
  <c r="F1123" i="4"/>
  <c r="B1122" i="4"/>
  <c r="F1122" i="4"/>
  <c r="J1121" i="4"/>
  <c r="D1121" i="4"/>
  <c r="B1120" i="4"/>
  <c r="F1120" i="4"/>
  <c r="J1119" i="4"/>
  <c r="D1119" i="4"/>
  <c r="B1118" i="4"/>
  <c r="F1118" i="4"/>
  <c r="B1117" i="4"/>
  <c r="F1117" i="4"/>
  <c r="J1116" i="4"/>
  <c r="D1116" i="4"/>
  <c r="B1105" i="4"/>
  <c r="D1087" i="4"/>
  <c r="G1096" i="1"/>
  <c r="E1095" i="1"/>
  <c r="B1094" i="1"/>
  <c r="C1093" i="1"/>
  <c r="B1092" i="1"/>
  <c r="J1091" i="1"/>
  <c r="F1088" i="1"/>
  <c r="J1088" i="1"/>
  <c r="B1087" i="1"/>
  <c r="E1087" i="1"/>
  <c r="I1086" i="1"/>
  <c r="C1085" i="1"/>
  <c r="F1085" i="1"/>
  <c r="J1084" i="1"/>
  <c r="E1083" i="1"/>
  <c r="G1082" i="1"/>
  <c r="B1082" i="1"/>
  <c r="E1081" i="1"/>
  <c r="F1080" i="1"/>
  <c r="B1080" i="1"/>
  <c r="G1078" i="1"/>
  <c r="C1077" i="1"/>
  <c r="F1077" i="1"/>
  <c r="B1076" i="1"/>
  <c r="C1075" i="1"/>
  <c r="F1074" i="1"/>
  <c r="C1073" i="1"/>
  <c r="F1073" i="1"/>
  <c r="C1072" i="1"/>
  <c r="C1071" i="1"/>
  <c r="G1071" i="1"/>
  <c r="J1070" i="1"/>
  <c r="E1069" i="1"/>
  <c r="G1068" i="1"/>
  <c r="D1067" i="1"/>
  <c r="B1066" i="1"/>
  <c r="J1065" i="1"/>
  <c r="G1065" i="1"/>
  <c r="B1064" i="1"/>
  <c r="C1063" i="1"/>
  <c r="B1062" i="1"/>
  <c r="J1061" i="1"/>
  <c r="E1061" i="1"/>
  <c r="B1059" i="1"/>
  <c r="H1058" i="1"/>
  <c r="B1058" i="1"/>
  <c r="E1057" i="1"/>
  <c r="J1056" i="1"/>
  <c r="D1055" i="1"/>
  <c r="G1055" i="1"/>
  <c r="J1054" i="1"/>
  <c r="E1053" i="1"/>
  <c r="C1052" i="1"/>
  <c r="G1051" i="1"/>
  <c r="H1050" i="1"/>
  <c r="D1066" i="1"/>
  <c r="D1060" i="1"/>
  <c r="I1096" i="1"/>
  <c r="C1095" i="1"/>
  <c r="F1095" i="1"/>
  <c r="C1094" i="1"/>
  <c r="J1093" i="1"/>
  <c r="F1092" i="1"/>
  <c r="C1092" i="1"/>
  <c r="G1091" i="1"/>
  <c r="G1090" i="1"/>
  <c r="B1090" i="1"/>
  <c r="J1089" i="1"/>
  <c r="G1089" i="1"/>
  <c r="I1088" i="1"/>
  <c r="D1087" i="1"/>
  <c r="J1086" i="1"/>
  <c r="G1085" i="1"/>
  <c r="B1084" i="1"/>
  <c r="J1083" i="1"/>
  <c r="D1083" i="1"/>
  <c r="G1083" i="1"/>
  <c r="F1081" i="1"/>
  <c r="G1080" i="1"/>
  <c r="J1079" i="1"/>
  <c r="D1079" i="1"/>
  <c r="I1078" i="1"/>
  <c r="C1078" i="1"/>
  <c r="B1077" i="1"/>
  <c r="E1077" i="1"/>
  <c r="I1076" i="1"/>
  <c r="B1075" i="1"/>
  <c r="E1075" i="1"/>
  <c r="G1074" i="1"/>
  <c r="J1074" i="1"/>
  <c r="D1073" i="1"/>
  <c r="G1073" i="1"/>
  <c r="F1072" i="1"/>
  <c r="B1072" i="1"/>
  <c r="J1071" i="1"/>
  <c r="D1071" i="1"/>
  <c r="C1070" i="1"/>
  <c r="F1069" i="1"/>
  <c r="F1068" i="1"/>
  <c r="C1068" i="1"/>
  <c r="E1067" i="1"/>
  <c r="J1066" i="1"/>
  <c r="E1065" i="1"/>
  <c r="C1064" i="1"/>
  <c r="J1063" i="1"/>
  <c r="G1063" i="1"/>
  <c r="J1062" i="1"/>
  <c r="G1061" i="1"/>
  <c r="F1060" i="1"/>
  <c r="C1060" i="1"/>
  <c r="J1059" i="1"/>
  <c r="D1059" i="1"/>
  <c r="I1058" i="1"/>
  <c r="C1058" i="1"/>
  <c r="D1057" i="1"/>
  <c r="G1057" i="1"/>
  <c r="B1056" i="1"/>
  <c r="B1055" i="1"/>
  <c r="E1055" i="1"/>
  <c r="H1054" i="1"/>
  <c r="B1054" i="1"/>
  <c r="C1053" i="1"/>
  <c r="F1053" i="1"/>
  <c r="E1052" i="1"/>
  <c r="E1051" i="1"/>
  <c r="K1130" i="4"/>
  <c r="C1130" i="4"/>
  <c r="E1130" i="4"/>
  <c r="K1129" i="4"/>
  <c r="C1129" i="4"/>
  <c r="E1129" i="4"/>
  <c r="E1127" i="4"/>
  <c r="K1123" i="4"/>
  <c r="C1119" i="4"/>
  <c r="K1115" i="4"/>
  <c r="K1110" i="4"/>
  <c r="E1105" i="4"/>
  <c r="E1101" i="4"/>
  <c r="K1100" i="4"/>
  <c r="E1096" i="4"/>
  <c r="D1095" i="1"/>
  <c r="B1093" i="1"/>
  <c r="A1074" i="2"/>
  <c r="H1096" i="1"/>
  <c r="H1094" i="1"/>
  <c r="H1092" i="1"/>
  <c r="H1090" i="1"/>
  <c r="H1088" i="1"/>
  <c r="H1086" i="1"/>
  <c r="H1084" i="1"/>
  <c r="H1082" i="1"/>
  <c r="H1080" i="1"/>
  <c r="H1078" i="1"/>
  <c r="H1076" i="1"/>
  <c r="H1074" i="1"/>
  <c r="H1072" i="1"/>
  <c r="H1064" i="1"/>
  <c r="H1056" i="1"/>
  <c r="D1052" i="1"/>
  <c r="B1051" i="1"/>
  <c r="F1070" i="1"/>
  <c r="C1067" i="1"/>
  <c r="F1062" i="1"/>
  <c r="C1059" i="1"/>
  <c r="F1054" i="1"/>
  <c r="B1096" i="3"/>
  <c r="B1095" i="3"/>
  <c r="B1094" i="3"/>
  <c r="B1092" i="3"/>
  <c r="B1091" i="3"/>
  <c r="B1090" i="3"/>
  <c r="B1089" i="3"/>
  <c r="B1088" i="3"/>
  <c r="B1087" i="3"/>
  <c r="B1085" i="3"/>
  <c r="B1084" i="3"/>
  <c r="B1083" i="3"/>
  <c r="B1082" i="3"/>
  <c r="B1081" i="3"/>
  <c r="B1079" i="3"/>
  <c r="B1078" i="3"/>
  <c r="B1076" i="3"/>
  <c r="B1075" i="3"/>
  <c r="B1074" i="3"/>
  <c r="B1072" i="3"/>
  <c r="B1071" i="3"/>
  <c r="B1070" i="3"/>
  <c r="B1069" i="3"/>
  <c r="B1068" i="3"/>
  <c r="B1067" i="3"/>
  <c r="B1065" i="3"/>
  <c r="B1064" i="3"/>
  <c r="B1063" i="3"/>
  <c r="B1062" i="3"/>
  <c r="B1061" i="3"/>
  <c r="B1060" i="3"/>
  <c r="B1059" i="3"/>
  <c r="B1058" i="3"/>
  <c r="B1057" i="3"/>
  <c r="F1116" i="4"/>
  <c r="J1115" i="4"/>
  <c r="B1115" i="4"/>
  <c r="D1115" i="4"/>
  <c r="F1115" i="4"/>
  <c r="J1114" i="4"/>
  <c r="B1114" i="4"/>
  <c r="D1114" i="4"/>
  <c r="F1114" i="4"/>
  <c r="J1113" i="4"/>
  <c r="B1113" i="4"/>
  <c r="D1113" i="4"/>
  <c r="F1113" i="4"/>
  <c r="B1112" i="4"/>
  <c r="D1112" i="4"/>
  <c r="F1112" i="4"/>
  <c r="J1111" i="4"/>
  <c r="B1111" i="4"/>
  <c r="D1111" i="4"/>
  <c r="F1111" i="4"/>
  <c r="J1110" i="4"/>
  <c r="B1110" i="4"/>
  <c r="D1110" i="4"/>
  <c r="F1110" i="4"/>
  <c r="J1109" i="4"/>
  <c r="D1109" i="4"/>
  <c r="F1109" i="4"/>
  <c r="J1108" i="4"/>
  <c r="B1108" i="4"/>
  <c r="D1108" i="4"/>
  <c r="F1108" i="4"/>
  <c r="J1107" i="4"/>
  <c r="B1107" i="4"/>
  <c r="D1107" i="4"/>
  <c r="F1107" i="4"/>
  <c r="J1106" i="4"/>
  <c r="B1106" i="4"/>
  <c r="D1106" i="4"/>
  <c r="F1106" i="4"/>
  <c r="J1105" i="4"/>
  <c r="D1105" i="4"/>
  <c r="F1105" i="4"/>
  <c r="J1104" i="4"/>
  <c r="B1104" i="4"/>
  <c r="D1104" i="4"/>
  <c r="F1104" i="4"/>
  <c r="J1103" i="4"/>
  <c r="B1103" i="4"/>
  <c r="D1103" i="4"/>
  <c r="F1103" i="4"/>
  <c r="J1102" i="4"/>
  <c r="B1102" i="4"/>
  <c r="D1102" i="4"/>
  <c r="F1102" i="4"/>
  <c r="B1101" i="4"/>
  <c r="D1101" i="4"/>
  <c r="F1101" i="4"/>
  <c r="J1100" i="4"/>
  <c r="B1100" i="4"/>
  <c r="D1100" i="4"/>
  <c r="F1100" i="4"/>
  <c r="J1099" i="4"/>
  <c r="B1099" i="4"/>
  <c r="D1099" i="4"/>
  <c r="F1099" i="4"/>
  <c r="J1098" i="4"/>
  <c r="D1098" i="4"/>
  <c r="F1098" i="4"/>
  <c r="J1097" i="4"/>
  <c r="B1097" i="4"/>
  <c r="D1097" i="4"/>
  <c r="F1097" i="4"/>
  <c r="J1096" i="4"/>
  <c r="B1096" i="4"/>
  <c r="D1096" i="4"/>
  <c r="F1096" i="4"/>
  <c r="J1095" i="4"/>
  <c r="B1095" i="4"/>
  <c r="D1095" i="4"/>
  <c r="F1095" i="4"/>
  <c r="J1094" i="4"/>
  <c r="D1094" i="4"/>
  <c r="J1093" i="4"/>
  <c r="B1093" i="4"/>
  <c r="D1093" i="4"/>
  <c r="F1093" i="4"/>
  <c r="J1092" i="4"/>
  <c r="B1092" i="4"/>
  <c r="D1092" i="4"/>
  <c r="F1092" i="4"/>
  <c r="J1091" i="4"/>
  <c r="B1091" i="4"/>
  <c r="D1091" i="4"/>
  <c r="F1091" i="4"/>
  <c r="J1090" i="4"/>
  <c r="B1090" i="4"/>
  <c r="D1090" i="4"/>
  <c r="J1089" i="4"/>
  <c r="D1089" i="4"/>
  <c r="F1089" i="4"/>
  <c r="J1088" i="4"/>
  <c r="B1088" i="4"/>
  <c r="D1088" i="4"/>
  <c r="F1088" i="4"/>
  <c r="J1087" i="4"/>
  <c r="B1087" i="4"/>
  <c r="F1087" i="4"/>
  <c r="J1086" i="4"/>
  <c r="B1086" i="4"/>
  <c r="D1086" i="4"/>
  <c r="F1086" i="4"/>
  <c r="J1084" i="4"/>
  <c r="B1084" i="4"/>
  <c r="D1084" i="4"/>
  <c r="F1084" i="4"/>
  <c r="J1083" i="4"/>
  <c r="D1083" i="4"/>
  <c r="J1082" i="4"/>
  <c r="B1082" i="4"/>
  <c r="D1082" i="4"/>
  <c r="F1082" i="4"/>
  <c r="J1081" i="4"/>
  <c r="B1081" i="4"/>
  <c r="D1081" i="4"/>
  <c r="F1081" i="4"/>
  <c r="J1080" i="4"/>
  <c r="B1080" i="4"/>
  <c r="D1080" i="4"/>
  <c r="F1080" i="4"/>
  <c r="B1079" i="4"/>
  <c r="D1079" i="4"/>
  <c r="J1078" i="4"/>
  <c r="B1078" i="4"/>
  <c r="D1078" i="4"/>
  <c r="F1078" i="4"/>
  <c r="J1077" i="4"/>
  <c r="B1077" i="4"/>
  <c r="D1077" i="4"/>
  <c r="F1077" i="4"/>
  <c r="J1076" i="4"/>
  <c r="B1076" i="4"/>
  <c r="D1076" i="4"/>
  <c r="F1076" i="4"/>
  <c r="J1075" i="4"/>
  <c r="B1075" i="4"/>
  <c r="D1075" i="4"/>
  <c r="F1075" i="4"/>
  <c r="J1074" i="4"/>
  <c r="B1074" i="4"/>
  <c r="J1073" i="4"/>
  <c r="B1073" i="4"/>
  <c r="D1073" i="4"/>
  <c r="F1073" i="4"/>
  <c r="J1072" i="4"/>
  <c r="B1072" i="4"/>
  <c r="D1072" i="4"/>
  <c r="F1072" i="4"/>
  <c r="J1071" i="4"/>
  <c r="B1071" i="4"/>
  <c r="D1071" i="4"/>
  <c r="F1071" i="4"/>
  <c r="J1070" i="4"/>
  <c r="B1070" i="4"/>
  <c r="D1070" i="4"/>
  <c r="F1070" i="4"/>
  <c r="J1069" i="4"/>
  <c r="B1069" i="4"/>
  <c r="D1069" i="4"/>
  <c r="F1069" i="4"/>
  <c r="J1068" i="4"/>
  <c r="D1096" i="3"/>
  <c r="D1093" i="3"/>
  <c r="D1091" i="3"/>
  <c r="D1090" i="3"/>
  <c r="D1089" i="3"/>
  <c r="D1088" i="3"/>
  <c r="D1085" i="3"/>
  <c r="D1082" i="3"/>
  <c r="D1081" i="3"/>
  <c r="D1080" i="3"/>
  <c r="D1079" i="3"/>
  <c r="D1077" i="3"/>
  <c r="D1076" i="3"/>
  <c r="D1074" i="3"/>
  <c r="D1073" i="3"/>
  <c r="D1072" i="3"/>
  <c r="D1071" i="3"/>
  <c r="D1070" i="3"/>
  <c r="D1068" i="3"/>
  <c r="D1067" i="3"/>
  <c r="D1066" i="3"/>
  <c r="D1065" i="3"/>
  <c r="D1064" i="3"/>
  <c r="D1062" i="3"/>
  <c r="C1073" i="3"/>
  <c r="C1071" i="3"/>
  <c r="C1068" i="3"/>
  <c r="C1065" i="3"/>
  <c r="C1063" i="3"/>
  <c r="C1062" i="3"/>
  <c r="C1060" i="3"/>
  <c r="C1053" i="3"/>
  <c r="C1050" i="3"/>
  <c r="B1068" i="4"/>
  <c r="D1068" i="4"/>
  <c r="J1067" i="4"/>
  <c r="B1067" i="4"/>
  <c r="D1067" i="4"/>
  <c r="F1067" i="4"/>
  <c r="J1066" i="4"/>
  <c r="B1066" i="4"/>
  <c r="D1066" i="4"/>
  <c r="F1066" i="4"/>
  <c r="J1065" i="4"/>
  <c r="B1065" i="4"/>
  <c r="F1065" i="4"/>
  <c r="B1064" i="4"/>
  <c r="D1064" i="4"/>
  <c r="F1064" i="4"/>
  <c r="J1063" i="4"/>
  <c r="B1063" i="4"/>
  <c r="D1063" i="4"/>
  <c r="J1062" i="4"/>
  <c r="B1062" i="4"/>
  <c r="D1062" i="4"/>
  <c r="F1062" i="4"/>
  <c r="J1061" i="4"/>
  <c r="B1061" i="4"/>
  <c r="D1061" i="4"/>
  <c r="F1061" i="4"/>
  <c r="J1060" i="4"/>
  <c r="B1060" i="4"/>
  <c r="D1060" i="4"/>
  <c r="F1060" i="4"/>
  <c r="J1059" i="4"/>
  <c r="B1059" i="4"/>
  <c r="D1059" i="4"/>
  <c r="J1058" i="4"/>
  <c r="B1058" i="4"/>
  <c r="D1058" i="4"/>
  <c r="F1058" i="4"/>
  <c r="J1057" i="4"/>
  <c r="B1057" i="4"/>
  <c r="D1057" i="4"/>
  <c r="J1056" i="4"/>
  <c r="B1056" i="4"/>
  <c r="D1056" i="4"/>
  <c r="F1056" i="4"/>
  <c r="J1055" i="4"/>
  <c r="B1055" i="4"/>
  <c r="D1055" i="4"/>
  <c r="F1055" i="4"/>
  <c r="J1054" i="4"/>
  <c r="B1054" i="4"/>
  <c r="D1054" i="4"/>
  <c r="J1053" i="4"/>
  <c r="B1053" i="4"/>
  <c r="D1053" i="4"/>
  <c r="F1053" i="4"/>
  <c r="J1052" i="4"/>
  <c r="B1052" i="4"/>
  <c r="D1052" i="4"/>
  <c r="F1052" i="4"/>
  <c r="J1051" i="4"/>
  <c r="B1051" i="4"/>
  <c r="F1051" i="4"/>
  <c r="J1050" i="4"/>
  <c r="B1050" i="4"/>
  <c r="D1050" i="4"/>
  <c r="F1050" i="4"/>
  <c r="J1049" i="4"/>
  <c r="B1049" i="4"/>
  <c r="D1049" i="4"/>
  <c r="F1049" i="4"/>
  <c r="J1048" i="4"/>
  <c r="B1048" i="4"/>
  <c r="D1048" i="4"/>
  <c r="F1048" i="4"/>
  <c r="J1047" i="4"/>
  <c r="B1047" i="4"/>
  <c r="D1047" i="4"/>
  <c r="F1047" i="4"/>
  <c r="J1046" i="4"/>
  <c r="B1046" i="4"/>
  <c r="D1046" i="4"/>
  <c r="F1046" i="4"/>
  <c r="H1085" i="4"/>
  <c r="H1045" i="4"/>
  <c r="J1045" i="4"/>
  <c r="J1085" i="4"/>
  <c r="B1045" i="4"/>
  <c r="B1085" i="4"/>
  <c r="D1045" i="4"/>
  <c r="B1055" i="3"/>
  <c r="B1053" i="3"/>
  <c r="B1051" i="3"/>
  <c r="K1128" i="4"/>
  <c r="C1128" i="4"/>
  <c r="E1128" i="4"/>
  <c r="K1127" i="4"/>
  <c r="C1127" i="4"/>
  <c r="K1126" i="4"/>
  <c r="C1126" i="4"/>
  <c r="E1126" i="4"/>
  <c r="K1125" i="4"/>
  <c r="C1125" i="4"/>
  <c r="E1125" i="4"/>
  <c r="K1124" i="4"/>
  <c r="C1124" i="4"/>
  <c r="E1124" i="4"/>
  <c r="C1123" i="4"/>
  <c r="E1123" i="4"/>
  <c r="K1122" i="4"/>
  <c r="C1122" i="4"/>
  <c r="K1121" i="4"/>
  <c r="C1121" i="4"/>
  <c r="E1121" i="4"/>
  <c r="K1120" i="4"/>
  <c r="C1120" i="4"/>
  <c r="E1120" i="4"/>
  <c r="K1119" i="4"/>
  <c r="E1119" i="4"/>
  <c r="K1118" i="4"/>
  <c r="C1118" i="4"/>
  <c r="E1118" i="4"/>
  <c r="K1117" i="4"/>
  <c r="C1117" i="4"/>
  <c r="E1117" i="4"/>
  <c r="K1116" i="4"/>
  <c r="C1116" i="4"/>
  <c r="E1116" i="4"/>
  <c r="C1115" i="4"/>
  <c r="E1115" i="4"/>
  <c r="K1114" i="4"/>
  <c r="C1114" i="4"/>
  <c r="K1113" i="4"/>
  <c r="C1113" i="4"/>
  <c r="E1113" i="4"/>
  <c r="K1112" i="4"/>
  <c r="C1112" i="4"/>
  <c r="K1111" i="4"/>
  <c r="C1111" i="4"/>
  <c r="E1111" i="4"/>
  <c r="C1110" i="4"/>
  <c r="E1110" i="4"/>
  <c r="K1109" i="4"/>
  <c r="E1109" i="4"/>
  <c r="K1108" i="4"/>
  <c r="C1108" i="4"/>
  <c r="E1108" i="4"/>
  <c r="K1107" i="4"/>
  <c r="C1107" i="4"/>
  <c r="K1106" i="4"/>
  <c r="C1106" i="4"/>
  <c r="E1106" i="4"/>
  <c r="K1105" i="4"/>
  <c r="C1105" i="4"/>
  <c r="K1104" i="4"/>
  <c r="C1104" i="4"/>
  <c r="E1104" i="4"/>
  <c r="K1103" i="4"/>
  <c r="C1103" i="4"/>
  <c r="E1103" i="4"/>
  <c r="K1102" i="4"/>
  <c r="C1102" i="4"/>
  <c r="E1102" i="4"/>
  <c r="K1101" i="4"/>
  <c r="C1101" i="4"/>
  <c r="C1100" i="4"/>
  <c r="E1100" i="4"/>
  <c r="K1099" i="4"/>
  <c r="C1099" i="4"/>
  <c r="E1099" i="4"/>
  <c r="K1098" i="4"/>
  <c r="E1098" i="4"/>
  <c r="K1097" i="4"/>
  <c r="C1097" i="4"/>
  <c r="E1097" i="4"/>
  <c r="K1096" i="4"/>
  <c r="C1096" i="4"/>
  <c r="K1095" i="4"/>
  <c r="C1095" i="4"/>
  <c r="E1095" i="4"/>
  <c r="K1094" i="4"/>
  <c r="C1094" i="4"/>
  <c r="E1094" i="4"/>
  <c r="K1093" i="4"/>
  <c r="C1093" i="4"/>
  <c r="E1093" i="4"/>
  <c r="K1092" i="4"/>
  <c r="C1092" i="4"/>
  <c r="E1092" i="4"/>
  <c r="K1091" i="4"/>
  <c r="C1091" i="4"/>
  <c r="E1091" i="4"/>
  <c r="K1090" i="4"/>
  <c r="C1090" i="4"/>
  <c r="E1090" i="4"/>
  <c r="C1089" i="4"/>
  <c r="E1089" i="4"/>
  <c r="C1088" i="4"/>
  <c r="E1088" i="4"/>
  <c r="K1087" i="4"/>
  <c r="C1087" i="4"/>
  <c r="E1087" i="4"/>
  <c r="K1086" i="4"/>
  <c r="C1086" i="4"/>
  <c r="E1086" i="4"/>
  <c r="K1084" i="4"/>
  <c r="C1084" i="4"/>
  <c r="E1084" i="4"/>
  <c r="K1083" i="4"/>
  <c r="C1083" i="4"/>
  <c r="E1083" i="4"/>
  <c r="K1082" i="4"/>
  <c r="C1082" i="4"/>
  <c r="E1082" i="4"/>
  <c r="K1081" i="4"/>
  <c r="C1081" i="4"/>
  <c r="E1081" i="4"/>
  <c r="C1077" i="4"/>
  <c r="K1073" i="4"/>
  <c r="C1066" i="4"/>
  <c r="K1062" i="4"/>
  <c r="C1096" i="3"/>
  <c r="C1095" i="3"/>
  <c r="C1094" i="3"/>
  <c r="C1093" i="3"/>
  <c r="C1091" i="3"/>
  <c r="C1090" i="3"/>
  <c r="C1088" i="3"/>
  <c r="C1087" i="3"/>
  <c r="C1086" i="3"/>
  <c r="C1085" i="3"/>
  <c r="C1083" i="3"/>
  <c r="C1082" i="3"/>
  <c r="C1080" i="3"/>
  <c r="C1079" i="3"/>
  <c r="C1075" i="3"/>
  <c r="C1055" i="3"/>
  <c r="K1080" i="4"/>
  <c r="C1080" i="4"/>
  <c r="E1080" i="4"/>
  <c r="K1079" i="4"/>
  <c r="C1079" i="4"/>
  <c r="E1079" i="4"/>
  <c r="C1078" i="4"/>
  <c r="E1078" i="4"/>
  <c r="E1077" i="4"/>
  <c r="K1076" i="4"/>
  <c r="E1076" i="4"/>
  <c r="K1075" i="4"/>
  <c r="C1075" i="4"/>
  <c r="K1074" i="4"/>
  <c r="C1074" i="4"/>
  <c r="E1074" i="4"/>
  <c r="C1073" i="4"/>
  <c r="E1073" i="4"/>
  <c r="K1072" i="4"/>
  <c r="E1072" i="4"/>
  <c r="K1071" i="4"/>
  <c r="C1071" i="4"/>
  <c r="E1071" i="4"/>
  <c r="K1070" i="4"/>
  <c r="C1070" i="4"/>
  <c r="E1070" i="4"/>
  <c r="K1069" i="4"/>
  <c r="C1069" i="4"/>
  <c r="E1069" i="4"/>
  <c r="C1068" i="4"/>
  <c r="E1068" i="4"/>
  <c r="K1067" i="4"/>
  <c r="C1067" i="4"/>
  <c r="E1067" i="4"/>
  <c r="E1066" i="4"/>
  <c r="K1065" i="4"/>
  <c r="E1065" i="4"/>
  <c r="K1064" i="4"/>
  <c r="C1064" i="4"/>
  <c r="K1063" i="4"/>
  <c r="C1063" i="4"/>
  <c r="C1062" i="4"/>
  <c r="E1062" i="4"/>
  <c r="K1061" i="4"/>
  <c r="E1061" i="4"/>
  <c r="K1060" i="4"/>
  <c r="C1060" i="4"/>
  <c r="E1060" i="4"/>
  <c r="K1059" i="4"/>
  <c r="C1059" i="4"/>
  <c r="E1059" i="4"/>
  <c r="K1058" i="4"/>
  <c r="C1058" i="4"/>
  <c r="E1058" i="4"/>
  <c r="K1057" i="4"/>
  <c r="C1057" i="4"/>
  <c r="K1056" i="4"/>
  <c r="E1056" i="4"/>
  <c r="K1055" i="4"/>
  <c r="C1055" i="4"/>
  <c r="E1055" i="4"/>
  <c r="K1054" i="4"/>
  <c r="C1054" i="4"/>
  <c r="E1054" i="4"/>
  <c r="K1053" i="4"/>
  <c r="C1053" i="4"/>
  <c r="E1053" i="4"/>
  <c r="C1052" i="4"/>
  <c r="E1052" i="4"/>
  <c r="K1051" i="4"/>
  <c r="C1051" i="4"/>
  <c r="K1050" i="4"/>
  <c r="C1050" i="4"/>
  <c r="E1050" i="4"/>
  <c r="K1049" i="4"/>
  <c r="C1049" i="4"/>
  <c r="E1049" i="4"/>
  <c r="K1048" i="4"/>
  <c r="E1048" i="4"/>
  <c r="K1047" i="4"/>
  <c r="C1047" i="4"/>
  <c r="K1046" i="4"/>
  <c r="C1046" i="4"/>
  <c r="E1046" i="4"/>
  <c r="I1085" i="4"/>
  <c r="I1045" i="4"/>
  <c r="K1045" i="4"/>
  <c r="K1085" i="4"/>
  <c r="C1045" i="4"/>
  <c r="C1085" i="4"/>
  <c r="C1078" i="3"/>
  <c r="C1077" i="3"/>
  <c r="C1074" i="3"/>
  <c r="A1075" i="2" l="1"/>
  <c r="B1074" i="2"/>
  <c r="H1098" i="1"/>
  <c r="Q1098" i="1"/>
  <c r="I1098" i="1"/>
  <c r="D1098" i="1"/>
  <c r="O1098" i="1"/>
  <c r="G1098" i="1"/>
  <c r="E1098" i="1"/>
  <c r="P1098" i="1"/>
  <c r="F1098" i="1"/>
  <c r="A1099" i="1"/>
  <c r="B1098" i="1"/>
  <c r="C1098" i="1"/>
  <c r="L1098" i="1"/>
  <c r="J1098" i="1"/>
  <c r="N1098" i="1"/>
  <c r="M1098" i="1"/>
  <c r="B1098" i="3"/>
  <c r="D1098" i="3"/>
  <c r="A1099" i="3"/>
  <c r="C1098" i="3"/>
  <c r="E1098" i="3"/>
  <c r="E1099" i="3" l="1"/>
  <c r="B1099" i="3"/>
  <c r="D1099" i="3"/>
  <c r="A1100" i="3"/>
  <c r="C1099" i="3"/>
  <c r="H1099" i="1"/>
  <c r="Q1099" i="1"/>
  <c r="B1099" i="1"/>
  <c r="L1099" i="1"/>
  <c r="I1099" i="1"/>
  <c r="J1099" i="1"/>
  <c r="C1099" i="1"/>
  <c r="N1099" i="1"/>
  <c r="M1099" i="1"/>
  <c r="F1099" i="1"/>
  <c r="G1099" i="1"/>
  <c r="P1099" i="1"/>
  <c r="O1099" i="1"/>
  <c r="D1099" i="1"/>
  <c r="E1099" i="1"/>
  <c r="A1100" i="1"/>
  <c r="B1075" i="2"/>
  <c r="A1076" i="2"/>
  <c r="H1100" i="1" l="1"/>
  <c r="Q1100" i="1"/>
  <c r="D1100" i="1"/>
  <c r="N1100" i="1"/>
  <c r="C1100" i="1"/>
  <c r="O1100" i="1"/>
  <c r="G1100" i="1"/>
  <c r="E1100" i="1"/>
  <c r="P1100" i="1"/>
  <c r="F1100" i="1"/>
  <c r="A1101" i="1"/>
  <c r="L1100" i="1"/>
  <c r="M1100" i="1"/>
  <c r="B1100" i="1"/>
  <c r="I1100" i="1"/>
  <c r="J1100" i="1"/>
  <c r="B1100" i="3"/>
  <c r="E1100" i="3"/>
  <c r="C1100" i="3"/>
  <c r="D1100" i="3"/>
  <c r="A1101" i="3"/>
  <c r="B1076" i="2"/>
  <c r="A1077" i="2"/>
  <c r="H1101" i="1" l="1"/>
  <c r="Q1101" i="1"/>
  <c r="F1101" i="1"/>
  <c r="P1101" i="1"/>
  <c r="I1101" i="1"/>
  <c r="J1101" i="1"/>
  <c r="M1101" i="1"/>
  <c r="L1101" i="1"/>
  <c r="B1101" i="1"/>
  <c r="A1102" i="1"/>
  <c r="C1101" i="1"/>
  <c r="D1101" i="1"/>
  <c r="G1101" i="1"/>
  <c r="O1101" i="1"/>
  <c r="E1101" i="1"/>
  <c r="N1101" i="1"/>
  <c r="B1077" i="2"/>
  <c r="A1078" i="2"/>
  <c r="C1101" i="3"/>
  <c r="E1101" i="3"/>
  <c r="D1101" i="3"/>
  <c r="B1101" i="3"/>
  <c r="A1102" i="3"/>
  <c r="A1103" i="3" l="1"/>
  <c r="C1102" i="3"/>
  <c r="D1102" i="3"/>
  <c r="E1102" i="3"/>
  <c r="B1102" i="3"/>
  <c r="A1079" i="2"/>
  <c r="B1078" i="2"/>
  <c r="H1102" i="1"/>
  <c r="Q1102" i="1"/>
  <c r="I1102" i="1"/>
  <c r="C1102" i="1"/>
  <c r="N1102" i="1"/>
  <c r="F1102" i="1"/>
  <c r="D1102" i="1"/>
  <c r="O1102" i="1"/>
  <c r="E1102" i="1"/>
  <c r="P1102" i="1"/>
  <c r="A1103" i="1"/>
  <c r="B1102" i="1"/>
  <c r="J1102" i="1"/>
  <c r="G1102" i="1"/>
  <c r="M1102" i="1"/>
  <c r="L1102" i="1"/>
  <c r="H1103" i="1" l="1"/>
  <c r="Q1103" i="1"/>
  <c r="B1103" i="1"/>
  <c r="L1103" i="1"/>
  <c r="G1103" i="1"/>
  <c r="I1103" i="1"/>
  <c r="M1103" i="1"/>
  <c r="J1103" i="1"/>
  <c r="E1103" i="1"/>
  <c r="F1103" i="1"/>
  <c r="O1103" i="1"/>
  <c r="N1103" i="1"/>
  <c r="A1104" i="1"/>
  <c r="C1103" i="1"/>
  <c r="D1103" i="1"/>
  <c r="P1103" i="1"/>
  <c r="C1103" i="3"/>
  <c r="A1104" i="3"/>
  <c r="B1103" i="3"/>
  <c r="E1103" i="3"/>
  <c r="D1103" i="3"/>
  <c r="B1079" i="2"/>
  <c r="A1080" i="2"/>
  <c r="A1081" i="2" l="1"/>
  <c r="B1080" i="2"/>
  <c r="D1104" i="3"/>
  <c r="A1105" i="3"/>
  <c r="B1104" i="3"/>
  <c r="E1104" i="3"/>
  <c r="C1104" i="3"/>
  <c r="H1104" i="1"/>
  <c r="Q1104" i="1"/>
  <c r="D1104" i="1"/>
  <c r="N1104" i="1"/>
  <c r="B1104" i="1"/>
  <c r="M1104" i="1"/>
  <c r="F1104" i="1"/>
  <c r="A1105" i="1"/>
  <c r="C1104" i="1"/>
  <c r="O1104" i="1"/>
  <c r="E1104" i="1"/>
  <c r="P1104" i="1"/>
  <c r="J1104" i="1"/>
  <c r="L1104" i="1"/>
  <c r="G1104" i="1"/>
  <c r="I1104" i="1"/>
  <c r="D1105" i="3" l="1"/>
  <c r="C1105" i="3"/>
  <c r="E1105" i="3"/>
  <c r="A1106" i="3"/>
  <c r="B1105" i="3"/>
  <c r="H1105" i="1"/>
  <c r="Q1105" i="1"/>
  <c r="F1105" i="1"/>
  <c r="P1105" i="1"/>
  <c r="G1105" i="1"/>
  <c r="I1105" i="1"/>
  <c r="L1105" i="1"/>
  <c r="J1105" i="1"/>
  <c r="O1105" i="1"/>
  <c r="A1106" i="1"/>
  <c r="B1105" i="1"/>
  <c r="C1105" i="1"/>
  <c r="E1105" i="1"/>
  <c r="N1105" i="1"/>
  <c r="M1105" i="1"/>
  <c r="D1105" i="1"/>
  <c r="B1081" i="2"/>
  <c r="A1082" i="2"/>
  <c r="A1083" i="2" l="1"/>
  <c r="B1082" i="2"/>
  <c r="H1106" i="1"/>
  <c r="Q1106" i="1"/>
  <c r="I1106" i="1"/>
  <c r="B1106" i="1"/>
  <c r="M1106" i="1"/>
  <c r="C1106" i="1"/>
  <c r="N1106" i="1"/>
  <c r="P1106" i="1"/>
  <c r="D1106" i="1"/>
  <c r="O1106" i="1"/>
  <c r="E1106" i="1"/>
  <c r="G1106" i="1"/>
  <c r="F1106" i="1"/>
  <c r="L1106" i="1"/>
  <c r="J1106" i="1"/>
  <c r="A1107" i="1"/>
  <c r="B1106" i="3"/>
  <c r="D1106" i="3"/>
  <c r="E1106" i="3"/>
  <c r="C1106" i="3"/>
  <c r="A1107" i="3"/>
  <c r="E1107" i="3" l="1"/>
  <c r="B1107" i="3"/>
  <c r="A1108" i="3"/>
  <c r="C1107" i="3"/>
  <c r="D1107" i="3"/>
  <c r="H1107" i="1"/>
  <c r="Q1107" i="1"/>
  <c r="B1107" i="1"/>
  <c r="L1107" i="1"/>
  <c r="F1107" i="1"/>
  <c r="A1108" i="1"/>
  <c r="G1107" i="1"/>
  <c r="I1107" i="1"/>
  <c r="J1107" i="1"/>
  <c r="D1107" i="1"/>
  <c r="E1107" i="1"/>
  <c r="N1107" i="1"/>
  <c r="M1107" i="1"/>
  <c r="P1107" i="1"/>
  <c r="C1107" i="1"/>
  <c r="O1107" i="1"/>
  <c r="B1083" i="2"/>
  <c r="A1084" i="2"/>
  <c r="B1084" i="2" l="1"/>
  <c r="A1085" i="2"/>
  <c r="H1108" i="1"/>
  <c r="Q1108" i="1"/>
  <c r="D1108" i="1"/>
  <c r="N1108" i="1"/>
  <c r="L1108" i="1"/>
  <c r="E1108" i="1"/>
  <c r="B1108" i="1"/>
  <c r="M1108" i="1"/>
  <c r="P1108" i="1"/>
  <c r="C1108" i="1"/>
  <c r="O1108" i="1"/>
  <c r="I1108" i="1"/>
  <c r="J1108" i="1"/>
  <c r="A1109" i="1"/>
  <c r="F1108" i="1"/>
  <c r="G1108" i="1"/>
  <c r="B1108" i="3"/>
  <c r="E1108" i="3"/>
  <c r="C1108" i="3"/>
  <c r="D1108" i="3"/>
  <c r="A1109" i="3"/>
  <c r="H1109" i="1" l="1"/>
  <c r="Q1109" i="1"/>
  <c r="F1109" i="1"/>
  <c r="P1109" i="1"/>
  <c r="E1109" i="1"/>
  <c r="A1110" i="1"/>
  <c r="G1109" i="1"/>
  <c r="I1109" i="1"/>
  <c r="J1109" i="1"/>
  <c r="N1109" i="1"/>
  <c r="O1109" i="1"/>
  <c r="B1109" i="1"/>
  <c r="D1109" i="1"/>
  <c r="L1109" i="1"/>
  <c r="M1109" i="1"/>
  <c r="C1109" i="1"/>
  <c r="E1109" i="3"/>
  <c r="B1109" i="3"/>
  <c r="D1109" i="3"/>
  <c r="A1110" i="3"/>
  <c r="C1109" i="3"/>
  <c r="A1086" i="2"/>
  <c r="B1085" i="2"/>
  <c r="C1110" i="3" l="1"/>
  <c r="E1110" i="3"/>
  <c r="A1111" i="3"/>
  <c r="B1110" i="3"/>
  <c r="D1110" i="3"/>
  <c r="A1087" i="2"/>
  <c r="B1086" i="2"/>
  <c r="H1110" i="1"/>
  <c r="Q1110" i="1"/>
  <c r="I1110" i="1"/>
  <c r="L1110" i="1"/>
  <c r="D1110" i="1"/>
  <c r="B1110" i="1"/>
  <c r="M1110" i="1"/>
  <c r="O1110" i="1"/>
  <c r="C1110" i="1"/>
  <c r="N1110" i="1"/>
  <c r="E1110" i="1"/>
  <c r="F1110" i="1"/>
  <c r="J1110" i="1"/>
  <c r="G1110" i="1"/>
  <c r="P1110" i="1"/>
  <c r="A1111" i="1"/>
  <c r="H1111" i="1" l="1"/>
  <c r="Q1111" i="1"/>
  <c r="B1111" i="1"/>
  <c r="L1111" i="1"/>
  <c r="E1111" i="1"/>
  <c r="P1111" i="1"/>
  <c r="F1111" i="1"/>
  <c r="A1112" i="1"/>
  <c r="G1111" i="1"/>
  <c r="I1111" i="1"/>
  <c r="C1111" i="1"/>
  <c r="D1111" i="1"/>
  <c r="M1111" i="1"/>
  <c r="J1111" i="1"/>
  <c r="O1111" i="1"/>
  <c r="N1111" i="1"/>
  <c r="B1087" i="2"/>
  <c r="A1088" i="2"/>
  <c r="C1111" i="3"/>
  <c r="A1112" i="3"/>
  <c r="B1111" i="3"/>
  <c r="D1111" i="3"/>
  <c r="E1111" i="3"/>
  <c r="A1113" i="3" l="1"/>
  <c r="E1112" i="3"/>
  <c r="B1112" i="3"/>
  <c r="C1112" i="3"/>
  <c r="D1112" i="3"/>
  <c r="B1088" i="2"/>
  <c r="A1089" i="2"/>
  <c r="H1112" i="1"/>
  <c r="Q1112" i="1"/>
  <c r="D1112" i="1"/>
  <c r="N1112" i="1"/>
  <c r="J1112" i="1"/>
  <c r="C1112" i="1"/>
  <c r="L1112" i="1"/>
  <c r="O1112" i="1"/>
  <c r="B1112" i="1"/>
  <c r="M1112" i="1"/>
  <c r="G1112" i="1"/>
  <c r="I1112" i="1"/>
  <c r="A1113" i="1"/>
  <c r="P1112" i="1"/>
  <c r="F1112" i="1"/>
  <c r="E1112" i="1"/>
  <c r="A1090" i="2" l="1"/>
  <c r="B1089" i="2"/>
  <c r="H1113" i="1"/>
  <c r="Q1113" i="1"/>
  <c r="F1113" i="1"/>
  <c r="P1113" i="1"/>
  <c r="D1113" i="1"/>
  <c r="O1113" i="1"/>
  <c r="E1113" i="1"/>
  <c r="A1114" i="1"/>
  <c r="G1113" i="1"/>
  <c r="I1113" i="1"/>
  <c r="M1113" i="1"/>
  <c r="N1113" i="1"/>
  <c r="C1113" i="1"/>
  <c r="B1113" i="1"/>
  <c r="J1113" i="1"/>
  <c r="L1113" i="1"/>
  <c r="D1113" i="3"/>
  <c r="C1113" i="3"/>
  <c r="B1113" i="3"/>
  <c r="E1113" i="3"/>
  <c r="A1114" i="3"/>
  <c r="D1114" i="3" l="1"/>
  <c r="B1114" i="3"/>
  <c r="C1114" i="3"/>
  <c r="A1115" i="3"/>
  <c r="E1114" i="3"/>
  <c r="H1114" i="1"/>
  <c r="Q1114" i="1"/>
  <c r="I1114" i="1"/>
  <c r="J1114" i="1"/>
  <c r="C1114" i="1"/>
  <c r="L1114" i="1"/>
  <c r="N1114" i="1"/>
  <c r="B1114" i="1"/>
  <c r="M1114" i="1"/>
  <c r="A1115" i="1"/>
  <c r="D1114" i="1"/>
  <c r="E1114" i="1"/>
  <c r="G1114" i="1"/>
  <c r="O1114" i="1"/>
  <c r="F1114" i="1"/>
  <c r="P1114" i="1"/>
  <c r="A1091" i="2"/>
  <c r="B1090" i="2"/>
  <c r="H1115" i="1" l="1"/>
  <c r="Q1115" i="1"/>
  <c r="B1115" i="1"/>
  <c r="L1115" i="1"/>
  <c r="D1115" i="1"/>
  <c r="O1115" i="1"/>
  <c r="E1115" i="1"/>
  <c r="P1115" i="1"/>
  <c r="F1115" i="1"/>
  <c r="A1116" i="1"/>
  <c r="C1115" i="1"/>
  <c r="I1115" i="1"/>
  <c r="G1115" i="1"/>
  <c r="M1115" i="1"/>
  <c r="N1115" i="1"/>
  <c r="J1115" i="1"/>
  <c r="B1091" i="2"/>
  <c r="A1092" i="2"/>
  <c r="B1115" i="3"/>
  <c r="D1115" i="3"/>
  <c r="E1115" i="3"/>
  <c r="A1116" i="3"/>
  <c r="C1115" i="3"/>
  <c r="B1092" i="2" l="1"/>
  <c r="A1093" i="2"/>
  <c r="H1116" i="1"/>
  <c r="Q1116" i="1"/>
  <c r="D1116" i="1"/>
  <c r="N1116" i="1"/>
  <c r="I1116" i="1"/>
  <c r="J1116" i="1"/>
  <c r="L1116" i="1"/>
  <c r="C1116" i="1"/>
  <c r="E1116" i="1"/>
  <c r="G1116" i="1"/>
  <c r="F1116" i="1"/>
  <c r="O1116" i="1"/>
  <c r="B1116" i="1"/>
  <c r="A1117" i="1"/>
  <c r="M1116" i="1"/>
  <c r="P1116" i="1"/>
  <c r="B1116" i="3"/>
  <c r="E1116" i="3"/>
  <c r="C1116" i="3"/>
  <c r="A1117" i="3"/>
  <c r="D1116" i="3"/>
  <c r="E1117" i="3" l="1"/>
  <c r="D1117" i="3"/>
  <c r="B1117" i="3"/>
  <c r="C1117" i="3"/>
  <c r="A1118" i="3"/>
  <c r="H1117" i="1"/>
  <c r="Q1117" i="1"/>
  <c r="F1117" i="1"/>
  <c r="P1117" i="1"/>
  <c r="C1117" i="1"/>
  <c r="N1117" i="1"/>
  <c r="D1117" i="1"/>
  <c r="O1117" i="1"/>
  <c r="E1117" i="1"/>
  <c r="A1118" i="1"/>
  <c r="B1117" i="1"/>
  <c r="G1117" i="1"/>
  <c r="I1117" i="1"/>
  <c r="J1117" i="1"/>
  <c r="M1117" i="1"/>
  <c r="L1117" i="1"/>
  <c r="B1093" i="2"/>
  <c r="A1094" i="2"/>
  <c r="A1095" i="2" l="1"/>
  <c r="B1094" i="2"/>
  <c r="H1118" i="1"/>
  <c r="Q1118" i="1"/>
  <c r="I1118" i="1"/>
  <c r="G1118" i="1"/>
  <c r="J1118" i="1"/>
  <c r="L1118" i="1"/>
  <c r="D1118" i="1"/>
  <c r="E1118" i="1"/>
  <c r="M1118" i="1"/>
  <c r="F1118" i="1"/>
  <c r="O1118" i="1"/>
  <c r="P1118" i="1"/>
  <c r="N1118" i="1"/>
  <c r="A1119" i="1"/>
  <c r="B1118" i="1"/>
  <c r="C1118" i="1"/>
  <c r="C1118" i="3"/>
  <c r="B1118" i="3"/>
  <c r="D1118" i="3"/>
  <c r="E1118" i="3"/>
  <c r="A1119" i="3"/>
  <c r="C1119" i="3" l="1"/>
  <c r="A1120" i="3"/>
  <c r="E1119" i="3"/>
  <c r="B1119" i="3"/>
  <c r="D1119" i="3"/>
  <c r="H1119" i="1"/>
  <c r="Q1119" i="1"/>
  <c r="B1119" i="1"/>
  <c r="L1119" i="1"/>
  <c r="C1119" i="1"/>
  <c r="N1119" i="1"/>
  <c r="D1119" i="1"/>
  <c r="O1119" i="1"/>
  <c r="E1119" i="1"/>
  <c r="P1119" i="1"/>
  <c r="F1119" i="1"/>
  <c r="G1119" i="1"/>
  <c r="J1119" i="1"/>
  <c r="I1119" i="1"/>
  <c r="A1120" i="1"/>
  <c r="M1119" i="1"/>
  <c r="B1095" i="2"/>
  <c r="A1096" i="2"/>
  <c r="H1120" i="1" l="1"/>
  <c r="Q1120" i="1"/>
  <c r="D1120" i="1"/>
  <c r="N1120" i="1"/>
  <c r="G1120" i="1"/>
  <c r="I1120" i="1"/>
  <c r="J1120" i="1"/>
  <c r="E1120" i="1"/>
  <c r="F1120" i="1"/>
  <c r="L1120" i="1"/>
  <c r="M1120" i="1"/>
  <c r="P1120" i="1"/>
  <c r="B1120" i="1"/>
  <c r="C1120" i="1"/>
  <c r="O1120" i="1"/>
  <c r="A1121" i="1"/>
  <c r="D1120" i="3"/>
  <c r="E1120" i="3"/>
  <c r="A1121" i="3"/>
  <c r="C1120" i="3"/>
  <c r="B1120" i="3"/>
  <c r="A1097" i="2"/>
  <c r="B1096" i="2"/>
  <c r="D1121" i="3" l="1"/>
  <c r="E1121" i="3"/>
  <c r="B1121" i="3"/>
  <c r="C1121" i="3"/>
  <c r="A1122" i="3"/>
  <c r="H1121" i="1"/>
  <c r="Q1121" i="1"/>
  <c r="F1121" i="1"/>
  <c r="P1121" i="1"/>
  <c r="B1121" i="1"/>
  <c r="M1121" i="1"/>
  <c r="C1121" i="1"/>
  <c r="N1121" i="1"/>
  <c r="D1121" i="1"/>
  <c r="O1121" i="1"/>
  <c r="G1121" i="1"/>
  <c r="L1121" i="1"/>
  <c r="I1121" i="1"/>
  <c r="J1121" i="1"/>
  <c r="A1122" i="1"/>
  <c r="E1121" i="1"/>
  <c r="E1097" i="2"/>
  <c r="F1097" i="2"/>
  <c r="A1098" i="2"/>
  <c r="B1097" i="2"/>
  <c r="C1097" i="2"/>
  <c r="D1097" i="2"/>
  <c r="J1097" i="2"/>
  <c r="I1097" i="2"/>
  <c r="G1097" i="2"/>
  <c r="H1097" i="2"/>
  <c r="D1122" i="3" l="1"/>
  <c r="E1122" i="3"/>
  <c r="A1123" i="3"/>
  <c r="B1122" i="3"/>
  <c r="C1122" i="3"/>
  <c r="H1122" i="1"/>
  <c r="Q1122" i="1"/>
  <c r="I1122" i="1"/>
  <c r="F1122" i="1"/>
  <c r="A1123" i="1"/>
  <c r="G1122" i="1"/>
  <c r="J1122" i="1"/>
  <c r="E1122" i="1"/>
  <c r="L1122" i="1"/>
  <c r="N1122" i="1"/>
  <c r="M1122" i="1"/>
  <c r="B1122" i="1"/>
  <c r="P1122" i="1"/>
  <c r="C1122" i="1"/>
  <c r="D1122" i="1"/>
  <c r="O1122" i="1"/>
  <c r="C1098" i="2"/>
  <c r="A1099" i="2"/>
  <c r="D1098" i="2"/>
  <c r="B1098" i="2"/>
  <c r="G1098" i="2"/>
  <c r="H1098" i="2"/>
  <c r="E1098" i="2"/>
  <c r="F1098" i="2"/>
  <c r="I1098" i="2"/>
  <c r="J1098" i="2"/>
  <c r="B1123" i="3" l="1"/>
  <c r="D1123" i="3"/>
  <c r="C1123" i="3"/>
  <c r="E1123" i="3"/>
  <c r="A1124" i="3"/>
  <c r="H1123" i="1"/>
  <c r="Q1123" i="1"/>
  <c r="B1123" i="1"/>
  <c r="L1123" i="1"/>
  <c r="M1123" i="1"/>
  <c r="C1123" i="1"/>
  <c r="N1123" i="1"/>
  <c r="D1123" i="1"/>
  <c r="O1123" i="1"/>
  <c r="G1123" i="1"/>
  <c r="I1123" i="1"/>
  <c r="J1123" i="1"/>
  <c r="P1123" i="1"/>
  <c r="E1123" i="1"/>
  <c r="F1123" i="1"/>
  <c r="A1124" i="1"/>
  <c r="I1099" i="2"/>
  <c r="B1099" i="2"/>
  <c r="J1099" i="2"/>
  <c r="C1099" i="2"/>
  <c r="D1099" i="2"/>
  <c r="A1100" i="2"/>
  <c r="F1099" i="2"/>
  <c r="E1099" i="2"/>
  <c r="G1099" i="2"/>
  <c r="H1099" i="2"/>
  <c r="G1100" i="2" l="1"/>
  <c r="H1100" i="2"/>
  <c r="C1100" i="2"/>
  <c r="D1100" i="2"/>
  <c r="B1100" i="2"/>
  <c r="J1100" i="2"/>
  <c r="F1100" i="2"/>
  <c r="I1100" i="2"/>
  <c r="A1101" i="2"/>
  <c r="E1100" i="2"/>
  <c r="E1124" i="3"/>
  <c r="D1124" i="3"/>
  <c r="A1125" i="3"/>
  <c r="B1124" i="3"/>
  <c r="C1124" i="3"/>
  <c r="H1124" i="1"/>
  <c r="Q1124" i="1"/>
  <c r="D1124" i="1"/>
  <c r="N1124" i="1"/>
  <c r="F1124" i="1"/>
  <c r="A1125" i="1"/>
  <c r="G1124" i="1"/>
  <c r="I1124" i="1"/>
  <c r="J1124" i="1"/>
  <c r="O1124" i="1"/>
  <c r="L1124" i="1"/>
  <c r="M1124" i="1"/>
  <c r="B1124" i="1"/>
  <c r="E1124" i="1"/>
  <c r="P1124" i="1"/>
  <c r="C1124" i="1"/>
  <c r="H1125" i="1" l="1"/>
  <c r="Q1125" i="1"/>
  <c r="F1125" i="1"/>
  <c r="P1125" i="1"/>
  <c r="L1125" i="1"/>
  <c r="B1125" i="1"/>
  <c r="M1125" i="1"/>
  <c r="C1125" i="1"/>
  <c r="N1125" i="1"/>
  <c r="I1125" i="1"/>
  <c r="J1125" i="1"/>
  <c r="A1126" i="1"/>
  <c r="O1125" i="1"/>
  <c r="D1125" i="1"/>
  <c r="G1125" i="1"/>
  <c r="E1125" i="1"/>
  <c r="C1125" i="3"/>
  <c r="B1125" i="3"/>
  <c r="D1125" i="3"/>
  <c r="E1125" i="3"/>
  <c r="A1126" i="3"/>
  <c r="E1101" i="2"/>
  <c r="F1101" i="2"/>
  <c r="C1101" i="2"/>
  <c r="D1101" i="2"/>
  <c r="G1101" i="2"/>
  <c r="H1101" i="2"/>
  <c r="A1102" i="2"/>
  <c r="B1101" i="2"/>
  <c r="I1101" i="2"/>
  <c r="J1101" i="2"/>
  <c r="C1126" i="3" l="1"/>
  <c r="E1126" i="3"/>
  <c r="A1127" i="3"/>
  <c r="B1126" i="3"/>
  <c r="D1126" i="3"/>
  <c r="C1102" i="2"/>
  <c r="A1103" i="2"/>
  <c r="D1102" i="2"/>
  <c r="E1102" i="2"/>
  <c r="F1102" i="2"/>
  <c r="I1102" i="2"/>
  <c r="J1102" i="2"/>
  <c r="B1102" i="2"/>
  <c r="H1102" i="2"/>
  <c r="G1102" i="2"/>
  <c r="H1126" i="1"/>
  <c r="Q1126" i="1"/>
  <c r="I1126" i="1"/>
  <c r="E1126" i="1"/>
  <c r="P1126" i="1"/>
  <c r="F1126" i="1"/>
  <c r="A1127" i="1"/>
  <c r="G1126" i="1"/>
  <c r="L1126" i="1"/>
  <c r="M1126" i="1"/>
  <c r="N1126" i="1"/>
  <c r="O1126" i="1"/>
  <c r="C1126" i="1"/>
  <c r="B1126" i="1"/>
  <c r="D1126" i="1"/>
  <c r="J1126" i="1"/>
  <c r="I1103" i="2" l="1"/>
  <c r="B1103" i="2"/>
  <c r="J1103" i="2"/>
  <c r="E1103" i="2"/>
  <c r="F1103" i="2"/>
  <c r="H1103" i="2"/>
  <c r="C1103" i="2"/>
  <c r="D1103" i="2"/>
  <c r="G1103" i="2"/>
  <c r="A1104" i="2"/>
  <c r="H1127" i="1"/>
  <c r="Q1127" i="1"/>
  <c r="B1127" i="1"/>
  <c r="L1127" i="1"/>
  <c r="J1127" i="1"/>
  <c r="M1127" i="1"/>
  <c r="C1127" i="1"/>
  <c r="N1127" i="1"/>
  <c r="I1127" i="1"/>
  <c r="A1128" i="1"/>
  <c r="O1127" i="1"/>
  <c r="P1127" i="1"/>
  <c r="E1127" i="1"/>
  <c r="F1127" i="1"/>
  <c r="G1127" i="1"/>
  <c r="D1127" i="1"/>
  <c r="A1128" i="3"/>
  <c r="B1127" i="3"/>
  <c r="C1127" i="3"/>
  <c r="E1127" i="3"/>
  <c r="D1127" i="3"/>
  <c r="H1128" i="1" l="1"/>
  <c r="Q1128" i="1"/>
  <c r="D1128" i="1"/>
  <c r="N1128" i="1"/>
  <c r="E1128" i="1"/>
  <c r="P1128" i="1"/>
  <c r="F1128" i="1"/>
  <c r="A1129" i="1"/>
  <c r="G1128" i="1"/>
  <c r="L1128" i="1"/>
  <c r="M1128" i="1"/>
  <c r="O1128" i="1"/>
  <c r="C1128" i="1"/>
  <c r="B1128" i="1"/>
  <c r="I1128" i="1"/>
  <c r="J1128" i="1"/>
  <c r="A1129" i="3"/>
  <c r="E1128" i="3"/>
  <c r="B1128" i="3"/>
  <c r="C1128" i="3"/>
  <c r="D1128" i="3"/>
  <c r="G1104" i="2"/>
  <c r="H1104" i="2"/>
  <c r="E1104" i="2"/>
  <c r="F1104" i="2"/>
  <c r="C1104" i="2"/>
  <c r="D1104" i="2"/>
  <c r="A1105" i="2"/>
  <c r="B1104" i="2"/>
  <c r="I1104" i="2"/>
  <c r="J1104" i="2"/>
  <c r="H1129" i="1" l="1"/>
  <c r="Q1129" i="1"/>
  <c r="F1129" i="1"/>
  <c r="P1129" i="1"/>
  <c r="J1129" i="1"/>
  <c r="L1129" i="1"/>
  <c r="B1129" i="1"/>
  <c r="M1129" i="1"/>
  <c r="N1129" i="1"/>
  <c r="O1129" i="1"/>
  <c r="A1130" i="1"/>
  <c r="C1129" i="1"/>
  <c r="E1129" i="1"/>
  <c r="I1129" i="1"/>
  <c r="D1129" i="1"/>
  <c r="G1129" i="1"/>
  <c r="E1105" i="2"/>
  <c r="F1105" i="2"/>
  <c r="G1105" i="2"/>
  <c r="H1105" i="2"/>
  <c r="I1105" i="2"/>
  <c r="J1105" i="2"/>
  <c r="B1105" i="2"/>
  <c r="C1105" i="2"/>
  <c r="D1105" i="2"/>
  <c r="A1106" i="2"/>
  <c r="D1129" i="3"/>
  <c r="B1129" i="3"/>
  <c r="C1129" i="3"/>
  <c r="E1129" i="3"/>
  <c r="A1130" i="3"/>
  <c r="H1130" i="1" l="1"/>
  <c r="Q1130" i="1"/>
  <c r="I1130" i="1"/>
  <c r="D1130" i="1"/>
  <c r="O1130" i="1"/>
  <c r="E1130" i="1"/>
  <c r="P1130" i="1"/>
  <c r="F1130" i="1"/>
  <c r="A1131" i="1"/>
  <c r="M1130" i="1"/>
  <c r="N1130" i="1"/>
  <c r="B1130" i="1"/>
  <c r="G1130" i="1"/>
  <c r="C1130" i="1"/>
  <c r="J1130" i="1"/>
  <c r="L1130" i="1"/>
  <c r="E1130" i="3"/>
  <c r="A1131" i="3"/>
  <c r="D1130" i="3"/>
  <c r="B1130" i="3"/>
  <c r="C1130" i="3"/>
  <c r="C1106" i="2"/>
  <c r="A1107" i="2"/>
  <c r="D1106" i="2"/>
  <c r="G1106" i="2"/>
  <c r="H1106" i="2"/>
  <c r="F1106" i="2"/>
  <c r="B1106" i="2"/>
  <c r="J1106" i="2"/>
  <c r="E1106" i="2"/>
  <c r="I1106" i="2"/>
  <c r="I1107" i="2" l="1"/>
  <c r="B1107" i="2"/>
  <c r="J1107" i="2"/>
  <c r="G1107" i="2"/>
  <c r="H1107" i="2"/>
  <c r="C1107" i="2"/>
  <c r="D1107" i="2"/>
  <c r="E1107" i="2"/>
  <c r="F1107" i="2"/>
  <c r="A1108" i="2"/>
  <c r="B1131" i="3"/>
  <c r="C1131" i="3"/>
  <c r="D1131" i="3"/>
  <c r="E1131" i="3"/>
  <c r="A1132" i="3"/>
  <c r="H1131" i="1"/>
  <c r="Q1131" i="1"/>
  <c r="B1131" i="1"/>
  <c r="L1131" i="1"/>
  <c r="I1131" i="1"/>
  <c r="J1131" i="1"/>
  <c r="M1131" i="1"/>
  <c r="O1131" i="1"/>
  <c r="D1131" i="1"/>
  <c r="P1131" i="1"/>
  <c r="C1131" i="1"/>
  <c r="A1132" i="1"/>
  <c r="F1131" i="1"/>
  <c r="G1131" i="1"/>
  <c r="E1131" i="1"/>
  <c r="N1131" i="1"/>
  <c r="G1108" i="2" l="1"/>
  <c r="H1108" i="2"/>
  <c r="I1108" i="2"/>
  <c r="J1108" i="2"/>
  <c r="E1108" i="2"/>
  <c r="F1108" i="2"/>
  <c r="B1108" i="2"/>
  <c r="C1108" i="2"/>
  <c r="D1108" i="2"/>
  <c r="A1109" i="2"/>
  <c r="E1132" i="3"/>
  <c r="D1132" i="3"/>
  <c r="B1132" i="3"/>
  <c r="C1132" i="3"/>
  <c r="A1133" i="3"/>
  <c r="H1132" i="1"/>
  <c r="Q1132" i="1"/>
  <c r="D1132" i="1"/>
  <c r="N1132" i="1"/>
  <c r="C1132" i="1"/>
  <c r="O1132" i="1"/>
  <c r="E1132" i="1"/>
  <c r="P1132" i="1"/>
  <c r="F1132" i="1"/>
  <c r="A1133" i="1"/>
  <c r="M1132" i="1"/>
  <c r="B1132" i="1"/>
  <c r="I1132" i="1"/>
  <c r="L1132" i="1"/>
  <c r="G1132" i="1"/>
  <c r="J1132" i="1"/>
  <c r="B1133" i="3" l="1"/>
  <c r="C1133" i="3"/>
  <c r="D1133" i="3"/>
  <c r="E1133" i="3"/>
  <c r="A1134" i="3"/>
  <c r="E1109" i="2"/>
  <c r="F1109" i="2"/>
  <c r="I1109" i="2"/>
  <c r="J1109" i="2"/>
  <c r="A1110" i="2"/>
  <c r="D1109" i="2"/>
  <c r="G1109" i="2"/>
  <c r="H1109" i="2"/>
  <c r="C1109" i="2"/>
  <c r="B1109" i="2"/>
  <c r="H1133" i="1"/>
  <c r="F1133" i="1"/>
  <c r="P1133" i="1"/>
  <c r="I1133" i="1"/>
  <c r="J1133" i="1"/>
  <c r="L1133" i="1"/>
  <c r="O1133" i="1"/>
  <c r="B1133" i="1"/>
  <c r="Q1133" i="1"/>
  <c r="D1133" i="1"/>
  <c r="C1133" i="1"/>
  <c r="A1134" i="1"/>
  <c r="G1133" i="1"/>
  <c r="N1133" i="1"/>
  <c r="E1133" i="1"/>
  <c r="M1133" i="1"/>
  <c r="C1134" i="3" l="1"/>
  <c r="D1134" i="3"/>
  <c r="B1134" i="3"/>
  <c r="E1134" i="3"/>
  <c r="A1135" i="3"/>
  <c r="G1134" i="1"/>
  <c r="P1134" i="1"/>
  <c r="B1134" i="1"/>
  <c r="L1134" i="1"/>
  <c r="C1134" i="1"/>
  <c r="M1134" i="1"/>
  <c r="D1134" i="1"/>
  <c r="N1134" i="1"/>
  <c r="O1134" i="1"/>
  <c r="Q1134" i="1"/>
  <c r="A1135" i="1"/>
  <c r="E1134" i="1"/>
  <c r="H1134" i="1"/>
  <c r="F1134" i="1"/>
  <c r="I1134" i="1"/>
  <c r="J1134" i="1"/>
  <c r="C1110" i="2"/>
  <c r="A1111" i="2"/>
  <c r="D1110" i="2"/>
  <c r="I1110" i="2"/>
  <c r="J1110" i="2"/>
  <c r="B1110" i="2"/>
  <c r="H1110" i="2"/>
  <c r="E1110" i="2"/>
  <c r="F1110" i="2"/>
  <c r="G1110" i="2"/>
  <c r="B1135" i="3" l="1"/>
  <c r="C1135" i="3"/>
  <c r="D1135" i="3"/>
  <c r="E1135" i="3"/>
  <c r="G1135" i="1"/>
  <c r="P1135" i="1"/>
  <c r="D1135" i="1"/>
  <c r="N1135" i="1"/>
  <c r="E1135" i="1"/>
  <c r="O1135" i="1"/>
  <c r="F1135" i="1"/>
  <c r="Q1135" i="1"/>
  <c r="L1135" i="1"/>
  <c r="M1135" i="1"/>
  <c r="B1135" i="1"/>
  <c r="H1135" i="1"/>
  <c r="I1135" i="1"/>
  <c r="J1135" i="1"/>
  <c r="C1135" i="1"/>
  <c r="I1111" i="2"/>
  <c r="B1111" i="2"/>
  <c r="J1111" i="2"/>
  <c r="A1112" i="2"/>
  <c r="E1111" i="2"/>
  <c r="F1111" i="2"/>
  <c r="H1111" i="2"/>
  <c r="C1111" i="2"/>
  <c r="D1111" i="2"/>
  <c r="G1111" i="2"/>
  <c r="G1112" i="2" l="1"/>
  <c r="H1112" i="2"/>
  <c r="A1113" i="2"/>
  <c r="B1112" i="2"/>
  <c r="I1112" i="2"/>
  <c r="J1112" i="2"/>
  <c r="D1112" i="2"/>
  <c r="C1112" i="2"/>
  <c r="E1112" i="2"/>
  <c r="F1112" i="2"/>
  <c r="E1113" i="2" l="1"/>
  <c r="F1113" i="2"/>
  <c r="A1114" i="2"/>
  <c r="B1113" i="2"/>
  <c r="H1113" i="2"/>
  <c r="J1113" i="2"/>
  <c r="D1113" i="2"/>
  <c r="G1113" i="2"/>
  <c r="I1113" i="2"/>
  <c r="C1113" i="2"/>
  <c r="C1114" i="2" l="1"/>
  <c r="A1115" i="2"/>
  <c r="D1114" i="2"/>
  <c r="B1114" i="2"/>
  <c r="E1114" i="2"/>
  <c r="F1114" i="2"/>
  <c r="J1114" i="2"/>
  <c r="G1114" i="2"/>
  <c r="H1114" i="2"/>
  <c r="I1114" i="2"/>
  <c r="I1115" i="2" l="1"/>
  <c r="B1115" i="2"/>
  <c r="J1115" i="2"/>
  <c r="C1115" i="2"/>
  <c r="D1115" i="2"/>
  <c r="G1115" i="2"/>
  <c r="H1115" i="2"/>
  <c r="E1115" i="2"/>
  <c r="F1115" i="2"/>
  <c r="A1116" i="2"/>
  <c r="G1116" i="2" l="1"/>
  <c r="H1116" i="2"/>
  <c r="C1116" i="2"/>
  <c r="D1116" i="2"/>
  <c r="A1117" i="2"/>
  <c r="F1116" i="2"/>
  <c r="E1116" i="2"/>
  <c r="I1116" i="2"/>
  <c r="J1116" i="2"/>
  <c r="B1116" i="2"/>
  <c r="E1117" i="2" l="1"/>
  <c r="F1117" i="2"/>
  <c r="C1117" i="2"/>
  <c r="D1117" i="2"/>
  <c r="B1117" i="2"/>
  <c r="J1117" i="2"/>
  <c r="G1117" i="2"/>
  <c r="H1117" i="2"/>
  <c r="I1117" i="2"/>
  <c r="A1118" i="2"/>
  <c r="C1118" i="2" l="1"/>
  <c r="A1119" i="2"/>
  <c r="D1118" i="2"/>
  <c r="E1118" i="2"/>
  <c r="F1118" i="2"/>
  <c r="G1118" i="2"/>
  <c r="H1118" i="2"/>
  <c r="I1118" i="2"/>
  <c r="J1118" i="2"/>
  <c r="B1118" i="2"/>
  <c r="I1119" i="2" l="1"/>
  <c r="B1119" i="2"/>
  <c r="J1119" i="2"/>
  <c r="E1119" i="2"/>
  <c r="F1119" i="2"/>
  <c r="A1120" i="2"/>
  <c r="D1119" i="2"/>
  <c r="C1119" i="2"/>
  <c r="G1119" i="2"/>
  <c r="H1119" i="2"/>
  <c r="G1120" i="2" l="1"/>
  <c r="H1120" i="2"/>
  <c r="E1120" i="2"/>
  <c r="F1120" i="2"/>
  <c r="B1120" i="2"/>
  <c r="J1120" i="2"/>
  <c r="A1121" i="2"/>
  <c r="D1120" i="2"/>
  <c r="I1120" i="2"/>
  <c r="C1120" i="2"/>
  <c r="E1121" i="2" l="1"/>
  <c r="F1121" i="2"/>
  <c r="G1121" i="2"/>
  <c r="H1121" i="2"/>
  <c r="C1121" i="2"/>
  <c r="D1121" i="2"/>
  <c r="B1121" i="2"/>
  <c r="I1121" i="2"/>
  <c r="A1122" i="2"/>
  <c r="J1121" i="2"/>
  <c r="C1122" i="2" l="1"/>
  <c r="A1123" i="2"/>
  <c r="D1122" i="2"/>
  <c r="G1122" i="2"/>
  <c r="H1122" i="2"/>
  <c r="I1122" i="2"/>
  <c r="J1122" i="2"/>
  <c r="B1122" i="2"/>
  <c r="E1122" i="2"/>
  <c r="F1122" i="2"/>
  <c r="I1123" i="2" l="1"/>
  <c r="B1123" i="2"/>
  <c r="J1123" i="2"/>
  <c r="G1123" i="2"/>
  <c r="H1123" i="2"/>
  <c r="F1123" i="2"/>
  <c r="D1123" i="2"/>
  <c r="E1123" i="2"/>
  <c r="A1124" i="2"/>
  <c r="C1123" i="2"/>
  <c r="G1124" i="2" l="1"/>
  <c r="H1124" i="2"/>
  <c r="I1124" i="2"/>
  <c r="J1124" i="2"/>
  <c r="C1124" i="2"/>
  <c r="D1124" i="2"/>
  <c r="E1124" i="2"/>
  <c r="F1124" i="2"/>
  <c r="A1125" i="2"/>
  <c r="B1124" i="2"/>
  <c r="F1125" i="2" l="1"/>
  <c r="H1125" i="2"/>
  <c r="I1125" i="2"/>
  <c r="E1125" i="2"/>
  <c r="G1125" i="2"/>
  <c r="B1125" i="2"/>
  <c r="D1125" i="2"/>
  <c r="J1125" i="2"/>
  <c r="A1126" i="2"/>
  <c r="C1125" i="2"/>
  <c r="F1126" i="2" l="1"/>
  <c r="G1126" i="2"/>
  <c r="H1126" i="2"/>
  <c r="I1126" i="2"/>
  <c r="C1126" i="2"/>
  <c r="A1127" i="2"/>
  <c r="B1126" i="2"/>
  <c r="D1126" i="2"/>
  <c r="E1126" i="2"/>
  <c r="J1126" i="2"/>
  <c r="D1127" i="2" l="1"/>
  <c r="E1127" i="2"/>
  <c r="H1127" i="2"/>
  <c r="I1127" i="2"/>
  <c r="C1127" i="2"/>
  <c r="B1127" i="2"/>
  <c r="F1127" i="2"/>
  <c r="G1127" i="2"/>
  <c r="J1127" i="2"/>
  <c r="A1128" i="2"/>
  <c r="B1128" i="2" l="1"/>
  <c r="J1128" i="2"/>
  <c r="C1128" i="2"/>
  <c r="A1129" i="2"/>
  <c r="H1128" i="2"/>
  <c r="I1128" i="2"/>
  <c r="E1128" i="2"/>
  <c r="D1128" i="2"/>
  <c r="F1128" i="2"/>
  <c r="G1128" i="2"/>
  <c r="H1129" i="2" l="1"/>
  <c r="I1129" i="2"/>
  <c r="J1129" i="2"/>
  <c r="A1130" i="2"/>
  <c r="E1129" i="2"/>
  <c r="B1129" i="2"/>
  <c r="C1129" i="2"/>
  <c r="D1129" i="2"/>
  <c r="F1129" i="2"/>
  <c r="G1129" i="2"/>
  <c r="F1130" i="2" l="1"/>
  <c r="G1130" i="2"/>
  <c r="J1130" i="2"/>
  <c r="A1131" i="2"/>
  <c r="E1130" i="2"/>
  <c r="H1130" i="2"/>
  <c r="I1130" i="2"/>
  <c r="B1130" i="2"/>
  <c r="C1130" i="2"/>
  <c r="D1130" i="2"/>
  <c r="D1131" i="2" l="1"/>
  <c r="E1131" i="2"/>
  <c r="J1131" i="2"/>
  <c r="A1132" i="2"/>
  <c r="G1131" i="2"/>
  <c r="B1131" i="2"/>
  <c r="C1131" i="2"/>
  <c r="F1131" i="2"/>
  <c r="H1131" i="2"/>
  <c r="I1131" i="2"/>
  <c r="B1132" i="2" l="1"/>
  <c r="J1132" i="2"/>
  <c r="C1132" i="2"/>
  <c r="A1133" i="2"/>
  <c r="G1132" i="2"/>
  <c r="E1132" i="2"/>
  <c r="F1132" i="2"/>
  <c r="H1132" i="2"/>
  <c r="I1132" i="2"/>
  <c r="D1132" i="2"/>
  <c r="H1133" i="2" l="1"/>
  <c r="I1133" i="2"/>
  <c r="B1133" i="2"/>
  <c r="C1133" i="2"/>
  <c r="G1133" i="2"/>
  <c r="A1134" i="2"/>
  <c r="F1133" i="2"/>
  <c r="D1133" i="2"/>
  <c r="E1133" i="2"/>
  <c r="J1133" i="2"/>
  <c r="F1134" i="2" l="1"/>
  <c r="G1134" i="2"/>
  <c r="B1134" i="2"/>
  <c r="C1134" i="2"/>
  <c r="I1134" i="2"/>
  <c r="D1134" i="2"/>
  <c r="E1134" i="2"/>
  <c r="H1134" i="2"/>
  <c r="A1135" i="2"/>
  <c r="J1134" i="2"/>
  <c r="D1135" i="2" l="1"/>
  <c r="E1135" i="2"/>
  <c r="B1135" i="2"/>
  <c r="C1135" i="2"/>
  <c r="I1135" i="2"/>
  <c r="H1135" i="2"/>
  <c r="J1135" i="2"/>
  <c r="F1135" i="2"/>
  <c r="G1135" i="2"/>
</calcChain>
</file>

<file path=xl/sharedStrings.xml><?xml version="1.0" encoding="utf-8"?>
<sst xmlns="http://schemas.openxmlformats.org/spreadsheetml/2006/main" count="161" uniqueCount="74">
  <si>
    <t>MM$</t>
  </si>
  <si>
    <t>$/MMBTU</t>
  </si>
  <si>
    <t>MONTH</t>
  </si>
  <si>
    <t>UPS REPLACEMENT SUNK DEMAND CHARGE</t>
  </si>
  <si>
    <t>BAY GAS STORAGE DEMAND CHARGE</t>
  </si>
  <si>
    <t>SABAL TRAIL &amp; FSC</t>
  </si>
  <si>
    <t>GULF SOUTH</t>
  </si>
  <si>
    <t>TRANSCO 4A</t>
  </si>
  <si>
    <t>SESH</t>
  </si>
  <si>
    <t>GULFSTREAM</t>
  </si>
  <si>
    <t>FGT</t>
  </si>
  <si>
    <t>UPS REPLACEMENT DISPATCH PRICE</t>
  </si>
  <si>
    <t>HENRY HUB</t>
  </si>
  <si>
    <r>
      <t xml:space="preserve">FSC FIRM     FROM                          </t>
    </r>
    <r>
      <rPr>
        <b/>
        <sz val="12"/>
        <color theme="5" tint="-0.249977111117893"/>
        <rFont val="Arial"/>
        <family val="2"/>
      </rPr>
      <t>SABAL TRAIL</t>
    </r>
  </si>
  <si>
    <t>GULFSTREAM NON-FIRM</t>
  </si>
  <si>
    <t>WEIGHTED AVERAGE GULFSTREAM FIRM</t>
  </si>
  <si>
    <t>FGT NON-FIRM</t>
  </si>
  <si>
    <t>WEIGHTED AVERAGE FGT FIRM</t>
  </si>
  <si>
    <t>WEIGHTED AVERAGE Z3 FGT FIRM</t>
  </si>
  <si>
    <t>ZONE 2 FGT FIRM</t>
  </si>
  <si>
    <t>ZONE 1 FGT FIRM</t>
  </si>
  <si>
    <t>FIRM TRANSPORT AND STORAGE CONTRACTS THROUGH FGT PHASE VIII</t>
  </si>
  <si>
    <t>SUNK DEMAND CHARGE FOR ALL CURRENT</t>
  </si>
  <si>
    <t>HIGH</t>
  </si>
  <si>
    <t>LOW</t>
  </si>
  <si>
    <t>September 08, 2015 - MANNY ACOSTA</t>
  </si>
  <si>
    <t>LONG-TERM FORECAST METHODOLOGY - GAS PRICE</t>
  </si>
  <si>
    <t>MMCF/DAY</t>
  </si>
  <si>
    <t>DAYS</t>
  </si>
  <si>
    <t>GULFSTREAM NON-FIRM &amp; NON-FIRM BACKHAUL</t>
  </si>
  <si>
    <t>TOTAL GULFSTREAM FIRM</t>
  </si>
  <si>
    <t>SABAL TRAIL PIPELINE</t>
  </si>
  <si>
    <t>TOTAL FGT FIRM</t>
  </si>
  <si>
    <t>ZONE 3 FGT FIRM</t>
  </si>
  <si>
    <t>FGT FIRM BY ZONE</t>
  </si>
  <si>
    <t>LONG-TERM FORECAST METHODOLOGY - CAPACITY</t>
  </si>
  <si>
    <t>$/BBL.</t>
  </si>
  <si>
    <t>WTI</t>
  </si>
  <si>
    <t>ALL PLANTS DISTILLATE</t>
  </si>
  <si>
    <t>MANATEE / TURKEY POINT RESIDUAL</t>
  </si>
  <si>
    <t>MARTIN RESIDUAL</t>
  </si>
  <si>
    <t>DISTILLATE</t>
  </si>
  <si>
    <t>RESIDUAL</t>
  </si>
  <si>
    <t>LONG-TERM FORECAST METHODOLOGY - OIL PRICE</t>
  </si>
  <si>
    <t>DISPATCH PRICE WITH SO2 &amp; NOx</t>
  </si>
  <si>
    <t>DISPATCH PRICE WITHOUT SO2 &amp; NOx</t>
  </si>
  <si>
    <t>WEIGHTED AVERAGE WITHOUT SO2 &amp; NOx</t>
  </si>
  <si>
    <t>CEDAR BAY</t>
  </si>
  <si>
    <t>ICL</t>
  </si>
  <si>
    <t>ST. JOHNS RIVER POWER PARK</t>
  </si>
  <si>
    <t>PLANT SCHERER UNIT 4</t>
  </si>
  <si>
    <t xml:space="preserve"> </t>
  </si>
  <si>
    <t>WITHOUT NOx</t>
  </si>
  <si>
    <t>WITH NOx</t>
  </si>
  <si>
    <t>Selection</t>
  </si>
  <si>
    <t>Natural Gas</t>
  </si>
  <si>
    <t>WITHOUT SO2 &amp; NOx</t>
  </si>
  <si>
    <t>WITH SO2 &amp; NOx</t>
  </si>
  <si>
    <t>Oil SO2</t>
  </si>
  <si>
    <t>HIGH PRICES</t>
  </si>
  <si>
    <t>MEDIUM PRICES</t>
  </si>
  <si>
    <t>LOW PRICES</t>
  </si>
  <si>
    <t>Coal</t>
  </si>
  <si>
    <t>Heavy &amp; Light Oil</t>
  </si>
  <si>
    <t>Florida Power &amp; Light Company</t>
  </si>
  <si>
    <t>Docket No. 160154-EI</t>
  </si>
  <si>
    <t>Staff's First Set of Interrogatories</t>
  </si>
  <si>
    <t>Interrogatory No. 2</t>
  </si>
  <si>
    <t>Tab 1 of 5</t>
  </si>
  <si>
    <t>Attachment No. 44</t>
  </si>
  <si>
    <t>Tab 2 of 5</t>
  </si>
  <si>
    <t>Tab 3 of 5</t>
  </si>
  <si>
    <t>Tab 4 of 5</t>
  </si>
  <si>
    <t>Tab 5 of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</si>
</sst>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_)"/>
    <numFmt numFmtId="166" formatCode="&quot;$&quot;#,##0.00"/>
    <numFmt numFmtId="167" formatCode="&quot;$&quot;#,##0.0"/>
    <numFmt numFmtId="168" formatCode="&quot;$&quot;#,##0.0_);[Red]\(&quot;$&quot;#,##0.0\)"/>
    <numFmt numFmtId="169" formatCode="[$-409]mmm\-yy;@"/>
    <numFmt numFmtId="170" formatCode="0.0000"/>
    <numFmt numFmtId="171" formatCode="0.0"/>
    <numFmt numFmtId="172" formatCode="_(* #,##0_);_(* \(#,##0\);_(* &quot;-&quot;??_);_(@_)"/>
  </numFmts>
  <fonts count="20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Helv"/>
    </font>
    <font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5" tint="-0.249977111117893"/>
      <name val="Arial"/>
      <family val="2"/>
    </font>
    <font>
      <b/>
      <sz val="12"/>
      <color rgb="FF00B0F0"/>
      <name val="Arial"/>
      <family val="2"/>
    </font>
    <font>
      <b/>
      <u/>
      <sz val="16"/>
      <name val="Arial"/>
      <family val="2"/>
    </font>
    <font>
      <sz val="9"/>
      <name val="Geneva"/>
    </font>
    <font>
      <b/>
      <sz val="10"/>
      <color rgb="FF00B0F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7"/>
      <name val="Arial"/>
      <family val="2"/>
    </font>
    <font>
      <b/>
      <u val="singleAccounting"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color indexed="12"/>
      <name val="Helv"/>
    </font>
    <font>
      <b/>
      <sz val="12"/>
      <name val="Helv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164" fontId="0" fillId="0" borderId="0">
      <alignment horizontal="left" wrapText="1"/>
    </xf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wrapText="1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>
      <alignment wrapText="1"/>
    </xf>
    <xf numFmtId="0" fontId="2" fillId="0" borderId="0"/>
    <xf numFmtId="0" fontId="4" fillId="0" borderId="0"/>
    <xf numFmtId="0" fontId="1" fillId="0" borderId="0"/>
    <xf numFmtId="0" fontId="1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1" fillId="0" borderId="0"/>
    <xf numFmtId="0" fontId="1" fillId="0" borderId="0"/>
  </cellStyleXfs>
  <cellXfs count="96">
    <xf numFmtId="164" fontId="0" fillId="0" borderId="0" xfId="0">
      <alignment horizontal="left" wrapText="1"/>
    </xf>
    <xf numFmtId="0" fontId="3" fillId="0" borderId="0" xfId="4" applyFont="1"/>
    <xf numFmtId="0" fontId="3" fillId="0" borderId="0" xfId="4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4" applyNumberFormat="1" applyFont="1" applyAlignment="1">
      <alignment horizontal="center"/>
    </xf>
    <xf numFmtId="167" fontId="3" fillId="0" borderId="0" xfId="4" applyNumberFormat="1" applyFont="1" applyAlignment="1">
      <alignment horizontal="center"/>
    </xf>
    <xf numFmtId="167" fontId="3" fillId="0" borderId="0" xfId="4" applyNumberFormat="1" applyFont="1"/>
    <xf numFmtId="166" fontId="3" fillId="0" borderId="0" xfId="4" applyNumberFormat="1" applyFont="1"/>
    <xf numFmtId="166" fontId="3" fillId="2" borderId="0" xfId="4" applyNumberFormat="1" applyFont="1" applyFill="1" applyAlignment="1">
      <alignment horizontal="center"/>
    </xf>
    <xf numFmtId="168" fontId="3" fillId="0" borderId="0" xfId="4" applyNumberFormat="1" applyFont="1" applyAlignment="1">
      <alignment horizontal="center"/>
    </xf>
    <xf numFmtId="165" fontId="3" fillId="0" borderId="0" xfId="0" applyNumberFormat="1" applyFont="1" applyAlignment="1"/>
    <xf numFmtId="167" fontId="5" fillId="0" borderId="0" xfId="4" applyNumberFormat="1" applyFont="1" applyAlignment="1">
      <alignment horizontal="center"/>
    </xf>
    <xf numFmtId="166" fontId="6" fillId="2" borderId="0" xfId="4" applyNumberFormat="1" applyFont="1" applyFill="1" applyAlignment="1">
      <alignment horizontal="center"/>
    </xf>
    <xf numFmtId="17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167" fontId="5" fillId="3" borderId="0" xfId="4" applyNumberFormat="1" applyFont="1" applyFill="1" applyAlignment="1">
      <alignment horizontal="center"/>
    </xf>
    <xf numFmtId="167" fontId="5" fillId="4" borderId="0" xfId="4" applyNumberFormat="1" applyFont="1" applyFill="1" applyAlignment="1">
      <alignment horizontal="center"/>
    </xf>
    <xf numFmtId="167" fontId="5" fillId="5" borderId="0" xfId="4" applyNumberFormat="1" applyFont="1" applyFill="1" applyAlignment="1">
      <alignment horizontal="center"/>
    </xf>
    <xf numFmtId="0" fontId="3" fillId="0" borderId="0" xfId="4" applyFont="1" applyAlignment="1">
      <alignment horizontal="center" wrapText="1"/>
    </xf>
    <xf numFmtId="0" fontId="6" fillId="6" borderId="0" xfId="4" applyFont="1" applyFill="1" applyAlignment="1">
      <alignment horizontal="center" wrapText="1"/>
    </xf>
    <xf numFmtId="0" fontId="6" fillId="0" borderId="0" xfId="4" applyFont="1" applyAlignment="1">
      <alignment horizontal="center" wrapText="1"/>
    </xf>
    <xf numFmtId="0" fontId="6" fillId="2" borderId="0" xfId="4" applyFont="1" applyFill="1" applyAlignment="1">
      <alignment horizontal="center" wrapText="1"/>
    </xf>
    <xf numFmtId="0" fontId="6" fillId="6" borderId="0" xfId="4" quotePrefix="1" applyFont="1" applyFill="1" applyAlignment="1">
      <alignment horizontal="center" wrapText="1"/>
    </xf>
    <xf numFmtId="0" fontId="6" fillId="0" borderId="0" xfId="4" quotePrefix="1" applyFont="1" applyAlignment="1">
      <alignment horizontal="center" wrapText="1"/>
    </xf>
    <xf numFmtId="0" fontId="6" fillId="0" borderId="0" xfId="4" applyFont="1" applyAlignment="1">
      <alignment horizontal="center"/>
    </xf>
    <xf numFmtId="0" fontId="6" fillId="0" borderId="0" xfId="4" applyFont="1" applyAlignment="1"/>
    <xf numFmtId="10" fontId="8" fillId="7" borderId="0" xfId="4" applyNumberFormat="1" applyFont="1" applyFill="1" applyAlignment="1">
      <alignment horizontal="center"/>
    </xf>
    <xf numFmtId="0" fontId="6" fillId="7" borderId="0" xfId="4" applyFont="1" applyFill="1" applyAlignment="1">
      <alignment horizontal="center"/>
    </xf>
    <xf numFmtId="170" fontId="3" fillId="0" borderId="0" xfId="4" applyNumberFormat="1" applyFont="1"/>
    <xf numFmtId="1" fontId="3" fillId="0" borderId="0" xfId="4" applyNumberFormat="1" applyFont="1"/>
    <xf numFmtId="15" fontId="6" fillId="0" borderId="0" xfId="4" applyNumberFormat="1" applyFont="1" applyAlignment="1">
      <alignment horizontal="left"/>
    </xf>
    <xf numFmtId="165" fontId="9" fillId="0" borderId="0" xfId="0" quotePrefix="1" applyNumberFormat="1" applyFont="1" applyAlignment="1">
      <alignment horizontal="left"/>
    </xf>
    <xf numFmtId="0" fontId="2" fillId="0" borderId="0" xfId="4" applyFont="1"/>
    <xf numFmtId="0" fontId="2" fillId="0" borderId="0" xfId="4" applyFont="1" applyAlignment="1">
      <alignment horizontal="center"/>
    </xf>
    <xf numFmtId="0" fontId="2" fillId="0" borderId="0" xfId="4"/>
    <xf numFmtId="1" fontId="3" fillId="0" borderId="0" xfId="4" applyNumberFormat="1" applyFont="1" applyAlignment="1">
      <alignment horizontal="center"/>
    </xf>
    <xf numFmtId="1" fontId="2" fillId="0" borderId="0" xfId="4" applyNumberFormat="1" applyFont="1" applyAlignment="1">
      <alignment horizontal="center"/>
    </xf>
    <xf numFmtId="1" fontId="3" fillId="8" borderId="0" xfId="4" applyNumberFormat="1" applyFont="1" applyFill="1" applyAlignment="1">
      <alignment horizontal="center"/>
    </xf>
    <xf numFmtId="3" fontId="3" fillId="0" borderId="0" xfId="4" applyNumberFormat="1" applyFont="1" applyAlignment="1">
      <alignment horizontal="center"/>
    </xf>
    <xf numFmtId="3" fontId="3" fillId="8" borderId="0" xfId="4" applyNumberFormat="1" applyFont="1" applyFill="1" applyAlignment="1">
      <alignment horizontal="center"/>
    </xf>
    <xf numFmtId="171" fontId="6" fillId="9" borderId="0" xfId="4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/>
    <xf numFmtId="1" fontId="6" fillId="0" borderId="0" xfId="4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72" fontId="3" fillId="0" borderId="0" xfId="0" applyNumberFormat="1" applyFont="1" applyAlignment="1"/>
    <xf numFmtId="0" fontId="6" fillId="0" borderId="0" xfId="4" applyFont="1" applyFill="1" applyAlignment="1">
      <alignment horizontal="center" wrapText="1"/>
    </xf>
    <xf numFmtId="0" fontId="6" fillId="9" borderId="0" xfId="4" applyFont="1" applyFill="1" applyAlignment="1">
      <alignment horizontal="center" wrapText="1"/>
    </xf>
    <xf numFmtId="0" fontId="6" fillId="2" borderId="0" xfId="4" quotePrefix="1" applyFont="1" applyFill="1" applyAlignment="1">
      <alignment horizontal="center" wrapText="1"/>
    </xf>
    <xf numFmtId="0" fontId="6" fillId="0" borderId="0" xfId="4" quotePrefix="1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6" fillId="0" borderId="0" xfId="4" applyFont="1" applyFill="1" applyAlignment="1"/>
    <xf numFmtId="0" fontId="6" fillId="10" borderId="0" xfId="4" applyFont="1" applyFill="1" applyAlignment="1">
      <alignment horizontal="center"/>
    </xf>
    <xf numFmtId="0" fontId="6" fillId="0" borderId="0" xfId="4" applyFont="1"/>
    <xf numFmtId="0" fontId="2" fillId="0" borderId="0" xfId="4" applyFont="1" applyAlignment="1">
      <alignment horizontal="center" wrapText="1"/>
    </xf>
    <xf numFmtId="0" fontId="6" fillId="0" borderId="0" xfId="4" quotePrefix="1" applyFont="1" applyFill="1" applyAlignment="1">
      <alignment horizontal="center" wrapText="1"/>
    </xf>
    <xf numFmtId="0" fontId="6" fillId="8" borderId="0" xfId="4" applyFont="1" applyFill="1" applyAlignment="1"/>
    <xf numFmtId="15" fontId="6" fillId="0" borderId="0" xfId="4" applyNumberFormat="1" applyFont="1" applyFill="1" applyAlignment="1">
      <alignment horizontal="left"/>
    </xf>
    <xf numFmtId="9" fontId="11" fillId="13" borderId="0" xfId="3" applyFont="1" applyFill="1" applyAlignment="1">
      <alignment horizontal="center"/>
    </xf>
    <xf numFmtId="0" fontId="12" fillId="13" borderId="0" xfId="4" applyFont="1" applyFill="1" applyAlignment="1">
      <alignment horizontal="center"/>
    </xf>
    <xf numFmtId="0" fontId="2" fillId="0" borderId="0" xfId="4" applyFont="1" applyFill="1"/>
    <xf numFmtId="0" fontId="13" fillId="0" borderId="0" xfId="4" applyFont="1" applyFill="1"/>
    <xf numFmtId="0" fontId="14" fillId="0" borderId="0" xfId="4" quotePrefix="1" applyFont="1" applyFill="1" applyAlignment="1">
      <alignment horizontal="left"/>
    </xf>
    <xf numFmtId="166" fontId="3" fillId="0" borderId="0" xfId="0" applyNumberFormat="1" applyFont="1" applyAlignment="1">
      <alignment horizontal="center"/>
    </xf>
    <xf numFmtId="166" fontId="3" fillId="0" borderId="0" xfId="2" applyNumberFormat="1" applyFont="1" applyAlignment="1">
      <alignment horizontal="center"/>
    </xf>
    <xf numFmtId="44" fontId="15" fillId="0" borderId="0" xfId="2" applyFont="1" applyAlignment="1">
      <alignment horizontal="center"/>
    </xf>
    <xf numFmtId="44" fontId="6" fillId="0" borderId="0" xfId="2" applyFont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5" fontId="6" fillId="14" borderId="0" xfId="0" quotePrefix="1" applyNumberFormat="1" applyFont="1" applyFill="1" applyAlignment="1">
      <alignment horizontal="center" vertical="center" wrapText="1"/>
    </xf>
    <xf numFmtId="165" fontId="6" fillId="2" borderId="0" xfId="0" quotePrefix="1" applyNumberFormat="1" applyFont="1" applyFill="1" applyAlignment="1">
      <alignment horizontal="center" vertical="center" wrapText="1"/>
    </xf>
    <xf numFmtId="165" fontId="6" fillId="10" borderId="0" xfId="0" quotePrefix="1" applyNumberFormat="1" applyFont="1" applyFill="1" applyAlignment="1">
      <alignment horizontal="center" vertical="center" wrapText="1"/>
    </xf>
    <xf numFmtId="0" fontId="16" fillId="0" borderId="0" xfId="4" applyFont="1"/>
    <xf numFmtId="10" fontId="8" fillId="7" borderId="0" xfId="4" quotePrefix="1" applyNumberFormat="1" applyFont="1" applyFill="1" applyAlignment="1">
      <alignment horizontal="center"/>
    </xf>
    <xf numFmtId="15" fontId="6" fillId="7" borderId="0" xfId="4" applyNumberFormat="1" applyFont="1" applyFill="1" applyAlignment="1">
      <alignment horizontal="left"/>
    </xf>
    <xf numFmtId="15" fontId="6" fillId="0" borderId="0" xfId="4" quotePrefix="1" applyNumberFormat="1" applyFont="1" applyAlignment="1">
      <alignment horizontal="left"/>
    </xf>
    <xf numFmtId="0" fontId="17" fillId="0" borderId="0" xfId="4" applyFont="1"/>
    <xf numFmtId="165" fontId="0" fillId="0" borderId="0" xfId="0" applyNumberFormat="1" applyAlignment="1"/>
    <xf numFmtId="43" fontId="0" fillId="0" borderId="0" xfId="1" applyFont="1" applyAlignment="1"/>
    <xf numFmtId="165" fontId="0" fillId="0" borderId="0" xfId="0" quotePrefix="1" applyNumberFormat="1" applyAlignment="1"/>
    <xf numFmtId="165" fontId="18" fillId="0" borderId="1" xfId="0" quotePrefix="1" applyNumberFormat="1" applyFont="1" applyBorder="1" applyAlignment="1">
      <alignment horizontal="left"/>
    </xf>
    <xf numFmtId="165" fontId="18" fillId="0" borderId="3" xfId="0" quotePrefix="1" applyNumberFormat="1" applyFont="1" applyBorder="1" applyAlignment="1">
      <alignment horizontal="left"/>
    </xf>
    <xf numFmtId="165" fontId="19" fillId="0" borderId="4" xfId="0" applyNumberFormat="1" applyFont="1" applyBorder="1" applyAlignment="1"/>
    <xf numFmtId="165" fontId="18" fillId="0" borderId="1" xfId="0" applyNumberFormat="1" applyFont="1" applyBorder="1" applyAlignment="1"/>
    <xf numFmtId="165" fontId="18" fillId="0" borderId="3" xfId="0" applyNumberFormat="1" applyFont="1" applyBorder="1" applyAlignment="1"/>
    <xf numFmtId="165" fontId="19" fillId="0" borderId="0" xfId="0" applyNumberFormat="1" applyFont="1" applyAlignment="1">
      <alignment horizontal="left"/>
    </xf>
    <xf numFmtId="0" fontId="6" fillId="6" borderId="0" xfId="4" quotePrefix="1" applyFont="1" applyFill="1" applyAlignment="1">
      <alignment horizontal="center"/>
    </xf>
    <xf numFmtId="0" fontId="6" fillId="11" borderId="0" xfId="4" quotePrefix="1" applyFont="1" applyFill="1" applyAlignment="1">
      <alignment horizontal="center"/>
    </xf>
    <xf numFmtId="0" fontId="6" fillId="12" borderId="0" xfId="4" applyFont="1" applyFill="1" applyAlignment="1">
      <alignment horizontal="center"/>
    </xf>
    <xf numFmtId="165" fontId="6" fillId="11" borderId="0" xfId="0" quotePrefix="1" applyNumberFormat="1" applyFont="1" applyFill="1" applyAlignment="1">
      <alignment horizontal="center"/>
    </xf>
    <xf numFmtId="0" fontId="6" fillId="0" borderId="0" xfId="4" applyFont="1" applyAlignment="1">
      <alignment horizontal="center"/>
    </xf>
    <xf numFmtId="0" fontId="6" fillId="9" borderId="0" xfId="4" quotePrefix="1" applyFont="1" applyFill="1" applyAlignment="1">
      <alignment horizontal="center"/>
    </xf>
    <xf numFmtId="0" fontId="6" fillId="9" borderId="0" xfId="4" applyFont="1" applyFill="1" applyAlignment="1">
      <alignment horizontal="center"/>
    </xf>
    <xf numFmtId="0" fontId="6" fillId="11" borderId="0" xfId="4" applyFont="1" applyFill="1" applyAlignment="1">
      <alignment horizontal="center"/>
    </xf>
    <xf numFmtId="165" fontId="18" fillId="0" borderId="2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/>
    </xf>
  </cellXfs>
  <cellStyles count="52">
    <cellStyle name="_x0013_" xfId="5"/>
    <cellStyle name="_CC Oil" xfId="6"/>
    <cellStyle name="_DSO Oil" xfId="7"/>
    <cellStyle name="_FLCC Oil" xfId="8"/>
    <cellStyle name="_FLPEGT Oil" xfId="9"/>
    <cellStyle name="_FMCT Oil" xfId="10"/>
    <cellStyle name="_GTDW_DataTemplate" xfId="11"/>
    <cellStyle name="_Gulfstream Gas" xfId="12"/>
    <cellStyle name="_MR .7 Oil" xfId="13"/>
    <cellStyle name="_MR 1 Oil" xfId="14"/>
    <cellStyle name="_MRCT Oil" xfId="15"/>
    <cellStyle name="_MT Gulfstream Gas" xfId="16"/>
    <cellStyle name="_MT Oil" xfId="17"/>
    <cellStyle name="_OLCT Oil" xfId="18"/>
    <cellStyle name="_PE Oil" xfId="19"/>
    <cellStyle name="_PN Oil" xfId="20"/>
    <cellStyle name="_RV Oil" xfId="21"/>
    <cellStyle name="_SHCT Oil" xfId="22"/>
    <cellStyle name="_SN Oil" xfId="23"/>
    <cellStyle name="_TP Oil" xfId="24"/>
    <cellStyle name="Comma" xfId="1" builtinId="3"/>
    <cellStyle name="Comma 2" xfId="25"/>
    <cellStyle name="Comma 3" xfId="26"/>
    <cellStyle name="Comma 3 2" xfId="27"/>
    <cellStyle name="Comma 4" xfId="28"/>
    <cellStyle name="Comma 5" xfId="29"/>
    <cellStyle name="Currency" xfId="2" builtinId="4"/>
    <cellStyle name="Normal" xfId="0" builtinId="0"/>
    <cellStyle name="Normal 10" xfId="30"/>
    <cellStyle name="Normal 10 2" xfId="31"/>
    <cellStyle name="Normal 2" xfId="32"/>
    <cellStyle name="Normal 2 2" xfId="33"/>
    <cellStyle name="Normal 2 2 2" xfId="34"/>
    <cellStyle name="Normal 2 3" xfId="35"/>
    <cellStyle name="Normal 2 3 2" xfId="36"/>
    <cellStyle name="Normal 2 4" xfId="37"/>
    <cellStyle name="Normal 2 4 2" xfId="38"/>
    <cellStyle name="Normal 2 5" xfId="39"/>
    <cellStyle name="Normal 2 6" xfId="40"/>
    <cellStyle name="Normal 2 7" xfId="41"/>
    <cellStyle name="Normal 3" xfId="42"/>
    <cellStyle name="Normal 4" xfId="43"/>
    <cellStyle name="Normal 5" xfId="44"/>
    <cellStyle name="Normal 5 2" xfId="45"/>
    <cellStyle name="Normal 6" xfId="46"/>
    <cellStyle name="Normal 6 2" xfId="47"/>
    <cellStyle name="Normal 7" xfId="48"/>
    <cellStyle name="Normal 7 2" xfId="49"/>
    <cellStyle name="Normal 8" xfId="50"/>
    <cellStyle name="Normal 9" xfId="51"/>
    <cellStyle name="Normal_060415 RAP Fuel Price Forecast Template - Case 1 (Historical Spread)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8" fmlaLink="CONTROL!$C$15" fmlaRange="CONTROL!$B$15:$B$17" sel="2" val="0"/>
</file>

<file path=xl/ctrlProps/ctrlProp2.xml><?xml version="1.0" encoding="utf-8"?>
<formControlPr xmlns="http://schemas.microsoft.com/office/spreadsheetml/2009/9/main" objectType="Drop" dropLines="2" dropStyle="combo" dx="18" fmlaLink="CONTROL!$C$32" fmlaRange="CONTROL!$B$32:$B$33" val="0"/>
</file>

<file path=xl/ctrlProps/ctrlProp3.xml><?xml version="1.0" encoding="utf-8"?>
<formControlPr xmlns="http://schemas.microsoft.com/office/spreadsheetml/2009/9/main" objectType="Drop" dropLines="3" dropStyle="combo" dx="18" fmlaLink="CONTROL!$C$9" fmlaRange="CONTROL!$B$9:$B$11" sel="2" val="0"/>
</file>

<file path=xl/ctrlProps/ctrlProp4.xml><?xml version="1.0" encoding="utf-8"?>
<formControlPr xmlns="http://schemas.microsoft.com/office/spreadsheetml/2009/9/main" objectType="Drop" dropLines="2" dropStyle="combo" dx="18" fmlaLink="CONTROL!$C$28" fmlaRange="CONTROL!$B$28:$B$29" val="0"/>
</file>

<file path=xl/ctrlProps/ctrlProp5.xml><?xml version="1.0" encoding="utf-8"?>
<formControlPr xmlns="http://schemas.microsoft.com/office/spreadsheetml/2009/9/main" objectType="Drop" dropLines="3" dropStyle="combo" dx="18" fmlaLink="CONTROL!$C$22" fmlaRange="CONTROL!$B$22:$B$24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171450</xdr:rowOff>
        </xdr:from>
        <xdr:to>
          <xdr:col>4</xdr:col>
          <xdr:colOff>533400</xdr:colOff>
          <xdr:row>13</xdr:row>
          <xdr:rowOff>104775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11</xdr:row>
          <xdr:rowOff>171450</xdr:rowOff>
        </xdr:from>
        <xdr:to>
          <xdr:col>6</xdr:col>
          <xdr:colOff>257175</xdr:colOff>
          <xdr:row>13</xdr:row>
          <xdr:rowOff>95250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9</xdr:row>
          <xdr:rowOff>171450</xdr:rowOff>
        </xdr:from>
        <xdr:to>
          <xdr:col>2</xdr:col>
          <xdr:colOff>666750</xdr:colOff>
          <xdr:row>11</xdr:row>
          <xdr:rowOff>104775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171450</xdr:rowOff>
        </xdr:from>
        <xdr:to>
          <xdr:col>4</xdr:col>
          <xdr:colOff>371475</xdr:colOff>
          <xdr:row>11</xdr:row>
          <xdr:rowOff>95250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381000</xdr:colOff>
          <xdr:row>12</xdr:row>
          <xdr:rowOff>142875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hab0ptk\0600911%20-%20SJRPP%20Solid%20Fuel%20Historic%20Prices%20-%20Commodity%20&amp;%20Ra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exu0ocl\040609%20FUEL%20COST%20RECOVERY%20-%20IRP%20SHORT%20&amp;%20LONG-TERM%20FOSSIL%20FUEL%20PRICE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XD0FJ7\AppData\Local\Temp\Temp1_2015.zip\2015\9.%20September\150908%202015%20-%202100%20LONG-TERM%20FORECAST%20FPL%20METHODOLOGY%20-%20To%20Delet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%20Analys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REG\GenTrader%20Data\Weekly%20Long%20Run\040914\Inputs\GTDW_Data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 - $ Per Ton - Q"/>
      <sheetName val="Chart 2 - $ Per MMBtu - Q"/>
      <sheetName val="Chart 3 - $ Per Ton - A"/>
      <sheetName val="Chart 4 - $ Per MMBtu - A"/>
      <sheetName val="History Delivered"/>
      <sheetName val="History Mine Mouth"/>
      <sheetName val="HISTOR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Pub Index"/>
      <sheetName val="_Setup_"/>
      <sheetName val="GAS BASIS"/>
      <sheetName val="FPL LONG TERM GAS &amp; OIL INDEX"/>
      <sheetName val="OIL &amp; GAS SEASONALITY"/>
      <sheetName val="TRANSPORT"/>
      <sheetName val="DEMAND CHARGE"/>
      <sheetName val="CAPACITY"/>
      <sheetName val="GAS AVAILABILITY WORKSHEET"/>
      <sheetName val="NATURAL GAS PRICES WORKSHEET"/>
      <sheetName val="FGT PRIMARY FIRM ZONE 1"/>
      <sheetName val="FGT PRIMARY FIRM ZONE 2"/>
      <sheetName val="FGT PRIMARY FIRM ZONE 3"/>
      <sheetName val="FGT NON-FIRM"/>
      <sheetName val="SESH TO FTS 3"/>
      <sheetName val="TRANSCO 4A  FTS 3"/>
      <sheetName val="GULF SOUTH TO FTS 1&amp;2"/>
      <sheetName val="INCREMENTAL Z3"/>
      <sheetName val="SESH TO GULFSTREAM"/>
      <sheetName val="TRANSCO 4A TO GULFSTREAM"/>
      <sheetName val="GULF SOUTH TO GULFSTREAM"/>
      <sheetName val="GULFSTREAM FIRM "/>
      <sheetName val="GULFSTREAM NON-FIRM"/>
      <sheetName val="FSC DLVD"/>
      <sheetName val="UPS REPLACEMENT"/>
      <sheetName val="Upload"/>
      <sheetName val="DISTILLATE &amp; RESIDUAL FUEL OIL"/>
      <sheetName val="COAL &amp; PET COKE FORECAST"/>
      <sheetName val="COAL - Monthly"/>
      <sheetName val="COAL SO2 &amp; NOX Calculations"/>
      <sheetName val="COAL - Monthly OLD"/>
      <sheetName val="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S1150"/>
  <sheetViews>
    <sheetView tabSelected="1"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B17" sqref="B17"/>
    </sheetView>
  </sheetViews>
  <sheetFormatPr defaultColWidth="7.109375" defaultRowHeight="15"/>
  <cols>
    <col min="1" max="1" width="7.5546875" style="2" bestFit="1" customWidth="1"/>
    <col min="2" max="5" width="10" style="1" customWidth="1"/>
    <col min="6" max="6" width="9.33203125" style="2" customWidth="1"/>
    <col min="7" max="7" width="13.33203125" style="1" customWidth="1"/>
    <col min="8" max="8" width="12.6640625" style="2" customWidth="1"/>
    <col min="9" max="9" width="10" style="1" customWidth="1"/>
    <col min="10" max="10" width="9.6640625" style="1" customWidth="1"/>
    <col min="11" max="11" width="13.33203125" style="1" customWidth="1"/>
    <col min="12" max="12" width="7.21875" style="1" bestFit="1" customWidth="1"/>
    <col min="13" max="13" width="13.6640625" style="1" bestFit="1" customWidth="1"/>
    <col min="14" max="14" width="6.109375" style="1" bestFit="1" customWidth="1"/>
    <col min="15" max="15" width="10.21875" style="1" customWidth="1"/>
    <col min="16" max="16" width="9.21875" style="1" customWidth="1"/>
    <col min="17" max="17" width="9.88671875" style="1" customWidth="1"/>
    <col min="18" max="18" width="9.33203125" style="1" customWidth="1"/>
    <col min="19" max="19" width="9.21875" style="1" customWidth="1"/>
    <col min="20" max="20" width="10.21875" style="1" customWidth="1"/>
    <col min="21" max="21" width="11.77734375" style="1" customWidth="1"/>
    <col min="22" max="22" width="7.109375" style="1" customWidth="1"/>
    <col min="23" max="23" width="8.77734375" style="1" customWidth="1"/>
    <col min="24" max="24" width="9.21875" style="1" customWidth="1"/>
    <col min="25" max="25" width="11.77734375" style="1" customWidth="1"/>
    <col min="26" max="26" width="7.109375" style="1" customWidth="1"/>
    <col min="27" max="27" width="9.21875" style="1" customWidth="1"/>
    <col min="28" max="28" width="9.33203125" style="1" customWidth="1"/>
    <col min="29" max="29" width="8.21875" style="1" customWidth="1"/>
    <col min="30" max="30" width="9" style="1" customWidth="1"/>
    <col min="31" max="16384" width="7.109375" style="1"/>
  </cols>
  <sheetData>
    <row r="1" spans="1:19" ht="15.75">
      <c r="A1" s="84" t="s">
        <v>64</v>
      </c>
    </row>
    <row r="2" spans="1:19" ht="15.75">
      <c r="A2" s="84" t="s">
        <v>65</v>
      </c>
    </row>
    <row r="3" spans="1:19" ht="15.75">
      <c r="A3" s="84" t="s">
        <v>66</v>
      </c>
    </row>
    <row r="4" spans="1:19" ht="15.75">
      <c r="A4" s="84" t="s">
        <v>67</v>
      </c>
    </row>
    <row r="5" spans="1:19" ht="15.75">
      <c r="A5" s="84" t="s">
        <v>69</v>
      </c>
    </row>
    <row r="6" spans="1:19" ht="15.75">
      <c r="A6" s="84" t="s">
        <v>68</v>
      </c>
    </row>
    <row r="8" spans="1:19" ht="24.75" customHeight="1">
      <c r="A8" s="31" t="s">
        <v>26</v>
      </c>
    </row>
    <row r="9" spans="1:19" ht="15" customHeight="1">
      <c r="A9" s="30" t="s">
        <v>25</v>
      </c>
    </row>
    <row r="10" spans="1:19" ht="15" customHeight="1">
      <c r="A10" s="1"/>
      <c r="G10" s="29"/>
      <c r="N10" s="28"/>
    </row>
    <row r="11" spans="1:19" ht="15" customHeight="1">
      <c r="C11" s="27" t="s">
        <v>24</v>
      </c>
      <c r="D11" s="26">
        <f>1-0.198</f>
        <v>0.80200000000000005</v>
      </c>
      <c r="E11" s="27" t="s">
        <v>23</v>
      </c>
      <c r="F11" s="26">
        <f>1+0.198</f>
        <v>1.198</v>
      </c>
    </row>
    <row r="12" spans="1:19" ht="15" customHeight="1">
      <c r="A12" s="1"/>
    </row>
    <row r="13" spans="1:19" ht="15" customHeight="1">
      <c r="D13" s="10"/>
      <c r="E13" s="10"/>
      <c r="F13" s="10"/>
      <c r="G13" s="10"/>
      <c r="I13" s="10"/>
      <c r="K13" s="25"/>
      <c r="L13" s="85" t="s">
        <v>22</v>
      </c>
      <c r="M13" s="85"/>
      <c r="N13" s="85"/>
      <c r="O13" s="85"/>
      <c r="P13" s="85"/>
      <c r="Q13" s="85"/>
      <c r="R13" s="85"/>
      <c r="S13" s="85"/>
    </row>
    <row r="14" spans="1:19" ht="15" customHeight="1">
      <c r="B14" s="10"/>
      <c r="C14" s="10"/>
      <c r="D14" s="10"/>
      <c r="E14" s="10"/>
      <c r="F14" s="10"/>
      <c r="G14" s="10"/>
      <c r="I14" s="10"/>
      <c r="K14" s="24"/>
      <c r="L14" s="85" t="s">
        <v>21</v>
      </c>
      <c r="M14" s="85"/>
      <c r="N14" s="85"/>
      <c r="O14" s="85"/>
      <c r="P14" s="85"/>
      <c r="Q14" s="85"/>
      <c r="R14" s="85"/>
      <c r="S14" s="85"/>
    </row>
    <row r="15" spans="1:19" s="18" customFormat="1" ht="112.5" customHeight="1">
      <c r="B15" s="21" t="s">
        <v>20</v>
      </c>
      <c r="C15" s="21" t="s">
        <v>19</v>
      </c>
      <c r="D15" s="21" t="s">
        <v>18</v>
      </c>
      <c r="E15" s="21" t="s">
        <v>17</v>
      </c>
      <c r="F15" s="20" t="s">
        <v>16</v>
      </c>
      <c r="G15" s="21" t="s">
        <v>15</v>
      </c>
      <c r="H15" s="20" t="s">
        <v>14</v>
      </c>
      <c r="I15" s="21" t="s">
        <v>13</v>
      </c>
      <c r="J15" s="20" t="s">
        <v>12</v>
      </c>
      <c r="K15" s="23" t="s">
        <v>11</v>
      </c>
      <c r="L15" s="19" t="s">
        <v>10</v>
      </c>
      <c r="M15" s="19" t="s">
        <v>9</v>
      </c>
      <c r="N15" s="19" t="s">
        <v>8</v>
      </c>
      <c r="O15" s="19" t="s">
        <v>7</v>
      </c>
      <c r="P15" s="19" t="s">
        <v>6</v>
      </c>
      <c r="Q15" s="19" t="s">
        <v>5</v>
      </c>
      <c r="R15" s="19" t="s">
        <v>4</v>
      </c>
      <c r="S15" s="22" t="s">
        <v>3</v>
      </c>
    </row>
    <row r="16" spans="1:19" s="18" customFormat="1" ht="15" customHeight="1">
      <c r="A16" s="20" t="s">
        <v>2</v>
      </c>
      <c r="B16" s="21" t="s">
        <v>1</v>
      </c>
      <c r="C16" s="21" t="s">
        <v>1</v>
      </c>
      <c r="D16" s="21" t="s">
        <v>1</v>
      </c>
      <c r="E16" s="21" t="s">
        <v>1</v>
      </c>
      <c r="F16" s="20" t="s">
        <v>1</v>
      </c>
      <c r="G16" s="21" t="s">
        <v>1</v>
      </c>
      <c r="H16" s="20" t="s">
        <v>1</v>
      </c>
      <c r="I16" s="21" t="s">
        <v>1</v>
      </c>
      <c r="J16" s="20" t="s">
        <v>1</v>
      </c>
      <c r="K16" s="20" t="s">
        <v>1</v>
      </c>
      <c r="L16" s="19" t="s">
        <v>0</v>
      </c>
      <c r="M16" s="19" t="s">
        <v>0</v>
      </c>
      <c r="N16" s="19" t="s">
        <v>0</v>
      </c>
      <c r="O16" s="19" t="s">
        <v>0</v>
      </c>
      <c r="P16" s="19" t="s">
        <v>0</v>
      </c>
      <c r="Q16" s="19" t="s">
        <v>0</v>
      </c>
      <c r="R16" s="19" t="s">
        <v>0</v>
      </c>
      <c r="S16" s="19" t="s">
        <v>0</v>
      </c>
    </row>
    <row r="17" spans="1:19" ht="15" customHeight="1">
      <c r="A17" s="13">
        <v>42005</v>
      </c>
      <c r="B17" s="8">
        <f>3.3498 * CHOOSE(CONTROL!$C$15, $D$11, 100%, $F$11)</f>
        <v>3.3498000000000001</v>
      </c>
      <c r="C17" s="8">
        <f>3.355 * CHOOSE(CONTROL!$C$15, $D$11, 100%, $F$11)</f>
        <v>3.355</v>
      </c>
      <c r="D17" s="8">
        <f>3.3504 * CHOOSE( CONTROL!$C$15, $D$11, 100%, $F$11)</f>
        <v>3.3504</v>
      </c>
      <c r="E17" s="12">
        <f>3.3515 * CHOOSE( CONTROL!$C$15, $D$11, 100%, $F$11)</f>
        <v>3.3515000000000001</v>
      </c>
      <c r="F17" s="4">
        <f>3.9925 * CHOOSE(CONTROL!$C$15, $D$11, 100%, $F$11)</f>
        <v>3.9925000000000002</v>
      </c>
      <c r="G17" s="8">
        <f>3.2635 * CHOOSE( CONTROL!$C$15, $D$11, 100%, $F$11)</f>
        <v>3.2635000000000001</v>
      </c>
      <c r="H17" s="4">
        <f>4.1342 * CHOOSE(CONTROL!$C$15, $D$11, 100%, $F$11)</f>
        <v>4.1341999999999999</v>
      </c>
      <c r="I17" s="8">
        <f>3.3042 * CHOOSE(CONTROL!$C$15, $D$11, 100%, $F$11)</f>
        <v>3.3041999999999998</v>
      </c>
      <c r="J17" s="4">
        <f>3.189 * CHOOSE(CONTROL!$C$15, $D$11, 100%, $F$11)</f>
        <v>3.1890000000000001</v>
      </c>
      <c r="K17" s="4">
        <f>3.2683 * CHOOSE(CONTROL!$C$15, $D$11, 100%, $F$11)</f>
        <v>3.2683</v>
      </c>
      <c r="L17" s="9">
        <v>28.872</v>
      </c>
      <c r="M17" s="9">
        <v>12.063700000000001</v>
      </c>
      <c r="N17" s="9">
        <v>4.9444999999999997</v>
      </c>
      <c r="O17" s="9">
        <v>0.61570000000000003</v>
      </c>
      <c r="P17" s="9">
        <v>0</v>
      </c>
      <c r="Q17" s="9"/>
      <c r="R17" s="9">
        <f t="shared" ref="R17:R28" si="0">(0.12*2500000)/1000000</f>
        <v>0.3</v>
      </c>
      <c r="S17" s="17">
        <v>1.0592999999999999</v>
      </c>
    </row>
    <row r="18" spans="1:19" ht="15" customHeight="1">
      <c r="A18" s="13">
        <v>42036</v>
      </c>
      <c r="B18" s="8">
        <f>3.0134 * CHOOSE(CONTROL!$C$15, $D$11, 100%, $F$11)</f>
        <v>3.0133999999999999</v>
      </c>
      <c r="C18" s="8">
        <f>3.0186 * CHOOSE(CONTROL!$C$15, $D$11, 100%, $F$11)</f>
        <v>3.0186000000000002</v>
      </c>
      <c r="D18" s="8">
        <f>3.016 * CHOOSE( CONTROL!$C$15, $D$11, 100%, $F$11)</f>
        <v>3.016</v>
      </c>
      <c r="E18" s="12">
        <f>3.0164 * CHOOSE( CONTROL!$C$15, $D$11, 100%, $F$11)</f>
        <v>3.0164</v>
      </c>
      <c r="F18" s="4">
        <f>3.6639 * CHOOSE(CONTROL!$C$15, $D$11, 100%, $F$11)</f>
        <v>3.6638999999999999</v>
      </c>
      <c r="G18" s="8">
        <f>2.937 * CHOOSE( CONTROL!$C$15, $D$11, 100%, $F$11)</f>
        <v>2.9369999999999998</v>
      </c>
      <c r="H18" s="4">
        <f>3.8133 * CHOOSE(CONTROL!$C$15, $D$11, 100%, $F$11)</f>
        <v>3.8132999999999999</v>
      </c>
      <c r="I18" s="8">
        <f>2.982 * CHOOSE(CONTROL!$C$15, $D$11, 100%, $F$11)</f>
        <v>2.9820000000000002</v>
      </c>
      <c r="J18" s="4">
        <f>2.866 * CHOOSE(CONTROL!$C$15, $D$11, 100%, $F$11)</f>
        <v>2.8660000000000001</v>
      </c>
      <c r="K18" s="4">
        <f>2.9392 * CHOOSE(CONTROL!$C$15, $D$11, 100%, $F$11)</f>
        <v>2.9392</v>
      </c>
      <c r="L18" s="9">
        <v>26.0779</v>
      </c>
      <c r="M18" s="9">
        <v>10.8962</v>
      </c>
      <c r="N18" s="9">
        <v>4.4660000000000002</v>
      </c>
      <c r="O18" s="9">
        <v>0.55610000000000004</v>
      </c>
      <c r="P18" s="9">
        <v>0</v>
      </c>
      <c r="Q18" s="9"/>
      <c r="R18" s="9">
        <f t="shared" si="0"/>
        <v>0.3</v>
      </c>
      <c r="S18" s="17">
        <v>1.0592999999999999</v>
      </c>
    </row>
    <row r="19" spans="1:19" ht="15" customHeight="1">
      <c r="A19" s="13">
        <v>42064</v>
      </c>
      <c r="B19" s="8">
        <f>3.0426 * CHOOSE(CONTROL!$C$15, $D$11, 100%, $F$11)</f>
        <v>3.0426000000000002</v>
      </c>
      <c r="C19" s="8">
        <f>3.0478 * CHOOSE(CONTROL!$C$15, $D$11, 100%, $F$11)</f>
        <v>3.0478000000000001</v>
      </c>
      <c r="D19" s="8">
        <f>3.0558 * CHOOSE( CONTROL!$C$15, $D$11, 100%, $F$11)</f>
        <v>3.0558000000000001</v>
      </c>
      <c r="E19" s="12">
        <f>3.0523 * CHOOSE( CONTROL!$C$15, $D$11, 100%, $F$11)</f>
        <v>3.0522999999999998</v>
      </c>
      <c r="F19" s="4">
        <f>3.7035 * CHOOSE(CONTROL!$C$15, $D$11, 100%, $F$11)</f>
        <v>3.7035</v>
      </c>
      <c r="G19" s="8">
        <f>2.9756 * CHOOSE( CONTROL!$C$15, $D$11, 100%, $F$11)</f>
        <v>2.9756</v>
      </c>
      <c r="H19" s="4">
        <f>3.8519 * CHOOSE(CONTROL!$C$15, $D$11, 100%, $F$11)</f>
        <v>3.8519000000000001</v>
      </c>
      <c r="I19" s="8">
        <f>2.9903 * CHOOSE(CONTROL!$C$15, $D$11, 100%, $F$11)</f>
        <v>2.9903</v>
      </c>
      <c r="J19" s="4">
        <f>2.894 * CHOOSE(CONTROL!$C$15, $D$11, 100%, $F$11)</f>
        <v>2.8940000000000001</v>
      </c>
      <c r="K19" s="4">
        <f>2.974 * CHOOSE(CONTROL!$C$15, $D$11, 100%, $F$11)</f>
        <v>2.9740000000000002</v>
      </c>
      <c r="L19" s="9">
        <v>28.872</v>
      </c>
      <c r="M19" s="9">
        <v>12.063700000000001</v>
      </c>
      <c r="N19" s="9">
        <v>4.9444999999999997</v>
      </c>
      <c r="O19" s="9">
        <v>0.61570000000000003</v>
      </c>
      <c r="P19" s="9">
        <v>0</v>
      </c>
      <c r="Q19" s="9"/>
      <c r="R19" s="9">
        <f t="shared" si="0"/>
        <v>0.3</v>
      </c>
      <c r="S19" s="17">
        <v>1.0592999999999999</v>
      </c>
    </row>
    <row r="20" spans="1:19" ht="15" customHeight="1">
      <c r="A20" s="13">
        <v>42095</v>
      </c>
      <c r="B20" s="8">
        <f>2.7267 * CHOOSE(CONTROL!$C$15, $D$11, 100%, $F$11)</f>
        <v>2.7267000000000001</v>
      </c>
      <c r="C20" s="8">
        <f>2.7313 * CHOOSE(CONTROL!$C$15, $D$11, 100%, $F$11)</f>
        <v>2.7313000000000001</v>
      </c>
      <c r="D20" s="8">
        <f>2.7099 * CHOOSE( CONTROL!$C$15, $D$11, 100%, $F$11)</f>
        <v>2.7099000000000002</v>
      </c>
      <c r="E20" s="12">
        <f>2.7164 * CHOOSE( CONTROL!$C$15, $D$11, 100%, $F$11)</f>
        <v>2.7164000000000001</v>
      </c>
      <c r="F20" s="4">
        <f>3.3868 * CHOOSE(CONTROL!$C$15, $D$11, 100%, $F$11)</f>
        <v>3.3868</v>
      </c>
      <c r="G20" s="8">
        <f>2.6312 * CHOOSE( CONTROL!$C$15, $D$11, 100%, $F$11)</f>
        <v>2.6312000000000002</v>
      </c>
      <c r="H20" s="4">
        <f>3.5427 * CHOOSE(CONTROL!$C$15, $D$11, 100%, $F$11)</f>
        <v>3.5427</v>
      </c>
      <c r="I20" s="8">
        <f>2.6501 * CHOOSE(CONTROL!$C$15, $D$11, 100%, $F$11)</f>
        <v>2.6501000000000001</v>
      </c>
      <c r="J20" s="4">
        <f>2.59 * CHOOSE(CONTROL!$C$15, $D$11, 100%, $F$11)</f>
        <v>2.59</v>
      </c>
      <c r="K20" s="4">
        <f>2.6424 * CHOOSE(CONTROL!$C$15, $D$11, 100%, $F$11)</f>
        <v>2.6423999999999999</v>
      </c>
      <c r="L20" s="9">
        <v>30.092199999999998</v>
      </c>
      <c r="M20" s="9">
        <v>11.6745</v>
      </c>
      <c r="N20" s="9">
        <v>4.7850000000000001</v>
      </c>
      <c r="O20" s="9">
        <v>0.59589999999999999</v>
      </c>
      <c r="P20" s="9">
        <v>2.0339999999999998</v>
      </c>
      <c r="Q20" s="9"/>
      <c r="R20" s="9">
        <f t="shared" si="0"/>
        <v>0.3</v>
      </c>
      <c r="S20" s="17">
        <v>1.0592999999999999</v>
      </c>
    </row>
    <row r="21" spans="1:19" ht="15" customHeight="1">
      <c r="A21" s="13">
        <v>42125</v>
      </c>
      <c r="B21" s="8">
        <f>CHOOSE( CONTROL!$C$32, 2.6569, 2.652) * CHOOSE(CONTROL!$C$15, $D$11, 100%, $F$11)</f>
        <v>2.6568999999999998</v>
      </c>
      <c r="C21" s="8">
        <f>CHOOSE( CONTROL!$C$32, 2.665, 2.6601) * CHOOSE(CONTROL!$C$15, $D$11, 100%, $F$11)</f>
        <v>2.665</v>
      </c>
      <c r="D21" s="8">
        <f>CHOOSE( CONTROL!$C$32, 2.6471, 2.6423) * CHOOSE( CONTROL!$C$15, $D$11, 100%, $F$11)</f>
        <v>2.6471</v>
      </c>
      <c r="E21" s="12">
        <f>CHOOSE( CONTROL!$C$32, 2.652, 2.6471) * CHOOSE( CONTROL!$C$15, $D$11, 100%, $F$11)</f>
        <v>2.6520000000000001</v>
      </c>
      <c r="F21" s="4">
        <f>CHOOSE( CONTROL!$C$32, 3.3234, 3.3186) * CHOOSE(CONTROL!$C$15, $D$11, 100%, $F$11)</f>
        <v>3.3233999999999999</v>
      </c>
      <c r="G21" s="8">
        <f>CHOOSE( CONTROL!$C$32, 2.5662, 2.5615) * CHOOSE( CONTROL!$C$15, $D$11, 100%, $F$11)</f>
        <v>2.5661999999999998</v>
      </c>
      <c r="H21" s="4">
        <f>CHOOSE( CONTROL!$C$32, 3.4808, 3.4761) * CHOOSE(CONTROL!$C$15, $D$11, 100%, $F$11)</f>
        <v>3.4807999999999999</v>
      </c>
      <c r="I21" s="8">
        <f>CHOOSE( CONTROL!$C$32, 2.5899, 2.5852) * CHOOSE(CONTROL!$C$15, $D$11, 100%, $F$11)</f>
        <v>2.5899000000000001</v>
      </c>
      <c r="J21" s="4">
        <f>CHOOSE( CONTROL!$C$32, 2.5216, 2.517) * CHOOSE(CONTROL!$C$15, $D$11, 100%, $F$11)</f>
        <v>2.5215999999999998</v>
      </c>
      <c r="K21" s="4">
        <f>CHOOSE( CONTROL!$C$32, 2.575, 2.5702) * CHOOSE(CONTROL!$C$15, $D$11, 100%, $F$11)</f>
        <v>2.5750000000000002</v>
      </c>
      <c r="L21" s="9">
        <v>33.7545</v>
      </c>
      <c r="M21" s="9">
        <v>12.063700000000001</v>
      </c>
      <c r="N21" s="9">
        <v>4.9444999999999997</v>
      </c>
      <c r="O21" s="9">
        <v>0.61570000000000003</v>
      </c>
      <c r="P21" s="9">
        <v>1.4925999999999999</v>
      </c>
      <c r="Q21" s="9"/>
      <c r="R21" s="9">
        <f t="shared" si="0"/>
        <v>0.3</v>
      </c>
      <c r="S21" s="17">
        <v>1.0592999999999999</v>
      </c>
    </row>
    <row r="22" spans="1:19" ht="15" customHeight="1">
      <c r="A22" s="13">
        <v>42156</v>
      </c>
      <c r="B22" s="8">
        <f>CHOOSE( CONTROL!$C$32, 2.9673, 2.9624) * CHOOSE(CONTROL!$C$15, $D$11, 100%, $F$11)</f>
        <v>2.9672999999999998</v>
      </c>
      <c r="C22" s="8">
        <f>CHOOSE( CONTROL!$C$32, 2.9753, 2.9705) * CHOOSE(CONTROL!$C$15, $D$11, 100%, $F$11)</f>
        <v>2.9752999999999998</v>
      </c>
      <c r="D22" s="8">
        <f>CHOOSE( CONTROL!$C$32, 2.9722, 2.9674) * CHOOSE( CONTROL!$C$15, $D$11, 100%, $F$11)</f>
        <v>2.9722</v>
      </c>
      <c r="E22" s="12">
        <f>CHOOSE( CONTROL!$C$32, 2.9721, 2.9673) * CHOOSE( CONTROL!$C$15, $D$11, 100%, $F$11)</f>
        <v>2.9721000000000002</v>
      </c>
      <c r="F22" s="4">
        <f>CHOOSE( CONTROL!$C$32, 3.6547, 3.6498) * CHOOSE(CONTROL!$C$15, $D$11, 100%, $F$11)</f>
        <v>3.6547000000000001</v>
      </c>
      <c r="G22" s="8">
        <f>CHOOSE( CONTROL!$C$32, 2.8831, 2.8784) * CHOOSE( CONTROL!$C$15, $D$11, 100%, $F$11)</f>
        <v>2.8831000000000002</v>
      </c>
      <c r="H22" s="4">
        <f>CHOOSE( CONTROL!$C$32, 3.8043, 3.7996) * CHOOSE(CONTROL!$C$15, $D$11, 100%, $F$11)</f>
        <v>3.8043</v>
      </c>
      <c r="I22" s="8">
        <f>CHOOSE( CONTROL!$C$32, 2.9126, 2.9079) * CHOOSE(CONTROL!$C$15, $D$11, 100%, $F$11)</f>
        <v>2.9125999999999999</v>
      </c>
      <c r="J22" s="4">
        <f>CHOOSE( CONTROL!$C$32, 2.8196, 2.815) * CHOOSE(CONTROL!$C$15, $D$11, 100%, $F$11)</f>
        <v>2.8195999999999999</v>
      </c>
      <c r="K22" s="4">
        <f>CHOOSE( CONTROL!$C$32, 2.8861, 2.8814) * CHOOSE(CONTROL!$C$15, $D$11, 100%, $F$11)</f>
        <v>2.8860999999999999</v>
      </c>
      <c r="L22" s="9">
        <v>32.665700000000001</v>
      </c>
      <c r="M22" s="9">
        <v>11.6745</v>
      </c>
      <c r="N22" s="9">
        <v>4.7850000000000001</v>
      </c>
      <c r="O22" s="9">
        <v>0.59589999999999999</v>
      </c>
      <c r="P22" s="9">
        <v>1.4443999999999999</v>
      </c>
      <c r="Q22" s="9"/>
      <c r="R22" s="9">
        <f t="shared" si="0"/>
        <v>0.3</v>
      </c>
      <c r="S22" s="16">
        <v>1.0722</v>
      </c>
    </row>
    <row r="23" spans="1:19" ht="15" customHeight="1">
      <c r="A23" s="13">
        <v>42186</v>
      </c>
      <c r="B23" s="8">
        <f>CHOOSE( CONTROL!$C$32, 2.9235, 2.9187) * CHOOSE(CONTROL!$C$15, $D$11, 100%, $F$11)</f>
        <v>2.9235000000000002</v>
      </c>
      <c r="C23" s="8">
        <f>CHOOSE( CONTROL!$C$32, 2.9316, 2.9268) * CHOOSE(CONTROL!$C$15, $D$11, 100%, $F$11)</f>
        <v>2.9316</v>
      </c>
      <c r="D23" s="8">
        <f>CHOOSE( CONTROL!$C$32, 2.9337, 2.9288) * CHOOSE( CONTROL!$C$15, $D$11, 100%, $F$11)</f>
        <v>2.9337</v>
      </c>
      <c r="E23" s="12">
        <f>CHOOSE( CONTROL!$C$32, 2.9318, 2.927) * CHOOSE( CONTROL!$C$15, $D$11, 100%, $F$11)</f>
        <v>2.9318</v>
      </c>
      <c r="F23" s="4">
        <f>CHOOSE( CONTROL!$C$32, 3.6161, 3.6113) * CHOOSE(CONTROL!$C$15, $D$11, 100%, $F$11)</f>
        <v>3.6160999999999999</v>
      </c>
      <c r="G23" s="8">
        <f>CHOOSE( CONTROL!$C$32, 2.8457, 2.841) * CHOOSE( CONTROL!$C$15, $D$11, 100%, $F$11)</f>
        <v>2.8456999999999999</v>
      </c>
      <c r="H23" s="4">
        <f>CHOOSE( CONTROL!$C$32, 3.7666, 3.7619) * CHOOSE(CONTROL!$C$15, $D$11, 100%, $F$11)</f>
        <v>3.7665999999999999</v>
      </c>
      <c r="I23" s="8">
        <f>CHOOSE( CONTROL!$C$32, 2.8899, 2.8853) * CHOOSE(CONTROL!$C$15, $D$11, 100%, $F$11)</f>
        <v>2.8898999999999999</v>
      </c>
      <c r="J23" s="4">
        <f>CHOOSE( CONTROL!$C$32, 2.7776, 2.773) * CHOOSE(CONTROL!$C$15, $D$11, 100%, $F$11)</f>
        <v>2.7776000000000001</v>
      </c>
      <c r="K23" s="4">
        <f>CHOOSE( CONTROL!$C$32, 2.8472, 2.8425) * CHOOSE(CONTROL!$C$15, $D$11, 100%, $F$11)</f>
        <v>2.8472</v>
      </c>
      <c r="L23" s="9">
        <v>33.7545</v>
      </c>
      <c r="M23" s="9">
        <v>12.063700000000001</v>
      </c>
      <c r="N23" s="9">
        <v>4.9444999999999997</v>
      </c>
      <c r="O23" s="9">
        <v>0.61570000000000003</v>
      </c>
      <c r="P23" s="9">
        <v>1.4925999999999999</v>
      </c>
      <c r="Q23" s="9"/>
      <c r="R23" s="9">
        <f t="shared" si="0"/>
        <v>0.3</v>
      </c>
      <c r="S23" s="15">
        <v>1.0738000000000001</v>
      </c>
    </row>
    <row r="24" spans="1:19" ht="15" customHeight="1">
      <c r="A24" s="13">
        <v>42217</v>
      </c>
      <c r="B24" s="8">
        <f>CHOOSE( CONTROL!$C$32, 3.0412, 3.0364) * CHOOSE(CONTROL!$C$15, $D$11, 100%, $F$11)</f>
        <v>3.0411999999999999</v>
      </c>
      <c r="C24" s="8">
        <f>CHOOSE( CONTROL!$C$32, 3.0493, 3.0445) * CHOOSE(CONTROL!$C$15, $D$11, 100%, $F$11)</f>
        <v>3.0493000000000001</v>
      </c>
      <c r="D24" s="8">
        <f>CHOOSE( CONTROL!$C$32, 3.0501, 3.0453) * CHOOSE( CONTROL!$C$15, $D$11, 100%, $F$11)</f>
        <v>3.0501</v>
      </c>
      <c r="E24" s="12">
        <f>CHOOSE( CONTROL!$C$32, 3.0487, 3.0439) * CHOOSE( CONTROL!$C$15, $D$11, 100%, $F$11)</f>
        <v>3.0487000000000002</v>
      </c>
      <c r="F24" s="4">
        <f>CHOOSE( CONTROL!$C$32, 3.714, 3.7092) * CHOOSE(CONTROL!$C$15, $D$11, 100%, $F$11)</f>
        <v>3.714</v>
      </c>
      <c r="G24" s="8">
        <f>CHOOSE( CONTROL!$C$32, 2.9618, 2.9571) * CHOOSE( CONTROL!$C$15, $D$11, 100%, $F$11)</f>
        <v>2.9618000000000002</v>
      </c>
      <c r="H24" s="4">
        <f>CHOOSE( CONTROL!$C$32, 3.8623, 3.8575) * CHOOSE(CONTROL!$C$15, $D$11, 100%, $F$11)</f>
        <v>3.8622999999999998</v>
      </c>
      <c r="I24" s="8">
        <f>CHOOSE( CONTROL!$C$32, 2.9959, 2.9913) * CHOOSE(CONTROL!$C$15, $D$11, 100%, $F$11)</f>
        <v>2.9958999999999998</v>
      </c>
      <c r="J24" s="4">
        <f>CHOOSE( CONTROL!$C$32, 2.8906, 2.886) * CHOOSE(CONTROL!$C$15, $D$11, 100%, $F$11)</f>
        <v>2.8906000000000001</v>
      </c>
      <c r="K24" s="4">
        <f>CHOOSE( CONTROL!$C$32, 2.9552, 2.9505) * CHOOSE(CONTROL!$C$15, $D$11, 100%, $F$11)</f>
        <v>2.9552</v>
      </c>
      <c r="L24" s="9">
        <v>33.7545</v>
      </c>
      <c r="M24" s="9">
        <v>12.063700000000001</v>
      </c>
      <c r="N24" s="9">
        <v>4.9444999999999997</v>
      </c>
      <c r="O24" s="9">
        <v>0.61570000000000003</v>
      </c>
      <c r="P24" s="9">
        <v>1.4925999999999999</v>
      </c>
      <c r="Q24" s="9"/>
      <c r="R24" s="9">
        <f t="shared" si="0"/>
        <v>0.3</v>
      </c>
      <c r="S24" s="15">
        <v>1.0738000000000001</v>
      </c>
    </row>
    <row r="25" spans="1:19" ht="15" customHeight="1">
      <c r="A25" s="13">
        <v>42248</v>
      </c>
      <c r="B25" s="8">
        <f>CHOOSE( CONTROL!$C$32, 2.7829, 2.7781) * CHOOSE(CONTROL!$C$15, $D$11, 100%, $F$11)</f>
        <v>2.7829000000000002</v>
      </c>
      <c r="C25" s="8">
        <f>CHOOSE( CONTROL!$C$32, 2.791, 2.7862) * CHOOSE(CONTROL!$C$15, $D$11, 100%, $F$11)</f>
        <v>2.7909999999999999</v>
      </c>
      <c r="D25" s="8">
        <f>CHOOSE( CONTROL!$C$32, 2.7814, 2.7766) * CHOOSE( CONTROL!$C$15, $D$11, 100%, $F$11)</f>
        <v>2.7814000000000001</v>
      </c>
      <c r="E25" s="12">
        <f>CHOOSE( CONTROL!$C$32, 2.7835, 2.7787) * CHOOSE( CONTROL!$C$15, $D$11, 100%, $F$11)</f>
        <v>2.7835000000000001</v>
      </c>
      <c r="F25" s="4">
        <f>CHOOSE( CONTROL!$C$32, 3.4443, 3.4394) * CHOOSE(CONTROL!$C$15, $D$11, 100%, $F$11)</f>
        <v>3.4443000000000001</v>
      </c>
      <c r="G25" s="8">
        <f>CHOOSE( CONTROL!$C$32, 2.6994, 2.6946) * CHOOSE( CONTROL!$C$15, $D$11, 100%, $F$11)</f>
        <v>2.6993999999999998</v>
      </c>
      <c r="H25" s="4">
        <f>CHOOSE( CONTROL!$C$32, 3.5988, 3.5941) * CHOOSE(CONTROL!$C$15, $D$11, 100%, $F$11)</f>
        <v>3.5988000000000002</v>
      </c>
      <c r="I25" s="8">
        <f>CHOOSE( CONTROL!$C$32, 2.7262, 2.7216) * CHOOSE(CONTROL!$C$15, $D$11, 100%, $F$11)</f>
        <v>2.7262</v>
      </c>
      <c r="J25" s="4">
        <f>CHOOSE( CONTROL!$C$32, 2.6426, 2.638) * CHOOSE(CONTROL!$C$15, $D$11, 100%, $F$11)</f>
        <v>2.6425999999999998</v>
      </c>
      <c r="K25" s="4">
        <f>CHOOSE( CONTROL!$C$32, 2.6988, 2.6941) * CHOOSE(CONTROL!$C$15, $D$11, 100%, $F$11)</f>
        <v>2.6987999999999999</v>
      </c>
      <c r="L25" s="9">
        <v>32.665700000000001</v>
      </c>
      <c r="M25" s="9">
        <v>11.6745</v>
      </c>
      <c r="N25" s="9">
        <v>4.7850000000000001</v>
      </c>
      <c r="O25" s="9">
        <v>0.59589999999999999</v>
      </c>
      <c r="P25" s="9">
        <v>1.4443999999999999</v>
      </c>
      <c r="Q25" s="9"/>
      <c r="R25" s="9">
        <f t="shared" si="0"/>
        <v>0.3</v>
      </c>
      <c r="S25" s="15">
        <v>1.0738000000000001</v>
      </c>
    </row>
    <row r="26" spans="1:19" ht="15" customHeight="1">
      <c r="A26" s="13">
        <v>42278</v>
      </c>
      <c r="B26" s="8">
        <f>2.8513 * CHOOSE(CONTROL!$C$15, $D$11, 100%, $F$11)</f>
        <v>2.8513000000000002</v>
      </c>
      <c r="C26" s="8">
        <f>2.8568 * CHOOSE(CONTROL!$C$15, $D$11, 100%, $F$11)</f>
        <v>2.8567999999999998</v>
      </c>
      <c r="D26" s="8">
        <f>2.8448 * CHOOSE( CONTROL!$C$15, $D$11, 100%, $F$11)</f>
        <v>2.8448000000000002</v>
      </c>
      <c r="E26" s="12">
        <f>2.8482 * CHOOSE( CONTROL!$C$15, $D$11, 100%, $F$11)</f>
        <v>2.8481999999999998</v>
      </c>
      <c r="F26" s="4">
        <f>3.5014 * CHOOSE(CONTROL!$C$15, $D$11, 100%, $F$11)</f>
        <v>3.5013999999999998</v>
      </c>
      <c r="G26" s="8">
        <f>2.7638 * CHOOSE( CONTROL!$C$15, $D$11, 100%, $F$11)</f>
        <v>2.7637999999999998</v>
      </c>
      <c r="H26" s="4">
        <f>3.6546 * CHOOSE(CONTROL!$C$15, $D$11, 100%, $F$11)</f>
        <v>3.6545999999999998</v>
      </c>
      <c r="I26" s="8">
        <f>2.7916 * CHOOSE(CONTROL!$C$15, $D$11, 100%, $F$11)</f>
        <v>2.7915999999999999</v>
      </c>
      <c r="J26" s="4">
        <f>2.71 * CHOOSE(CONTROL!$C$15, $D$11, 100%, $F$11)</f>
        <v>2.71</v>
      </c>
      <c r="K26" s="4">
        <f>2.7637 * CHOOSE(CONTROL!$C$15, $D$11, 100%, $F$11)</f>
        <v>2.7637</v>
      </c>
      <c r="L26" s="9">
        <v>31.095300000000002</v>
      </c>
      <c r="M26" s="9">
        <v>12.063700000000001</v>
      </c>
      <c r="N26" s="9">
        <v>4.9444999999999997</v>
      </c>
      <c r="O26" s="9">
        <v>0.61570000000000003</v>
      </c>
      <c r="P26" s="9">
        <v>2.1017999999999999</v>
      </c>
      <c r="Q26" s="9"/>
      <c r="R26" s="9">
        <f t="shared" si="0"/>
        <v>0.3</v>
      </c>
      <c r="S26" s="15">
        <v>1.0738000000000001</v>
      </c>
    </row>
    <row r="27" spans="1:19" ht="15" customHeight="1">
      <c r="A27" s="13">
        <v>42309</v>
      </c>
      <c r="B27" s="8">
        <f>2.9363 * CHOOSE(CONTROL!$C$15, $D$11, 100%, $F$11)</f>
        <v>2.9363000000000001</v>
      </c>
      <c r="C27" s="8">
        <f>2.9415 * CHOOSE(CONTROL!$C$15, $D$11, 100%, $F$11)</f>
        <v>2.9415</v>
      </c>
      <c r="D27" s="8">
        <f>2.9242 * CHOOSE( CONTROL!$C$15, $D$11, 100%, $F$11)</f>
        <v>2.9241999999999999</v>
      </c>
      <c r="E27" s="12">
        <f>2.93 * CHOOSE( CONTROL!$C$15, $D$11, 100%, $F$11)</f>
        <v>2.93</v>
      </c>
      <c r="F27" s="4">
        <f>3.5852 * CHOOSE(CONTROL!$C$15, $D$11, 100%, $F$11)</f>
        <v>3.5851999999999999</v>
      </c>
      <c r="G27" s="8">
        <f>2.8548 * CHOOSE( CONTROL!$C$15, $D$11, 100%, $F$11)</f>
        <v>2.8548</v>
      </c>
      <c r="H27" s="4">
        <f>3.7365 * CHOOSE(CONTROL!$C$15, $D$11, 100%, $F$11)</f>
        <v>3.7364999999999999</v>
      </c>
      <c r="I27" s="8">
        <f>2.8997 * CHOOSE(CONTROL!$C$15, $D$11, 100%, $F$11)</f>
        <v>2.8997000000000002</v>
      </c>
      <c r="J27" s="4">
        <f>2.792 * CHOOSE(CONTROL!$C$15, $D$11, 100%, $F$11)</f>
        <v>2.7919999999999998</v>
      </c>
      <c r="K27" s="4">
        <f>2.8578 * CHOOSE(CONTROL!$C$15, $D$11, 100%, $F$11)</f>
        <v>2.8578000000000001</v>
      </c>
      <c r="L27" s="9">
        <v>28.360600000000002</v>
      </c>
      <c r="M27" s="9">
        <v>11.6745</v>
      </c>
      <c r="N27" s="9">
        <v>4.7850000000000001</v>
      </c>
      <c r="O27" s="9">
        <v>0.59589999999999999</v>
      </c>
      <c r="P27" s="9">
        <v>1.2509999999999999</v>
      </c>
      <c r="Q27" s="9"/>
      <c r="R27" s="9">
        <f t="shared" si="0"/>
        <v>0.3</v>
      </c>
      <c r="S27" s="15">
        <v>1.0738000000000001</v>
      </c>
    </row>
    <row r="28" spans="1:19" ht="15" customHeight="1">
      <c r="A28" s="13">
        <v>42339</v>
      </c>
      <c r="B28" s="8">
        <f>3.0936 * CHOOSE(CONTROL!$C$15, $D$11, 100%, $F$11)</f>
        <v>3.0935999999999999</v>
      </c>
      <c r="C28" s="8">
        <f>3.0988 * CHOOSE(CONTROL!$C$15, $D$11, 100%, $F$11)</f>
        <v>3.0988000000000002</v>
      </c>
      <c r="D28" s="8">
        <f>3.0829 * CHOOSE( CONTROL!$C$15, $D$11, 100%, $F$11)</f>
        <v>3.0829</v>
      </c>
      <c r="E28" s="12">
        <f>3.0882 * CHOOSE( CONTROL!$C$15, $D$11, 100%, $F$11)</f>
        <v>3.0882000000000001</v>
      </c>
      <c r="F28" s="4">
        <f>3.7425 * CHOOSE(CONTROL!$C$15, $D$11, 100%, $F$11)</f>
        <v>3.7425000000000002</v>
      </c>
      <c r="G28" s="8">
        <f>3.0094 * CHOOSE( CONTROL!$C$15, $D$11, 100%, $F$11)</f>
        <v>3.0093999999999999</v>
      </c>
      <c r="H28" s="4">
        <f>3.8901 * CHOOSE(CONTROL!$C$15, $D$11, 100%, $F$11)</f>
        <v>3.8900999999999999</v>
      </c>
      <c r="I28" s="8">
        <f>3.0551 * CHOOSE(CONTROL!$C$15, $D$11, 100%, $F$11)</f>
        <v>3.0550999999999999</v>
      </c>
      <c r="J28" s="4">
        <f>2.943 * CHOOSE(CONTROL!$C$15, $D$11, 100%, $F$11)</f>
        <v>2.9430000000000001</v>
      </c>
      <c r="K28" s="4">
        <f>3.0124 * CHOOSE(CONTROL!$C$15, $D$11, 100%, $F$11)</f>
        <v>3.0124</v>
      </c>
      <c r="L28" s="9">
        <v>29.306000000000001</v>
      </c>
      <c r="M28" s="9">
        <v>12.063700000000001</v>
      </c>
      <c r="N28" s="9">
        <v>4.9444999999999997</v>
      </c>
      <c r="O28" s="9">
        <v>0.61570000000000003</v>
      </c>
      <c r="P28" s="9">
        <v>1.2927</v>
      </c>
      <c r="Q28" s="9"/>
      <c r="R28" s="9">
        <f t="shared" si="0"/>
        <v>0.3</v>
      </c>
      <c r="S28" s="15">
        <v>1.0738000000000001</v>
      </c>
    </row>
    <row r="29" spans="1:19" ht="15" customHeight="1">
      <c r="A29" s="13">
        <v>42370</v>
      </c>
      <c r="B29" s="8">
        <f>3.204 * CHOOSE(CONTROL!$C$15, $D$11, 100%, $F$11)</f>
        <v>3.2040000000000002</v>
      </c>
      <c r="C29" s="8">
        <f>3.2092 * CHOOSE(CONTROL!$C$15, $D$11, 100%, $F$11)</f>
        <v>3.2092000000000001</v>
      </c>
      <c r="D29" s="8">
        <f>3.1943 * CHOOSE( CONTROL!$C$15, $D$11, 100%, $F$11)</f>
        <v>3.1943000000000001</v>
      </c>
      <c r="E29" s="12">
        <f>3.1992 * CHOOSE( CONTROL!$C$15, $D$11, 100%, $F$11)</f>
        <v>3.1991999999999998</v>
      </c>
      <c r="F29" s="4">
        <f>3.8529 * CHOOSE(CONTROL!$C$15, $D$11, 100%, $F$11)</f>
        <v>3.8529</v>
      </c>
      <c r="G29" s="8">
        <f>3.1179 * CHOOSE( CONTROL!$C$15, $D$11, 100%, $F$11)</f>
        <v>3.1179000000000001</v>
      </c>
      <c r="H29" s="4">
        <f>3.9979 * CHOOSE(CONTROL!$C$15, $D$11, 100%, $F$11)</f>
        <v>3.9979</v>
      </c>
      <c r="I29" s="8">
        <f>3.1642 * CHOOSE(CONTROL!$C$15, $D$11, 100%, $F$11)</f>
        <v>3.1642000000000001</v>
      </c>
      <c r="J29" s="4">
        <f>3.049 * CHOOSE(CONTROL!$C$15, $D$11, 100%, $F$11)</f>
        <v>3.0489999999999999</v>
      </c>
      <c r="K29" s="4"/>
      <c r="L29" s="9">
        <v>29.306000000000001</v>
      </c>
      <c r="M29" s="9">
        <v>12.063700000000001</v>
      </c>
      <c r="N29" s="9">
        <v>4.9444999999999997</v>
      </c>
      <c r="O29" s="9">
        <v>0.61570000000000003</v>
      </c>
      <c r="P29" s="9">
        <v>1.2927</v>
      </c>
      <c r="Q29" s="9"/>
      <c r="R29" s="9">
        <f t="shared" ref="R29:R44" si="1">(0.1*4000000)/1000000</f>
        <v>0.4</v>
      </c>
      <c r="S29" s="11"/>
    </row>
    <row r="30" spans="1:19" ht="15" customHeight="1">
      <c r="A30" s="13">
        <v>42401</v>
      </c>
      <c r="B30" s="8">
        <f>3.204 * CHOOSE(CONTROL!$C$15, $D$11, 100%, $F$11)</f>
        <v>3.2040000000000002</v>
      </c>
      <c r="C30" s="8">
        <f>3.2092 * CHOOSE(CONTROL!$C$15, $D$11, 100%, $F$11)</f>
        <v>3.2092000000000001</v>
      </c>
      <c r="D30" s="8">
        <f>3.1943 * CHOOSE( CONTROL!$C$15, $D$11, 100%, $F$11)</f>
        <v>3.1943000000000001</v>
      </c>
      <c r="E30" s="12">
        <f>3.1992 * CHOOSE( CONTROL!$C$15, $D$11, 100%, $F$11)</f>
        <v>3.1991999999999998</v>
      </c>
      <c r="F30" s="4">
        <f>3.8529 * CHOOSE(CONTROL!$C$15, $D$11, 100%, $F$11)</f>
        <v>3.8529</v>
      </c>
      <c r="G30" s="8">
        <f>3.1179 * CHOOSE( CONTROL!$C$15, $D$11, 100%, $F$11)</f>
        <v>3.1179000000000001</v>
      </c>
      <c r="H30" s="4">
        <f>3.9979 * CHOOSE(CONTROL!$C$15, $D$11, 100%, $F$11)</f>
        <v>3.9979</v>
      </c>
      <c r="I30" s="8">
        <f>3.1642 * CHOOSE(CONTROL!$C$15, $D$11, 100%, $F$11)</f>
        <v>3.1642000000000001</v>
      </c>
      <c r="J30" s="4">
        <f>3.049 * CHOOSE(CONTROL!$C$15, $D$11, 100%, $F$11)</f>
        <v>3.0489999999999999</v>
      </c>
      <c r="K30" s="4"/>
      <c r="L30" s="9">
        <v>27.415299999999998</v>
      </c>
      <c r="M30" s="9">
        <v>11.285299999999999</v>
      </c>
      <c r="N30" s="9">
        <v>4.6254999999999997</v>
      </c>
      <c r="O30" s="9">
        <v>0.57599999999999996</v>
      </c>
      <c r="P30" s="9">
        <v>1.2093</v>
      </c>
      <c r="Q30" s="9"/>
      <c r="R30" s="9">
        <f t="shared" si="1"/>
        <v>0.4</v>
      </c>
      <c r="S30" s="11"/>
    </row>
    <row r="31" spans="1:19" ht="15" customHeight="1">
      <c r="A31" s="13">
        <v>42430</v>
      </c>
      <c r="B31" s="8">
        <f>3.1676 * CHOOSE(CONTROL!$C$15, $D$11, 100%, $F$11)</f>
        <v>3.1676000000000002</v>
      </c>
      <c r="C31" s="8">
        <f>3.1728 * CHOOSE(CONTROL!$C$15, $D$11, 100%, $F$11)</f>
        <v>3.1728000000000001</v>
      </c>
      <c r="D31" s="8">
        <f>3.1575 * CHOOSE( CONTROL!$C$15, $D$11, 100%, $F$11)</f>
        <v>3.1575000000000002</v>
      </c>
      <c r="E31" s="12">
        <f>3.1625 * CHOOSE( CONTROL!$C$15, $D$11, 100%, $F$11)</f>
        <v>3.1625000000000001</v>
      </c>
      <c r="F31" s="4">
        <f>3.8165 * CHOOSE(CONTROL!$C$15, $D$11, 100%, $F$11)</f>
        <v>3.8165</v>
      </c>
      <c r="G31" s="8">
        <f>3.0821 * CHOOSE( CONTROL!$C$15, $D$11, 100%, $F$11)</f>
        <v>3.0821000000000001</v>
      </c>
      <c r="H31" s="4">
        <f>3.9623 * CHOOSE(CONTROL!$C$15, $D$11, 100%, $F$11)</f>
        <v>3.9622999999999999</v>
      </c>
      <c r="I31" s="8">
        <f>3.1282 * CHOOSE(CONTROL!$C$15, $D$11, 100%, $F$11)</f>
        <v>3.1282000000000001</v>
      </c>
      <c r="J31" s="4">
        <f>3.014 * CHOOSE(CONTROL!$C$15, $D$11, 100%, $F$11)</f>
        <v>3.0139999999999998</v>
      </c>
      <c r="K31" s="4"/>
      <c r="L31" s="9">
        <v>29.306000000000001</v>
      </c>
      <c r="M31" s="9">
        <v>12.063700000000001</v>
      </c>
      <c r="N31" s="9">
        <v>4.9444999999999997</v>
      </c>
      <c r="O31" s="9">
        <v>0.61570000000000003</v>
      </c>
      <c r="P31" s="9">
        <v>1.2927</v>
      </c>
      <c r="Q31" s="9"/>
      <c r="R31" s="9">
        <f t="shared" si="1"/>
        <v>0.4</v>
      </c>
      <c r="S31" s="11"/>
    </row>
    <row r="32" spans="1:19" ht="15" customHeight="1">
      <c r="A32" s="13">
        <v>42461</v>
      </c>
      <c r="B32" s="8">
        <f>3.0225 * CHOOSE(CONTROL!$C$15, $D$11, 100%, $F$11)</f>
        <v>3.0225</v>
      </c>
      <c r="C32" s="8">
        <f>3.0271 * CHOOSE(CONTROL!$C$15, $D$11, 100%, $F$11)</f>
        <v>3.0270999999999999</v>
      </c>
      <c r="D32" s="8">
        <f>3.0278 * CHOOSE( CONTROL!$C$15, $D$11, 100%, $F$11)</f>
        <v>3.0278</v>
      </c>
      <c r="E32" s="12">
        <f>3.027 * CHOOSE( CONTROL!$C$15, $D$11, 100%, $F$11)</f>
        <v>3.0270000000000001</v>
      </c>
      <c r="F32" s="4">
        <f>3.7217 * CHOOSE(CONTROL!$C$15, $D$11, 100%, $F$11)</f>
        <v>3.7216999999999998</v>
      </c>
      <c r="G32" s="8">
        <f>2.9414 * CHOOSE( CONTROL!$C$15, $D$11, 100%, $F$11)</f>
        <v>2.9413999999999998</v>
      </c>
      <c r="H32" s="4">
        <f>3.8697 * CHOOSE(CONTROL!$C$15, $D$11, 100%, $F$11)</f>
        <v>3.8696999999999999</v>
      </c>
      <c r="I32" s="8">
        <f>2.98 * CHOOSE(CONTROL!$C$15, $D$11, 100%, $F$11)</f>
        <v>2.98</v>
      </c>
      <c r="J32" s="4">
        <f>2.874 * CHOOSE(CONTROL!$C$15, $D$11, 100%, $F$11)</f>
        <v>2.8740000000000001</v>
      </c>
      <c r="K32" s="4"/>
      <c r="L32" s="9">
        <v>30.092199999999998</v>
      </c>
      <c r="M32" s="9">
        <v>11.6745</v>
      </c>
      <c r="N32" s="9">
        <v>4.7850000000000001</v>
      </c>
      <c r="O32" s="9">
        <v>0.59589999999999999</v>
      </c>
      <c r="P32" s="9">
        <v>2.0339999999999998</v>
      </c>
      <c r="Q32" s="9"/>
      <c r="R32" s="9">
        <f t="shared" si="1"/>
        <v>0.4</v>
      </c>
      <c r="S32" s="11"/>
    </row>
    <row r="33" spans="1:19" ht="15" customHeight="1">
      <c r="A33" s="13">
        <v>42491</v>
      </c>
      <c r="B33" s="8">
        <f>CHOOSE( CONTROL!$C$32, 3.0277, 3.0228) * CHOOSE(CONTROL!$C$15, $D$11, 100%, $F$11)</f>
        <v>3.0276999999999998</v>
      </c>
      <c r="C33" s="8">
        <f>CHOOSE( CONTROL!$C$32, 3.0358, 3.0309) * CHOOSE(CONTROL!$C$15, $D$11, 100%, $F$11)</f>
        <v>3.0358000000000001</v>
      </c>
      <c r="D33" s="8">
        <f>CHOOSE( CONTROL!$C$32, 3.0446, 3.0397) * CHOOSE( CONTROL!$C$15, $D$11, 100%, $F$11)</f>
        <v>3.0446</v>
      </c>
      <c r="E33" s="12">
        <f>CHOOSE( CONTROL!$C$32, 3.0405, 3.0356) * CHOOSE( CONTROL!$C$15, $D$11, 100%, $F$11)</f>
        <v>3.0405000000000002</v>
      </c>
      <c r="F33" s="4">
        <f>CHOOSE( CONTROL!$C$32, 3.7255, 3.7206) * CHOOSE(CONTROL!$C$15, $D$11, 100%, $F$11)</f>
        <v>3.7254999999999998</v>
      </c>
      <c r="G33" s="8">
        <f>CHOOSE( CONTROL!$C$32, 2.9436, 2.9389) * CHOOSE( CONTROL!$C$15, $D$11, 100%, $F$11)</f>
        <v>2.9436</v>
      </c>
      <c r="H33" s="4">
        <f>CHOOSE( CONTROL!$C$32, 3.8734, 3.8687) * CHOOSE(CONTROL!$C$15, $D$11, 100%, $F$11)</f>
        <v>3.8734000000000002</v>
      </c>
      <c r="I33" s="8">
        <f>CHOOSE( CONTROL!$C$32, 2.9836, 2.9789) * CHOOSE(CONTROL!$C$15, $D$11, 100%, $F$11)</f>
        <v>2.9836</v>
      </c>
      <c r="J33" s="4">
        <f>CHOOSE( CONTROL!$C$32, 2.8776, 2.873) * CHOOSE(CONTROL!$C$15, $D$11, 100%, $F$11)</f>
        <v>2.8776000000000002</v>
      </c>
      <c r="K33" s="4"/>
      <c r="L33" s="9">
        <v>33.7545</v>
      </c>
      <c r="M33" s="9">
        <v>12.063700000000001</v>
      </c>
      <c r="N33" s="9">
        <v>4.9444999999999997</v>
      </c>
      <c r="O33" s="9">
        <v>0.37409999999999999</v>
      </c>
      <c r="P33" s="9">
        <v>1.4925999999999999</v>
      </c>
      <c r="Q33" s="9"/>
      <c r="R33" s="9">
        <f t="shared" si="1"/>
        <v>0.4</v>
      </c>
      <c r="S33" s="11"/>
    </row>
    <row r="34" spans="1:19" ht="15" customHeight="1">
      <c r="A34" s="13">
        <v>42522</v>
      </c>
      <c r="B34" s="8">
        <f>CHOOSE( CONTROL!$C$32, 3.061, 3.0562) * CHOOSE(CONTROL!$C$15, $D$11, 100%, $F$11)</f>
        <v>3.0609999999999999</v>
      </c>
      <c r="C34" s="8">
        <f>CHOOSE( CONTROL!$C$32, 3.0691, 3.0643) * CHOOSE(CONTROL!$C$15, $D$11, 100%, $F$11)</f>
        <v>3.0691000000000002</v>
      </c>
      <c r="D34" s="8">
        <f>CHOOSE( CONTROL!$C$32, 3.0781, 3.0733) * CHOOSE( CONTROL!$C$15, $D$11, 100%, $F$11)</f>
        <v>3.0781000000000001</v>
      </c>
      <c r="E34" s="12">
        <f>CHOOSE( CONTROL!$C$32, 3.0739, 3.0691) * CHOOSE( CONTROL!$C$15, $D$11, 100%, $F$11)</f>
        <v>3.0739000000000001</v>
      </c>
      <c r="F34" s="4">
        <f>CHOOSE( CONTROL!$C$32, 3.7588, 3.754) * CHOOSE(CONTROL!$C$15, $D$11, 100%, $F$11)</f>
        <v>3.7587999999999999</v>
      </c>
      <c r="G34" s="8">
        <f>CHOOSE( CONTROL!$C$32, 2.9764, 2.9717) * CHOOSE( CONTROL!$C$15, $D$11, 100%, $F$11)</f>
        <v>2.9763999999999999</v>
      </c>
      <c r="H34" s="4">
        <f>CHOOSE( CONTROL!$C$32, 3.906, 3.9013) * CHOOSE(CONTROL!$C$15, $D$11, 100%, $F$11)</f>
        <v>3.9060000000000001</v>
      </c>
      <c r="I34" s="8">
        <f>CHOOSE( CONTROL!$C$32, 3.0165, 3.0119) * CHOOSE(CONTROL!$C$15, $D$11, 100%, $F$11)</f>
        <v>3.0165000000000002</v>
      </c>
      <c r="J34" s="4">
        <f>CHOOSE( CONTROL!$C$32, 2.9096, 2.905) * CHOOSE(CONTROL!$C$15, $D$11, 100%, $F$11)</f>
        <v>2.9096000000000002</v>
      </c>
      <c r="K34" s="4"/>
      <c r="L34" s="9">
        <v>32.665700000000001</v>
      </c>
      <c r="M34" s="9">
        <v>11.6745</v>
      </c>
      <c r="N34" s="9">
        <v>4.7850000000000001</v>
      </c>
      <c r="O34" s="9">
        <v>0.36199999999999999</v>
      </c>
      <c r="P34" s="9">
        <v>1.4443999999999999</v>
      </c>
      <c r="Q34" s="9"/>
      <c r="R34" s="9">
        <f t="shared" si="1"/>
        <v>0.4</v>
      </c>
      <c r="S34" s="11"/>
    </row>
    <row r="35" spans="1:19" ht="15" customHeight="1">
      <c r="A35" s="13">
        <v>42552</v>
      </c>
      <c r="B35" s="8">
        <f>CHOOSE( CONTROL!$C$32, 3.1016, 3.0968) * CHOOSE(CONTROL!$C$15, $D$11, 100%, $F$11)</f>
        <v>3.1015999999999999</v>
      </c>
      <c r="C35" s="8">
        <f>CHOOSE( CONTROL!$C$32, 3.1097, 3.1049) * CHOOSE(CONTROL!$C$15, $D$11, 100%, $F$11)</f>
        <v>3.1097000000000001</v>
      </c>
      <c r="D35" s="8">
        <f>CHOOSE( CONTROL!$C$32, 3.1191, 3.1142) * CHOOSE( CONTROL!$C$15, $D$11, 100%, $F$11)</f>
        <v>3.1191</v>
      </c>
      <c r="E35" s="12">
        <f>CHOOSE( CONTROL!$C$32, 3.1148, 3.1099) * CHOOSE( CONTROL!$C$15, $D$11, 100%, $F$11)</f>
        <v>3.1147999999999998</v>
      </c>
      <c r="F35" s="4">
        <f>CHOOSE( CONTROL!$C$32, 3.7994, 3.7946) * CHOOSE(CONTROL!$C$15, $D$11, 100%, $F$11)</f>
        <v>3.7993999999999999</v>
      </c>
      <c r="G35" s="8">
        <f>CHOOSE( CONTROL!$C$32, 3.0165, 3.0117) * CHOOSE( CONTROL!$C$15, $D$11, 100%, $F$11)</f>
        <v>3.0165000000000002</v>
      </c>
      <c r="H35" s="4">
        <f>CHOOSE( CONTROL!$C$32, 3.9457, 3.941) * CHOOSE(CONTROL!$C$15, $D$11, 100%, $F$11)</f>
        <v>3.9457</v>
      </c>
      <c r="I35" s="8">
        <f>CHOOSE( CONTROL!$C$32, 3.0567, 3.052) * CHOOSE(CONTROL!$C$15, $D$11, 100%, $F$11)</f>
        <v>3.0567000000000002</v>
      </c>
      <c r="J35" s="4">
        <f>CHOOSE( CONTROL!$C$32, 2.9486, 2.944) * CHOOSE(CONTROL!$C$15, $D$11, 100%, $F$11)</f>
        <v>2.9485999999999999</v>
      </c>
      <c r="K35" s="4"/>
      <c r="L35" s="9">
        <v>33.7545</v>
      </c>
      <c r="M35" s="9">
        <v>12.063700000000001</v>
      </c>
      <c r="N35" s="9">
        <v>4.9444999999999997</v>
      </c>
      <c r="O35" s="9">
        <v>0.37409999999999999</v>
      </c>
      <c r="P35" s="9">
        <v>1.4925999999999999</v>
      </c>
      <c r="Q35" s="9"/>
      <c r="R35" s="9">
        <f t="shared" si="1"/>
        <v>0.4</v>
      </c>
      <c r="S35" s="11"/>
    </row>
    <row r="36" spans="1:19" ht="15" customHeight="1">
      <c r="A36" s="13">
        <v>42583</v>
      </c>
      <c r="B36" s="8">
        <f>CHOOSE( CONTROL!$C$32, 3.112, 3.1072) * CHOOSE(CONTROL!$C$15, $D$11, 100%, $F$11)</f>
        <v>3.1120000000000001</v>
      </c>
      <c r="C36" s="8">
        <f>CHOOSE( CONTROL!$C$32, 3.1201, 3.1153) * CHOOSE(CONTROL!$C$15, $D$11, 100%, $F$11)</f>
        <v>3.1200999999999999</v>
      </c>
      <c r="D36" s="8">
        <f>CHOOSE( CONTROL!$C$32, 3.1296, 3.1247) * CHOOSE( CONTROL!$C$15, $D$11, 100%, $F$11)</f>
        <v>3.1295999999999999</v>
      </c>
      <c r="E36" s="12">
        <f>CHOOSE( CONTROL!$C$32, 3.1253, 3.1204) * CHOOSE( CONTROL!$C$15, $D$11, 100%, $F$11)</f>
        <v>3.1253000000000002</v>
      </c>
      <c r="F36" s="4">
        <f>CHOOSE( CONTROL!$C$32, 3.8098, 3.805) * CHOOSE(CONTROL!$C$15, $D$11, 100%, $F$11)</f>
        <v>3.8098000000000001</v>
      </c>
      <c r="G36" s="8">
        <f>CHOOSE( CONTROL!$C$32, 3.0267, 3.022) * CHOOSE( CONTROL!$C$15, $D$11, 100%, $F$11)</f>
        <v>3.0266999999999999</v>
      </c>
      <c r="H36" s="4">
        <f>CHOOSE( CONTROL!$C$32, 3.9558, 3.9511) * CHOOSE(CONTROL!$C$15, $D$11, 100%, $F$11)</f>
        <v>3.9558</v>
      </c>
      <c r="I36" s="8">
        <f>CHOOSE( CONTROL!$C$32, 3.067, 3.0623) * CHOOSE(CONTROL!$C$15, $D$11, 100%, $F$11)</f>
        <v>3.0670000000000002</v>
      </c>
      <c r="J36" s="4">
        <f>CHOOSE( CONTROL!$C$32, 2.9586, 2.954) * CHOOSE(CONTROL!$C$15, $D$11, 100%, $F$11)</f>
        <v>2.9586000000000001</v>
      </c>
      <c r="K36" s="4"/>
      <c r="L36" s="9">
        <v>33.7545</v>
      </c>
      <c r="M36" s="9">
        <v>12.063700000000001</v>
      </c>
      <c r="N36" s="9">
        <v>4.9444999999999997</v>
      </c>
      <c r="O36" s="9">
        <v>0.37409999999999999</v>
      </c>
      <c r="P36" s="9">
        <v>1.4925999999999999</v>
      </c>
      <c r="Q36" s="9"/>
      <c r="R36" s="9">
        <f t="shared" si="1"/>
        <v>0.4</v>
      </c>
      <c r="S36" s="11"/>
    </row>
    <row r="37" spans="1:19" ht="15" customHeight="1">
      <c r="A37" s="13">
        <v>42614</v>
      </c>
      <c r="B37" s="8">
        <f>CHOOSE( CONTROL!$C$32, 3.1089, 3.1041) * CHOOSE(CONTROL!$C$15, $D$11, 100%, $F$11)</f>
        <v>3.1089000000000002</v>
      </c>
      <c r="C37" s="8">
        <f>CHOOSE( CONTROL!$C$32, 3.117, 3.1122) * CHOOSE(CONTROL!$C$15, $D$11, 100%, $F$11)</f>
        <v>3.117</v>
      </c>
      <c r="D37" s="8">
        <f>CHOOSE( CONTROL!$C$32, 3.1264, 3.1216) * CHOOSE( CONTROL!$C$15, $D$11, 100%, $F$11)</f>
        <v>3.1263999999999998</v>
      </c>
      <c r="E37" s="12">
        <f>CHOOSE( CONTROL!$C$32, 3.1221, 3.1173) * CHOOSE( CONTROL!$C$15, $D$11, 100%, $F$11)</f>
        <v>3.1221000000000001</v>
      </c>
      <c r="F37" s="4">
        <f>CHOOSE( CONTROL!$C$32, 3.8067, 3.8019) * CHOOSE(CONTROL!$C$15, $D$11, 100%, $F$11)</f>
        <v>3.8067000000000002</v>
      </c>
      <c r="G37" s="8">
        <f>CHOOSE( CONTROL!$C$32, 3.0237, 3.0189) * CHOOSE( CONTROL!$C$15, $D$11, 100%, $F$11)</f>
        <v>3.0236999999999998</v>
      </c>
      <c r="H37" s="4">
        <f>CHOOSE( CONTROL!$C$32, 3.9528, 3.9481) * CHOOSE(CONTROL!$C$15, $D$11, 100%, $F$11)</f>
        <v>3.9527999999999999</v>
      </c>
      <c r="I37" s="8">
        <f>CHOOSE( CONTROL!$C$32, 3.0639, 3.0592) * CHOOSE(CONTROL!$C$15, $D$11, 100%, $F$11)</f>
        <v>3.0638999999999998</v>
      </c>
      <c r="J37" s="4">
        <f>CHOOSE( CONTROL!$C$32, 2.9556, 2.951) * CHOOSE(CONTROL!$C$15, $D$11, 100%, $F$11)</f>
        <v>2.9556</v>
      </c>
      <c r="K37" s="4"/>
      <c r="L37" s="9">
        <v>32.665700000000001</v>
      </c>
      <c r="M37" s="9">
        <v>11.6745</v>
      </c>
      <c r="N37" s="9">
        <v>4.7850000000000001</v>
      </c>
      <c r="O37" s="9">
        <v>0.36199999999999999</v>
      </c>
      <c r="P37" s="9">
        <v>1.4443999999999999</v>
      </c>
      <c r="Q37" s="9"/>
      <c r="R37" s="9">
        <f t="shared" si="1"/>
        <v>0.4</v>
      </c>
      <c r="S37" s="11"/>
    </row>
    <row r="38" spans="1:19" ht="15" customHeight="1">
      <c r="A38" s="13">
        <v>42644</v>
      </c>
      <c r="B38" s="8">
        <f>3.1294 * CHOOSE(CONTROL!$C$15, $D$11, 100%, $F$11)</f>
        <v>3.1294</v>
      </c>
      <c r="C38" s="8">
        <f>3.1349 * CHOOSE(CONTROL!$C$15, $D$11, 100%, $F$11)</f>
        <v>3.1349</v>
      </c>
      <c r="D38" s="8">
        <f>3.1439 * CHOOSE( CONTROL!$C$15, $D$11, 100%, $F$11)</f>
        <v>3.1438999999999999</v>
      </c>
      <c r="E38" s="12">
        <f>3.1403 * CHOOSE( CONTROL!$C$15, $D$11, 100%, $F$11)</f>
        <v>3.1402999999999999</v>
      </c>
      <c r="F38" s="4">
        <f>3.829 * CHOOSE(CONTROL!$C$15, $D$11, 100%, $F$11)</f>
        <v>3.8290000000000002</v>
      </c>
      <c r="G38" s="8">
        <f>3.0446 * CHOOSE( CONTROL!$C$15, $D$11, 100%, $F$11)</f>
        <v>3.0446</v>
      </c>
      <c r="H38" s="4">
        <f>3.9745 * CHOOSE(CONTROL!$C$15, $D$11, 100%, $F$11)</f>
        <v>3.9744999999999999</v>
      </c>
      <c r="I38" s="8">
        <f>3.086 * CHOOSE(CONTROL!$C$15, $D$11, 100%, $F$11)</f>
        <v>3.0859999999999999</v>
      </c>
      <c r="J38" s="4">
        <f>2.977 * CHOOSE(CONTROL!$C$15, $D$11, 100%, $F$11)</f>
        <v>2.9769999999999999</v>
      </c>
      <c r="K38" s="4"/>
      <c r="L38" s="9">
        <v>31.095300000000002</v>
      </c>
      <c r="M38" s="9">
        <v>12.063700000000001</v>
      </c>
      <c r="N38" s="9">
        <v>4.9444999999999997</v>
      </c>
      <c r="O38" s="9">
        <v>0.37409999999999999</v>
      </c>
      <c r="P38" s="9">
        <v>2.1017999999999999</v>
      </c>
      <c r="Q38" s="9"/>
      <c r="R38" s="9">
        <f t="shared" si="1"/>
        <v>0.4</v>
      </c>
      <c r="S38" s="11"/>
    </row>
    <row r="39" spans="1:19" ht="15" customHeight="1">
      <c r="A39" s="13">
        <v>42675</v>
      </c>
      <c r="B39" s="8">
        <f>3.2165 * CHOOSE(CONTROL!$C$15, $D$11, 100%, $F$11)</f>
        <v>3.2164999999999999</v>
      </c>
      <c r="C39" s="8">
        <f>3.2217 * CHOOSE(CONTROL!$C$15, $D$11, 100%, $F$11)</f>
        <v>3.2216999999999998</v>
      </c>
      <c r="D39" s="8">
        <f>3.211 * CHOOSE( CONTROL!$C$15, $D$11, 100%, $F$11)</f>
        <v>3.2109999999999999</v>
      </c>
      <c r="E39" s="12">
        <f>3.2144 * CHOOSE( CONTROL!$C$15, $D$11, 100%, $F$11)</f>
        <v>3.2143999999999999</v>
      </c>
      <c r="F39" s="4">
        <f>3.8654 * CHOOSE(CONTROL!$C$15, $D$11, 100%, $F$11)</f>
        <v>3.8654000000000002</v>
      </c>
      <c r="G39" s="8">
        <f>3.1346 * CHOOSE( CONTROL!$C$15, $D$11, 100%, $F$11)</f>
        <v>3.1345999999999998</v>
      </c>
      <c r="H39" s="4">
        <f>4.0101 * CHOOSE(CONTROL!$C$15, $D$11, 100%, $F$11)</f>
        <v>4.0101000000000004</v>
      </c>
      <c r="I39" s="8">
        <f>3.1956 * CHOOSE(CONTROL!$C$15, $D$11, 100%, $F$11)</f>
        <v>3.1956000000000002</v>
      </c>
      <c r="J39" s="4">
        <f>3.061 * CHOOSE(CONTROL!$C$15, $D$11, 100%, $F$11)</f>
        <v>3.0609999999999999</v>
      </c>
      <c r="K39" s="4"/>
      <c r="L39" s="9">
        <v>28.360600000000002</v>
      </c>
      <c r="M39" s="9">
        <v>11.6745</v>
      </c>
      <c r="N39" s="9">
        <v>4.7850000000000001</v>
      </c>
      <c r="O39" s="9">
        <v>0.36199999999999999</v>
      </c>
      <c r="P39" s="9">
        <v>1.2509999999999999</v>
      </c>
      <c r="Q39" s="9"/>
      <c r="R39" s="9">
        <f t="shared" si="1"/>
        <v>0.4</v>
      </c>
      <c r="S39" s="11"/>
    </row>
    <row r="40" spans="1:19" ht="15" customHeight="1">
      <c r="A40" s="13">
        <v>42705</v>
      </c>
      <c r="B40" s="8">
        <f>3.3728 * CHOOSE(CONTROL!$C$15, $D$11, 100%, $F$11)</f>
        <v>3.3727999999999998</v>
      </c>
      <c r="C40" s="8">
        <f>3.3779 * CHOOSE(CONTROL!$C$15, $D$11, 100%, $F$11)</f>
        <v>3.3778999999999999</v>
      </c>
      <c r="D40" s="8">
        <f>3.3685 * CHOOSE( CONTROL!$C$15, $D$11, 100%, $F$11)</f>
        <v>3.3685</v>
      </c>
      <c r="E40" s="12">
        <f>3.3714 * CHOOSE( CONTROL!$C$15, $D$11, 100%, $F$11)</f>
        <v>3.3714</v>
      </c>
      <c r="F40" s="4">
        <f>4.0217 * CHOOSE(CONTROL!$C$15, $D$11, 100%, $F$11)</f>
        <v>4.0217000000000001</v>
      </c>
      <c r="G40" s="8">
        <f>3.2882 * CHOOSE( CONTROL!$C$15, $D$11, 100%, $F$11)</f>
        <v>3.2881999999999998</v>
      </c>
      <c r="H40" s="4">
        <f>4.1627 * CHOOSE(CONTROL!$C$15, $D$11, 100%, $F$11)</f>
        <v>4.1627000000000001</v>
      </c>
      <c r="I40" s="8">
        <f>3.35 * CHOOSE(CONTROL!$C$15, $D$11, 100%, $F$11)</f>
        <v>3.35</v>
      </c>
      <c r="J40" s="4">
        <f>3.211 * CHOOSE(CONTROL!$C$15, $D$11, 100%, $F$11)</f>
        <v>3.2109999999999999</v>
      </c>
      <c r="K40" s="4"/>
      <c r="L40" s="9">
        <v>29.306000000000001</v>
      </c>
      <c r="M40" s="9">
        <v>12.063700000000001</v>
      </c>
      <c r="N40" s="9">
        <v>4.9444999999999997</v>
      </c>
      <c r="O40" s="9">
        <v>0.37409999999999999</v>
      </c>
      <c r="P40" s="9">
        <v>1.2927</v>
      </c>
      <c r="Q40" s="9"/>
      <c r="R40" s="9">
        <f t="shared" si="1"/>
        <v>0.4</v>
      </c>
      <c r="S40" s="11"/>
    </row>
    <row r="41" spans="1:19" ht="15" customHeight="1">
      <c r="A41" s="13">
        <v>42736</v>
      </c>
      <c r="B41" s="8">
        <f>3.4873 * CHOOSE(CONTROL!$C$15, $D$11, 100%, $F$11)</f>
        <v>3.4872999999999998</v>
      </c>
      <c r="C41" s="8">
        <f>3.4925 * CHOOSE(CONTROL!$C$15, $D$11, 100%, $F$11)</f>
        <v>3.4925000000000002</v>
      </c>
      <c r="D41" s="8">
        <f>3.479 * CHOOSE( CONTROL!$C$15, $D$11, 100%, $F$11)</f>
        <v>3.4790000000000001</v>
      </c>
      <c r="E41" s="12">
        <f>3.4834 * CHOOSE( CONTROL!$C$15, $D$11, 100%, $F$11)</f>
        <v>3.4834000000000001</v>
      </c>
      <c r="F41" s="4">
        <f>4.1362 * CHOOSE(CONTROL!$C$15, $D$11, 100%, $F$11)</f>
        <v>4.1361999999999997</v>
      </c>
      <c r="G41" s="8">
        <f>3.3939 * CHOOSE( CONTROL!$C$15, $D$11, 100%, $F$11)</f>
        <v>3.3938999999999999</v>
      </c>
      <c r="H41" s="4">
        <f>4.2746 * CHOOSE(CONTROL!$C$15, $D$11, 100%, $F$11)</f>
        <v>4.2746000000000004</v>
      </c>
      <c r="I41" s="8">
        <f>3.4363 * CHOOSE(CONTROL!$C$15, $D$11, 100%, $F$11)</f>
        <v>3.4363000000000001</v>
      </c>
      <c r="J41" s="4">
        <f>3.321 * CHOOSE(CONTROL!$C$15, $D$11, 100%, $F$11)</f>
        <v>3.3210000000000002</v>
      </c>
      <c r="K41" s="4"/>
      <c r="L41" s="9">
        <v>29.306000000000001</v>
      </c>
      <c r="M41" s="9">
        <v>12.063700000000001</v>
      </c>
      <c r="N41" s="9">
        <v>4.9444999999999997</v>
      </c>
      <c r="O41" s="9">
        <v>0.37409999999999999</v>
      </c>
      <c r="P41" s="9">
        <v>1.2927</v>
      </c>
      <c r="Q41" s="9"/>
      <c r="R41" s="9">
        <f t="shared" si="1"/>
        <v>0.4</v>
      </c>
      <c r="S41" s="11"/>
    </row>
    <row r="42" spans="1:19" ht="15" customHeight="1">
      <c r="A42" s="13">
        <v>42767</v>
      </c>
      <c r="B42" s="8">
        <f>3.4779 * CHOOSE(CONTROL!$C$15, $D$11, 100%, $F$11)</f>
        <v>3.4779</v>
      </c>
      <c r="C42" s="8">
        <f>3.4831 * CHOOSE(CONTROL!$C$15, $D$11, 100%, $F$11)</f>
        <v>3.4830999999999999</v>
      </c>
      <c r="D42" s="8">
        <f>3.4696 * CHOOSE( CONTROL!$C$15, $D$11, 100%, $F$11)</f>
        <v>3.4695999999999998</v>
      </c>
      <c r="E42" s="12">
        <f>3.474 * CHOOSE( CONTROL!$C$15, $D$11, 100%, $F$11)</f>
        <v>3.4740000000000002</v>
      </c>
      <c r="F42" s="4">
        <f>4.1269 * CHOOSE(CONTROL!$C$15, $D$11, 100%, $F$11)</f>
        <v>4.1269</v>
      </c>
      <c r="G42" s="8">
        <f>3.3847 * CHOOSE( CONTROL!$C$15, $D$11, 100%, $F$11)</f>
        <v>3.3847</v>
      </c>
      <c r="H42" s="4">
        <f>4.2655 * CHOOSE(CONTROL!$C$15, $D$11, 100%, $F$11)</f>
        <v>4.2655000000000003</v>
      </c>
      <c r="I42" s="8">
        <f>3.4273 * CHOOSE(CONTROL!$C$15, $D$11, 100%, $F$11)</f>
        <v>3.4272999999999998</v>
      </c>
      <c r="J42" s="4">
        <f>3.312 * CHOOSE(CONTROL!$C$15, $D$11, 100%, $F$11)</f>
        <v>3.3119999999999998</v>
      </c>
      <c r="K42" s="4"/>
      <c r="L42" s="9">
        <v>26.469899999999999</v>
      </c>
      <c r="M42" s="9">
        <v>10.8962</v>
      </c>
      <c r="N42" s="9">
        <v>4.4660000000000002</v>
      </c>
      <c r="O42" s="9">
        <v>0.33789999999999998</v>
      </c>
      <c r="P42" s="9">
        <v>1.1676</v>
      </c>
      <c r="Q42" s="9"/>
      <c r="R42" s="9">
        <f t="shared" si="1"/>
        <v>0.4</v>
      </c>
      <c r="S42" s="11"/>
    </row>
    <row r="43" spans="1:19" ht="15" customHeight="1">
      <c r="A43" s="13">
        <v>42795</v>
      </c>
      <c r="B43" s="8">
        <f>3.4071 * CHOOSE(CONTROL!$C$15, $D$11, 100%, $F$11)</f>
        <v>3.4070999999999998</v>
      </c>
      <c r="C43" s="8">
        <f>3.4123 * CHOOSE(CONTROL!$C$15, $D$11, 100%, $F$11)</f>
        <v>3.4123000000000001</v>
      </c>
      <c r="D43" s="8">
        <f>3.3985 * CHOOSE( CONTROL!$C$15, $D$11, 100%, $F$11)</f>
        <v>3.3984999999999999</v>
      </c>
      <c r="E43" s="12">
        <f>3.403 * CHOOSE( CONTROL!$C$15, $D$11, 100%, $F$11)</f>
        <v>3.403</v>
      </c>
      <c r="F43" s="4">
        <f>4.056 * CHOOSE(CONTROL!$C$15, $D$11, 100%, $F$11)</f>
        <v>4.056</v>
      </c>
      <c r="G43" s="8">
        <f>3.3153 * CHOOSE( CONTROL!$C$15, $D$11, 100%, $F$11)</f>
        <v>3.3153000000000001</v>
      </c>
      <c r="H43" s="4">
        <f>4.1963 * CHOOSE(CONTROL!$C$15, $D$11, 100%, $F$11)</f>
        <v>4.1962999999999999</v>
      </c>
      <c r="I43" s="8">
        <f>3.3583 * CHOOSE(CONTROL!$C$15, $D$11, 100%, $F$11)</f>
        <v>3.3582999999999998</v>
      </c>
      <c r="J43" s="4">
        <f>3.244 * CHOOSE(CONTROL!$C$15, $D$11, 100%, $F$11)</f>
        <v>3.2440000000000002</v>
      </c>
      <c r="K43" s="4"/>
      <c r="L43" s="9">
        <v>29.306000000000001</v>
      </c>
      <c r="M43" s="9">
        <v>12.063700000000001</v>
      </c>
      <c r="N43" s="9">
        <v>4.9444999999999997</v>
      </c>
      <c r="O43" s="9">
        <v>0.37409999999999999</v>
      </c>
      <c r="P43" s="9">
        <v>1.2927</v>
      </c>
      <c r="Q43" s="9"/>
      <c r="R43" s="9">
        <f t="shared" si="1"/>
        <v>0.4</v>
      </c>
      <c r="S43" s="11"/>
    </row>
    <row r="44" spans="1:19" ht="15" customHeight="1">
      <c r="A44" s="13">
        <v>42826</v>
      </c>
      <c r="B44" s="8">
        <f>3.1621 * CHOOSE(CONTROL!$C$15, $D$11, 100%, $F$11)</f>
        <v>3.1621000000000001</v>
      </c>
      <c r="C44" s="8">
        <f>3.1667 * CHOOSE(CONTROL!$C$15, $D$11, 100%, $F$11)</f>
        <v>3.1667000000000001</v>
      </c>
      <c r="D44" s="8">
        <f>3.1753 * CHOOSE( CONTROL!$C$15, $D$11, 100%, $F$11)</f>
        <v>3.1753</v>
      </c>
      <c r="E44" s="12">
        <f>3.1719 * CHOOSE( CONTROL!$C$15, $D$11, 100%, $F$11)</f>
        <v>3.1718999999999999</v>
      </c>
      <c r="F44" s="4">
        <f>3.8613 * CHOOSE(CONTROL!$C$15, $D$11, 100%, $F$11)</f>
        <v>3.8613</v>
      </c>
      <c r="G44" s="8">
        <f>3.0752 * CHOOSE( CONTROL!$C$15, $D$11, 100%, $F$11)</f>
        <v>3.0752000000000002</v>
      </c>
      <c r="H44" s="4">
        <f>4.0061 * CHOOSE(CONTROL!$C$15, $D$11, 100%, $F$11)</f>
        <v>4.0061</v>
      </c>
      <c r="I44" s="8">
        <f>3.114 * CHOOSE(CONTROL!$C$15, $D$11, 100%, $F$11)</f>
        <v>3.1139999999999999</v>
      </c>
      <c r="J44" s="4">
        <f>3.008 * CHOOSE(CONTROL!$C$15, $D$11, 100%, $F$11)</f>
        <v>3.008</v>
      </c>
      <c r="K44" s="4"/>
      <c r="L44" s="9">
        <v>30.092199999999998</v>
      </c>
      <c r="M44" s="9">
        <v>11.6745</v>
      </c>
      <c r="N44" s="9">
        <v>4.7850000000000001</v>
      </c>
      <c r="O44" s="9">
        <v>0.36199999999999999</v>
      </c>
      <c r="P44" s="9">
        <v>2.0339999999999998</v>
      </c>
      <c r="Q44" s="9"/>
      <c r="R44" s="9">
        <f t="shared" si="1"/>
        <v>0.4</v>
      </c>
      <c r="S44" s="11"/>
    </row>
    <row r="45" spans="1:19" ht="15" customHeight="1">
      <c r="A45" s="13">
        <v>42856</v>
      </c>
      <c r="B45" s="8">
        <f>CHOOSE( CONTROL!$C$32, 3.1631, 3.1582) * CHOOSE(CONTROL!$C$15, $D$11, 100%, $F$11)</f>
        <v>3.1631</v>
      </c>
      <c r="C45" s="8">
        <f>CHOOSE( CONTROL!$C$32, 3.1712, 3.1663) * CHOOSE(CONTROL!$C$15, $D$11, 100%, $F$11)</f>
        <v>3.1711999999999998</v>
      </c>
      <c r="D45" s="8">
        <f>CHOOSE( CONTROL!$C$32, 3.1753, 3.1705) * CHOOSE( CONTROL!$C$15, $D$11, 100%, $F$11)</f>
        <v>3.1753</v>
      </c>
      <c r="E45" s="12">
        <f>CHOOSE( CONTROL!$C$32, 3.1726, 3.1677) * CHOOSE( CONTROL!$C$15, $D$11, 100%, $F$11)</f>
        <v>3.1726000000000001</v>
      </c>
      <c r="F45" s="4">
        <f>CHOOSE( CONTROL!$C$32, 3.8609, 3.856) * CHOOSE(CONTROL!$C$15, $D$11, 100%, $F$11)</f>
        <v>3.8609</v>
      </c>
      <c r="G45" s="8">
        <f>CHOOSE( CONTROL!$C$32, 3.0758, 3.0711) * CHOOSE( CONTROL!$C$15, $D$11, 100%, $F$11)</f>
        <v>3.0758000000000001</v>
      </c>
      <c r="H45" s="4">
        <f>CHOOSE( CONTROL!$C$32, 4.0057, 4.001) * CHOOSE(CONTROL!$C$15, $D$11, 100%, $F$11)</f>
        <v>4.0057</v>
      </c>
      <c r="I45" s="8">
        <f>CHOOSE( CONTROL!$C$32, 3.1136, 3.109) * CHOOSE(CONTROL!$C$15, $D$11, 100%, $F$11)</f>
        <v>3.1135999999999999</v>
      </c>
      <c r="J45" s="4">
        <f>CHOOSE( CONTROL!$C$32, 3.0076, 3.003) * CHOOSE(CONTROL!$C$15, $D$11, 100%, $F$11)</f>
        <v>3.0076000000000001</v>
      </c>
      <c r="K45" s="4"/>
      <c r="L45" s="9">
        <v>30.7165</v>
      </c>
      <c r="M45" s="9">
        <v>12.063700000000001</v>
      </c>
      <c r="N45" s="9">
        <v>4.9444999999999997</v>
      </c>
      <c r="O45" s="9">
        <v>0.37409999999999999</v>
      </c>
      <c r="P45" s="9">
        <v>2.1017999999999999</v>
      </c>
      <c r="Q45" s="9">
        <v>25.076499999999999</v>
      </c>
      <c r="R45" s="9"/>
      <c r="S45" s="11"/>
    </row>
    <row r="46" spans="1:19" ht="15" customHeight="1">
      <c r="A46" s="13">
        <v>42887</v>
      </c>
      <c r="B46" s="8">
        <f>CHOOSE( CONTROL!$C$32, 3.187, 3.1822) * CHOOSE(CONTROL!$C$15, $D$11, 100%, $F$11)</f>
        <v>3.1869999999999998</v>
      </c>
      <c r="C46" s="8">
        <f>CHOOSE( CONTROL!$C$32, 3.1951, 3.1903) * CHOOSE(CONTROL!$C$15, $D$11, 100%, $F$11)</f>
        <v>3.1951000000000001</v>
      </c>
      <c r="D46" s="8">
        <f>CHOOSE( CONTROL!$C$32, 3.1995, 3.1947) * CHOOSE( CONTROL!$C$15, $D$11, 100%, $F$11)</f>
        <v>3.1995</v>
      </c>
      <c r="E46" s="12">
        <f>CHOOSE( CONTROL!$C$32, 3.1967, 3.1919) * CHOOSE( CONTROL!$C$15, $D$11, 100%, $F$11)</f>
        <v>3.1966999999999999</v>
      </c>
      <c r="F46" s="4">
        <f>CHOOSE( CONTROL!$C$32, 3.8848, 3.88) * CHOOSE(CONTROL!$C$15, $D$11, 100%, $F$11)</f>
        <v>3.8847999999999998</v>
      </c>
      <c r="G46" s="8">
        <f>CHOOSE( CONTROL!$C$32, 3.0995, 3.0948) * CHOOSE( CONTROL!$C$15, $D$11, 100%, $F$11)</f>
        <v>3.0994999999999999</v>
      </c>
      <c r="H46" s="4">
        <f>CHOOSE( CONTROL!$C$32, 4.0291, 4.0244) * CHOOSE(CONTROL!$C$15, $D$11, 100%, $F$11)</f>
        <v>4.0290999999999997</v>
      </c>
      <c r="I46" s="8">
        <f>CHOOSE( CONTROL!$C$32, 3.1376, 3.1329) * CHOOSE(CONTROL!$C$15, $D$11, 100%, $F$11)</f>
        <v>3.1375999999999999</v>
      </c>
      <c r="J46" s="4">
        <f>CHOOSE( CONTROL!$C$32, 3.0306, 3.026) * CHOOSE(CONTROL!$C$15, $D$11, 100%, $F$11)</f>
        <v>3.0306000000000002</v>
      </c>
      <c r="K46" s="4"/>
      <c r="L46" s="9">
        <v>29.7257</v>
      </c>
      <c r="M46" s="9">
        <v>11.6745</v>
      </c>
      <c r="N46" s="9">
        <v>4.7850000000000001</v>
      </c>
      <c r="O46" s="9">
        <v>0.36199999999999999</v>
      </c>
      <c r="P46" s="9">
        <v>2.0339999999999998</v>
      </c>
      <c r="Q46" s="9">
        <v>24.267600000000002</v>
      </c>
      <c r="R46" s="9"/>
      <c r="S46" s="11"/>
    </row>
    <row r="47" spans="1:19" ht="15" customHeight="1">
      <c r="A47" s="13">
        <v>42917</v>
      </c>
      <c r="B47" s="8">
        <f>CHOOSE( CONTROL!$C$32, 3.2204, 3.2155) * CHOOSE(CONTROL!$C$15, $D$11, 100%, $F$11)</f>
        <v>3.2204000000000002</v>
      </c>
      <c r="C47" s="8">
        <f>CHOOSE( CONTROL!$C$32, 3.2284, 3.2236) * CHOOSE(CONTROL!$C$15, $D$11, 100%, $F$11)</f>
        <v>3.2284000000000002</v>
      </c>
      <c r="D47" s="8">
        <f>CHOOSE( CONTROL!$C$32, 3.2332, 3.2284) * CHOOSE( CONTROL!$C$15, $D$11, 100%, $F$11)</f>
        <v>3.2332000000000001</v>
      </c>
      <c r="E47" s="12">
        <f>CHOOSE( CONTROL!$C$32, 3.2302, 3.2254) * CHOOSE( CONTROL!$C$15, $D$11, 100%, $F$11)</f>
        <v>3.2302</v>
      </c>
      <c r="F47" s="4">
        <f>CHOOSE( CONTROL!$C$32, 3.9182, 3.9133) * CHOOSE(CONTROL!$C$15, $D$11, 100%, $F$11)</f>
        <v>3.9182000000000001</v>
      </c>
      <c r="G47" s="8">
        <f>CHOOSE( CONTROL!$C$32, 3.1324, 3.1277) * CHOOSE( CONTROL!$C$15, $D$11, 100%, $F$11)</f>
        <v>3.1324000000000001</v>
      </c>
      <c r="H47" s="4">
        <f>CHOOSE( CONTROL!$C$32, 4.0616, 4.0569) * CHOOSE(CONTROL!$C$15, $D$11, 100%, $F$11)</f>
        <v>4.0616000000000003</v>
      </c>
      <c r="I47" s="8">
        <f>CHOOSE( CONTROL!$C$32, 3.1707, 3.1661) * CHOOSE(CONTROL!$C$15, $D$11, 100%, $F$11)</f>
        <v>3.1707000000000001</v>
      </c>
      <c r="J47" s="4">
        <f>CHOOSE( CONTROL!$C$32, 3.0626, 3.058) * CHOOSE(CONTROL!$C$15, $D$11, 100%, $F$11)</f>
        <v>3.0626000000000002</v>
      </c>
      <c r="K47" s="4"/>
      <c r="L47" s="9">
        <v>30.7165</v>
      </c>
      <c r="M47" s="9">
        <v>12.063700000000001</v>
      </c>
      <c r="N47" s="9">
        <v>4.9444999999999997</v>
      </c>
      <c r="O47" s="9">
        <v>0.37409999999999999</v>
      </c>
      <c r="P47" s="9">
        <v>2.1017999999999999</v>
      </c>
      <c r="Q47" s="9">
        <v>25.076499999999999</v>
      </c>
      <c r="R47" s="9"/>
      <c r="S47" s="11"/>
    </row>
    <row r="48" spans="1:19" ht="15" customHeight="1">
      <c r="A48" s="13">
        <v>42948</v>
      </c>
      <c r="B48" s="8">
        <f>CHOOSE( CONTROL!$C$32, 3.2318, 3.227) * CHOOSE(CONTROL!$C$15, $D$11, 100%, $F$11)</f>
        <v>3.2317999999999998</v>
      </c>
      <c r="C48" s="8">
        <f>CHOOSE( CONTROL!$C$32, 3.2399, 3.2351) * CHOOSE(CONTROL!$C$15, $D$11, 100%, $F$11)</f>
        <v>3.2399</v>
      </c>
      <c r="D48" s="8">
        <f>CHOOSE( CONTROL!$C$32, 3.2448, 3.2399) * CHOOSE( CONTROL!$C$15, $D$11, 100%, $F$11)</f>
        <v>3.2448000000000001</v>
      </c>
      <c r="E48" s="12">
        <f>CHOOSE( CONTROL!$C$32, 3.2418, 3.2369) * CHOOSE( CONTROL!$C$15, $D$11, 100%, $F$11)</f>
        <v>3.2418</v>
      </c>
      <c r="F48" s="4">
        <f>CHOOSE( CONTROL!$C$32, 3.9296, 3.9248) * CHOOSE(CONTROL!$C$15, $D$11, 100%, $F$11)</f>
        <v>3.9296000000000002</v>
      </c>
      <c r="G48" s="8">
        <f>CHOOSE( CONTROL!$C$32, 3.1437, 3.139) * CHOOSE( CONTROL!$C$15, $D$11, 100%, $F$11)</f>
        <v>3.1436999999999999</v>
      </c>
      <c r="H48" s="4">
        <f>CHOOSE( CONTROL!$C$32, 4.0728, 4.0681) * CHOOSE(CONTROL!$C$15, $D$11, 100%, $F$11)</f>
        <v>4.0728</v>
      </c>
      <c r="I48" s="8">
        <f>CHOOSE( CONTROL!$C$32, 3.182, 3.1774) * CHOOSE(CONTROL!$C$15, $D$11, 100%, $F$11)</f>
        <v>3.1819999999999999</v>
      </c>
      <c r="J48" s="4">
        <f>CHOOSE( CONTROL!$C$32, 3.0736, 3.069) * CHOOSE(CONTROL!$C$15, $D$11, 100%, $F$11)</f>
        <v>3.0735999999999999</v>
      </c>
      <c r="K48" s="4"/>
      <c r="L48" s="9">
        <v>30.7165</v>
      </c>
      <c r="M48" s="9">
        <v>12.063700000000001</v>
      </c>
      <c r="N48" s="9">
        <v>4.9444999999999997</v>
      </c>
      <c r="O48" s="9">
        <v>0.37409999999999999</v>
      </c>
      <c r="P48" s="9">
        <v>2.1017999999999999</v>
      </c>
      <c r="Q48" s="9">
        <v>25.076499999999999</v>
      </c>
      <c r="R48" s="9"/>
      <c r="S48" s="11"/>
    </row>
    <row r="49" spans="1:19" ht="15" customHeight="1">
      <c r="A49" s="13">
        <v>42979</v>
      </c>
      <c r="B49" s="8">
        <f>CHOOSE( CONTROL!$C$32, 3.2204, 3.2155) * CHOOSE(CONTROL!$C$15, $D$11, 100%, $F$11)</f>
        <v>3.2204000000000002</v>
      </c>
      <c r="C49" s="8">
        <f>CHOOSE( CONTROL!$C$32, 3.2284, 3.2236) * CHOOSE(CONTROL!$C$15, $D$11, 100%, $F$11)</f>
        <v>3.2284000000000002</v>
      </c>
      <c r="D49" s="8">
        <f>CHOOSE( CONTROL!$C$32, 3.2333, 3.2284) * CHOOSE( CONTROL!$C$15, $D$11, 100%, $F$11)</f>
        <v>3.2332999999999998</v>
      </c>
      <c r="E49" s="12">
        <f>CHOOSE( CONTROL!$C$32, 3.2303, 3.2254) * CHOOSE( CONTROL!$C$15, $D$11, 100%, $F$11)</f>
        <v>3.2303000000000002</v>
      </c>
      <c r="F49" s="4">
        <f>CHOOSE( CONTROL!$C$32, 3.9182, 3.9133) * CHOOSE(CONTROL!$C$15, $D$11, 100%, $F$11)</f>
        <v>3.9182000000000001</v>
      </c>
      <c r="G49" s="8">
        <f>CHOOSE( CONTROL!$C$32, 3.1325, 3.1278) * CHOOSE( CONTROL!$C$15, $D$11, 100%, $F$11)</f>
        <v>3.1324999999999998</v>
      </c>
      <c r="H49" s="4">
        <f>CHOOSE( CONTROL!$C$32, 4.0616, 4.0569) * CHOOSE(CONTROL!$C$15, $D$11, 100%, $F$11)</f>
        <v>4.0616000000000003</v>
      </c>
      <c r="I49" s="8">
        <f>CHOOSE( CONTROL!$C$32, 3.1709, 3.1663) * CHOOSE(CONTROL!$C$15, $D$11, 100%, $F$11)</f>
        <v>3.1709000000000001</v>
      </c>
      <c r="J49" s="4">
        <f>CHOOSE( CONTROL!$C$32, 3.0626, 3.058) * CHOOSE(CONTROL!$C$15, $D$11, 100%, $F$11)</f>
        <v>3.0626000000000002</v>
      </c>
      <c r="K49" s="4"/>
      <c r="L49" s="9">
        <v>29.7257</v>
      </c>
      <c r="M49" s="9">
        <v>11.6745</v>
      </c>
      <c r="N49" s="9">
        <v>4.7850000000000001</v>
      </c>
      <c r="O49" s="9">
        <v>0.36199999999999999</v>
      </c>
      <c r="P49" s="9">
        <v>2.0339999999999998</v>
      </c>
      <c r="Q49" s="9">
        <v>24.267600000000002</v>
      </c>
      <c r="R49" s="9"/>
      <c r="S49" s="11"/>
    </row>
    <row r="50" spans="1:19" ht="15" customHeight="1">
      <c r="A50" s="13">
        <v>43009</v>
      </c>
      <c r="B50" s="8">
        <f>3.2398 * CHOOSE(CONTROL!$C$15, $D$11, 100%, $F$11)</f>
        <v>3.2397999999999998</v>
      </c>
      <c r="C50" s="8">
        <f>3.2453 * CHOOSE(CONTROL!$C$15, $D$11, 100%, $F$11)</f>
        <v>3.2452999999999999</v>
      </c>
      <c r="D50" s="8">
        <f>3.2543 * CHOOSE( CONTROL!$C$15, $D$11, 100%, $F$11)</f>
        <v>3.2543000000000002</v>
      </c>
      <c r="E50" s="12">
        <f>3.2507 * CHOOSE( CONTROL!$C$15, $D$11, 100%, $F$11)</f>
        <v>3.2507000000000001</v>
      </c>
      <c r="F50" s="4">
        <f>3.9394 * CHOOSE(CONTROL!$C$15, $D$11, 100%, $F$11)</f>
        <v>3.9394</v>
      </c>
      <c r="G50" s="8">
        <f>3.1525 * CHOOSE( CONTROL!$C$15, $D$11, 100%, $F$11)</f>
        <v>3.1524999999999999</v>
      </c>
      <c r="H50" s="4">
        <f>4.0824 * CHOOSE(CONTROL!$C$15, $D$11, 100%, $F$11)</f>
        <v>4.0823999999999998</v>
      </c>
      <c r="I50" s="8">
        <f>3.192 * CHOOSE(CONTROL!$C$15, $D$11, 100%, $F$11)</f>
        <v>3.1920000000000002</v>
      </c>
      <c r="J50" s="4">
        <f>3.083 * CHOOSE(CONTROL!$C$15, $D$11, 100%, $F$11)</f>
        <v>3.0830000000000002</v>
      </c>
      <c r="K50" s="4"/>
      <c r="L50" s="9">
        <v>31.095300000000002</v>
      </c>
      <c r="M50" s="9">
        <v>12.063700000000001</v>
      </c>
      <c r="N50" s="9">
        <v>4.9444999999999997</v>
      </c>
      <c r="O50" s="9">
        <v>0.37409999999999999</v>
      </c>
      <c r="P50" s="9">
        <v>2.1017999999999999</v>
      </c>
      <c r="Q50" s="9">
        <v>25.076499999999999</v>
      </c>
      <c r="R50" s="9"/>
      <c r="S50" s="11"/>
    </row>
    <row r="51" spans="1:19" ht="15" customHeight="1">
      <c r="A51" s="13">
        <v>43040</v>
      </c>
      <c r="B51" s="8">
        <f>3.3196 * CHOOSE(CONTROL!$C$15, $D$11, 100%, $F$11)</f>
        <v>3.3195999999999999</v>
      </c>
      <c r="C51" s="8">
        <f>3.3248 * CHOOSE(CONTROL!$C$15, $D$11, 100%, $F$11)</f>
        <v>3.3248000000000002</v>
      </c>
      <c r="D51" s="8">
        <f>3.3141 * CHOOSE( CONTROL!$C$15, $D$11, 100%, $F$11)</f>
        <v>3.3140999999999998</v>
      </c>
      <c r="E51" s="12">
        <f>3.3175 * CHOOSE( CONTROL!$C$15, $D$11, 100%, $F$11)</f>
        <v>3.3174999999999999</v>
      </c>
      <c r="F51" s="4">
        <f>3.9685 * CHOOSE(CONTROL!$C$15, $D$11, 100%, $F$11)</f>
        <v>3.9685000000000001</v>
      </c>
      <c r="G51" s="8">
        <f>3.2353 * CHOOSE( CONTROL!$C$15, $D$11, 100%, $F$11)</f>
        <v>3.2353000000000001</v>
      </c>
      <c r="H51" s="4">
        <f>4.1108 * CHOOSE(CONTROL!$C$15, $D$11, 100%, $F$11)</f>
        <v>4.1108000000000002</v>
      </c>
      <c r="I51" s="8">
        <f>3.2947 * CHOOSE(CONTROL!$C$15, $D$11, 100%, $F$11)</f>
        <v>3.2947000000000002</v>
      </c>
      <c r="J51" s="4">
        <f>3.16 * CHOOSE(CONTROL!$C$15, $D$11, 100%, $F$11)</f>
        <v>3.16</v>
      </c>
      <c r="K51" s="4"/>
      <c r="L51" s="9">
        <v>28.360600000000002</v>
      </c>
      <c r="M51" s="9">
        <v>11.6745</v>
      </c>
      <c r="N51" s="9">
        <v>4.7850000000000001</v>
      </c>
      <c r="O51" s="9">
        <v>0.36199999999999999</v>
      </c>
      <c r="P51" s="9">
        <v>1.2509999999999999</v>
      </c>
      <c r="Q51" s="9">
        <v>24.267600000000002</v>
      </c>
      <c r="R51" s="9"/>
      <c r="S51" s="11"/>
    </row>
    <row r="52" spans="1:19" ht="15" customHeight="1">
      <c r="A52" s="13">
        <v>43070</v>
      </c>
      <c r="B52" s="8">
        <f>3.4811 * CHOOSE(CONTROL!$C$15, $D$11, 100%, $F$11)</f>
        <v>3.4811000000000001</v>
      </c>
      <c r="C52" s="8">
        <f>3.4863 * CHOOSE(CONTROL!$C$15, $D$11, 100%, $F$11)</f>
        <v>3.4863</v>
      </c>
      <c r="D52" s="8">
        <f>3.4769 * CHOOSE( CONTROL!$C$15, $D$11, 100%, $F$11)</f>
        <v>3.4769000000000001</v>
      </c>
      <c r="E52" s="12">
        <f>3.4798 * CHOOSE( CONTROL!$C$15, $D$11, 100%, $F$11)</f>
        <v>3.4798</v>
      </c>
      <c r="F52" s="4">
        <f>4.13 * CHOOSE(CONTROL!$C$15, $D$11, 100%, $F$11)</f>
        <v>4.13</v>
      </c>
      <c r="G52" s="8">
        <f>3.394 * CHOOSE( CONTROL!$C$15, $D$11, 100%, $F$11)</f>
        <v>3.3940000000000001</v>
      </c>
      <c r="H52" s="4">
        <f>4.2685 * CHOOSE(CONTROL!$C$15, $D$11, 100%, $F$11)</f>
        <v>4.2685000000000004</v>
      </c>
      <c r="I52" s="8">
        <f>3.4541 * CHOOSE(CONTROL!$C$15, $D$11, 100%, $F$11)</f>
        <v>3.4540999999999999</v>
      </c>
      <c r="J52" s="4">
        <f>3.315 * CHOOSE(CONTROL!$C$15, $D$11, 100%, $F$11)</f>
        <v>3.3149999999999999</v>
      </c>
      <c r="K52" s="4"/>
      <c r="L52" s="9">
        <v>29.306000000000001</v>
      </c>
      <c r="M52" s="9">
        <v>12.063700000000001</v>
      </c>
      <c r="N52" s="9">
        <v>4.9444999999999997</v>
      </c>
      <c r="O52" s="9">
        <v>0.37409999999999999</v>
      </c>
      <c r="P52" s="9">
        <v>1.2927</v>
      </c>
      <c r="Q52" s="9">
        <v>25.076499999999999</v>
      </c>
      <c r="R52" s="9"/>
      <c r="S52" s="11"/>
    </row>
    <row r="53" spans="1:19" ht="15" customHeight="1">
      <c r="A53" s="13">
        <v>43101</v>
      </c>
      <c r="B53" s="8">
        <f>3.9951 * CHOOSE(CONTROL!$C$15, $D$11, 100%, $F$11)</f>
        <v>3.9950999999999999</v>
      </c>
      <c r="C53" s="8">
        <f>4.0003 * CHOOSE(CONTROL!$C$15, $D$11, 100%, $F$11)</f>
        <v>4.0003000000000002</v>
      </c>
      <c r="D53" s="8">
        <f>3.9868 * CHOOSE( CONTROL!$C$15, $D$11, 100%, $F$11)</f>
        <v>3.9868000000000001</v>
      </c>
      <c r="E53" s="12">
        <f>3.9912 * CHOOSE( CONTROL!$C$15, $D$11, 100%, $F$11)</f>
        <v>3.9912000000000001</v>
      </c>
      <c r="F53" s="4">
        <f>4.644 * CHOOSE(CONTROL!$C$15, $D$11, 100%, $F$11)</f>
        <v>4.6440000000000001</v>
      </c>
      <c r="G53" s="8">
        <f>3.8898 * CHOOSE( CONTROL!$C$15, $D$11, 100%, $F$11)</f>
        <v>3.8898000000000001</v>
      </c>
      <c r="H53" s="4">
        <f>4.7706 * CHOOSE(CONTROL!$C$15, $D$11, 100%, $F$11)</f>
        <v>4.7706</v>
      </c>
      <c r="I53" s="8">
        <f>3.9241 * CHOOSE(CONTROL!$C$15, $D$11, 100%, $F$11)</f>
        <v>3.9241000000000001</v>
      </c>
      <c r="J53" s="4">
        <f>3.8085 * CHOOSE(CONTROL!$C$15, $D$11, 100%, $F$11)</f>
        <v>3.8085</v>
      </c>
      <c r="K53" s="4"/>
      <c r="L53" s="9">
        <v>29.306000000000001</v>
      </c>
      <c r="M53" s="9">
        <v>12.063700000000001</v>
      </c>
      <c r="N53" s="9">
        <v>4.9444999999999997</v>
      </c>
      <c r="O53" s="9">
        <v>0.37409999999999999</v>
      </c>
      <c r="P53" s="9">
        <v>1.2927</v>
      </c>
      <c r="Q53" s="9">
        <v>24.901700000000002</v>
      </c>
      <c r="R53" s="9"/>
      <c r="S53" s="11"/>
    </row>
    <row r="54" spans="1:19" ht="15" customHeight="1">
      <c r="A54" s="13">
        <v>43132</v>
      </c>
      <c r="B54" s="8">
        <f>3.7386 * CHOOSE(CONTROL!$C$15, $D$11, 100%, $F$11)</f>
        <v>3.7385999999999999</v>
      </c>
      <c r="C54" s="8">
        <f>3.7438 * CHOOSE(CONTROL!$C$15, $D$11, 100%, $F$11)</f>
        <v>3.7437999999999998</v>
      </c>
      <c r="D54" s="8">
        <f>3.7303 * CHOOSE( CONTROL!$C$15, $D$11, 100%, $F$11)</f>
        <v>3.7303000000000002</v>
      </c>
      <c r="E54" s="12">
        <f>3.7347 * CHOOSE( CONTROL!$C$15, $D$11, 100%, $F$11)</f>
        <v>3.7347000000000001</v>
      </c>
      <c r="F54" s="4">
        <f>4.3875 * CHOOSE(CONTROL!$C$15, $D$11, 100%, $F$11)</f>
        <v>4.3875000000000002</v>
      </c>
      <c r="G54" s="8">
        <f>3.6393 * CHOOSE( CONTROL!$C$15, $D$11, 100%, $F$11)</f>
        <v>3.6393</v>
      </c>
      <c r="H54" s="4">
        <f>4.5201 * CHOOSE(CONTROL!$C$15, $D$11, 100%, $F$11)</f>
        <v>4.5201000000000002</v>
      </c>
      <c r="I54" s="8">
        <f>3.6778 * CHOOSE(CONTROL!$C$15, $D$11, 100%, $F$11)</f>
        <v>3.6778</v>
      </c>
      <c r="J54" s="4">
        <f>3.5623 * CHOOSE(CONTROL!$C$15, $D$11, 100%, $F$11)</f>
        <v>3.5623</v>
      </c>
      <c r="K54" s="4"/>
      <c r="L54" s="9">
        <v>26.469899999999999</v>
      </c>
      <c r="M54" s="9">
        <v>10.8962</v>
      </c>
      <c r="N54" s="9">
        <v>4.4660000000000002</v>
      </c>
      <c r="O54" s="9">
        <v>0.33789999999999998</v>
      </c>
      <c r="P54" s="9">
        <v>1.1676</v>
      </c>
      <c r="Q54" s="9">
        <v>22.491800000000001</v>
      </c>
      <c r="R54" s="9"/>
      <c r="S54" s="11"/>
    </row>
    <row r="55" spans="1:19" ht="15" customHeight="1">
      <c r="A55" s="13">
        <v>43160</v>
      </c>
      <c r="B55" s="8">
        <f>3.6597 * CHOOSE(CONTROL!$C$15, $D$11, 100%, $F$11)</f>
        <v>3.6597</v>
      </c>
      <c r="C55" s="8">
        <f>3.6648 * CHOOSE(CONTROL!$C$15, $D$11, 100%, $F$11)</f>
        <v>3.6648000000000001</v>
      </c>
      <c r="D55" s="8">
        <f>3.651 * CHOOSE( CONTROL!$C$15, $D$11, 100%, $F$11)</f>
        <v>3.6509999999999998</v>
      </c>
      <c r="E55" s="12">
        <f>3.6555 * CHOOSE( CONTROL!$C$15, $D$11, 100%, $F$11)</f>
        <v>3.6555</v>
      </c>
      <c r="F55" s="4">
        <f>4.3086 * CHOOSE(CONTROL!$C$15, $D$11, 100%, $F$11)</f>
        <v>4.3086000000000002</v>
      </c>
      <c r="G55" s="8">
        <f>3.5619 * CHOOSE( CONTROL!$C$15, $D$11, 100%, $F$11)</f>
        <v>3.5619000000000001</v>
      </c>
      <c r="H55" s="4">
        <f>4.443 * CHOOSE(CONTROL!$C$15, $D$11, 100%, $F$11)</f>
        <v>4.4429999999999996</v>
      </c>
      <c r="I55" s="8">
        <f>3.6009 * CHOOSE(CONTROL!$C$15, $D$11, 100%, $F$11)</f>
        <v>3.6009000000000002</v>
      </c>
      <c r="J55" s="4">
        <f>3.4865 * CHOOSE(CONTROL!$C$15, $D$11, 100%, $F$11)</f>
        <v>3.4864999999999999</v>
      </c>
      <c r="K55" s="4"/>
      <c r="L55" s="9">
        <v>29.306000000000001</v>
      </c>
      <c r="M55" s="9">
        <v>12.063700000000001</v>
      </c>
      <c r="N55" s="9">
        <v>4.9444999999999997</v>
      </c>
      <c r="O55" s="9">
        <v>0.37409999999999999</v>
      </c>
      <c r="P55" s="9">
        <v>1.2927</v>
      </c>
      <c r="Q55" s="9">
        <v>24.901700000000002</v>
      </c>
      <c r="R55" s="9"/>
      <c r="S55" s="11"/>
    </row>
    <row r="56" spans="1:19" ht="15" customHeight="1">
      <c r="A56" s="13">
        <v>43191</v>
      </c>
      <c r="B56" s="8">
        <f>3.7156 * CHOOSE(CONTROL!$C$15, $D$11, 100%, $F$11)</f>
        <v>3.7155999999999998</v>
      </c>
      <c r="C56" s="8">
        <f>3.7202 * CHOOSE(CONTROL!$C$15, $D$11, 100%, $F$11)</f>
        <v>3.7202000000000002</v>
      </c>
      <c r="D56" s="8">
        <f>3.7465 * CHOOSE( CONTROL!$C$15, $D$11, 100%, $F$11)</f>
        <v>3.7465000000000002</v>
      </c>
      <c r="E56" s="12">
        <f>3.7373 * CHOOSE( CONTROL!$C$15, $D$11, 100%, $F$11)</f>
        <v>3.7372999999999998</v>
      </c>
      <c r="F56" s="4">
        <f>4.4148 * CHOOSE(CONTROL!$C$15, $D$11, 100%, $F$11)</f>
        <v>4.4147999999999996</v>
      </c>
      <c r="G56" s="8">
        <f>3.6159 * CHOOSE( CONTROL!$C$15, $D$11, 100%, $F$11)</f>
        <v>3.6158999999999999</v>
      </c>
      <c r="H56" s="4">
        <f>4.5467 * CHOOSE(CONTROL!$C$15, $D$11, 100%, $F$11)</f>
        <v>4.5467000000000004</v>
      </c>
      <c r="I56" s="8">
        <f>3.6457 * CHOOSE(CONTROL!$C$15, $D$11, 100%, $F$11)</f>
        <v>3.6457000000000002</v>
      </c>
      <c r="J56" s="4">
        <f>3.5395 * CHOOSE(CONTROL!$C$15, $D$11, 100%, $F$11)</f>
        <v>3.5394999999999999</v>
      </c>
      <c r="K56" s="4"/>
      <c r="L56" s="9">
        <v>30.092199999999998</v>
      </c>
      <c r="M56" s="9">
        <v>11.6745</v>
      </c>
      <c r="N56" s="9">
        <v>4.7850000000000001</v>
      </c>
      <c r="O56" s="9">
        <v>0.36199999999999999</v>
      </c>
      <c r="P56" s="9">
        <v>1.1791</v>
      </c>
      <c r="Q56" s="9">
        <v>24.098400000000002</v>
      </c>
      <c r="R56" s="9"/>
      <c r="S56" s="11"/>
    </row>
    <row r="57" spans="1:19" ht="15" customHeight="1">
      <c r="A57" s="13">
        <v>43221</v>
      </c>
      <c r="B57" s="8">
        <f>CHOOSE( CONTROL!$C$32, 3.82, 3.8152) * CHOOSE(CONTROL!$C$15, $D$11, 100%, $F$11)</f>
        <v>3.82</v>
      </c>
      <c r="C57" s="8">
        <f>CHOOSE( CONTROL!$C$32, 3.8281, 3.8233) * CHOOSE(CONTROL!$C$15, $D$11, 100%, $F$11)</f>
        <v>3.8281000000000001</v>
      </c>
      <c r="D57" s="8">
        <f>CHOOSE( CONTROL!$C$32, 3.8494, 3.8446) * CHOOSE( CONTROL!$C$15, $D$11, 100%, $F$11)</f>
        <v>3.8494000000000002</v>
      </c>
      <c r="E57" s="12">
        <f>CHOOSE( CONTROL!$C$32, 3.8404, 3.8356) * CHOOSE( CONTROL!$C$15, $D$11, 100%, $F$11)</f>
        <v>3.8403999999999998</v>
      </c>
      <c r="F57" s="4">
        <f>CHOOSE( CONTROL!$C$32, 4.5179, 4.513) * CHOOSE(CONTROL!$C$15, $D$11, 100%, $F$11)</f>
        <v>4.5179</v>
      </c>
      <c r="G57" s="8">
        <f>CHOOSE( CONTROL!$C$32, 3.7175, 3.7128) * CHOOSE( CONTROL!$C$15, $D$11, 100%, $F$11)</f>
        <v>3.7174999999999998</v>
      </c>
      <c r="H57" s="4">
        <f>CHOOSE( CONTROL!$C$32, 4.6474, 4.6426) * CHOOSE(CONTROL!$C$15, $D$11, 100%, $F$11)</f>
        <v>4.6474000000000002</v>
      </c>
      <c r="I57" s="8">
        <f>CHOOSE( CONTROL!$C$32, 3.7447, 3.7401) * CHOOSE(CONTROL!$C$15, $D$11, 100%, $F$11)</f>
        <v>3.7446999999999999</v>
      </c>
      <c r="J57" s="4">
        <f>CHOOSE( CONTROL!$C$32, 3.6384, 3.6338) * CHOOSE(CONTROL!$C$15, $D$11, 100%, $F$11)</f>
        <v>3.6383999999999999</v>
      </c>
      <c r="K57" s="4"/>
      <c r="L57" s="9">
        <v>30.7165</v>
      </c>
      <c r="M57" s="9">
        <v>12.063700000000001</v>
      </c>
      <c r="N57" s="9">
        <v>4.9444999999999997</v>
      </c>
      <c r="O57" s="9">
        <v>0.37409999999999999</v>
      </c>
      <c r="P57" s="9">
        <v>1.2183999999999999</v>
      </c>
      <c r="Q57" s="9">
        <v>24.901700000000002</v>
      </c>
      <c r="R57" s="9"/>
      <c r="S57" s="11"/>
    </row>
    <row r="58" spans="1:19" ht="15" customHeight="1">
      <c r="A58" s="13">
        <v>43252</v>
      </c>
      <c r="B58" s="8">
        <f>CHOOSE( CONTROL!$C$32, 3.7592, 3.7544) * CHOOSE(CONTROL!$C$15, $D$11, 100%, $F$11)</f>
        <v>3.7591999999999999</v>
      </c>
      <c r="C58" s="8">
        <f>CHOOSE( CONTROL!$C$32, 3.7673, 3.7625) * CHOOSE(CONTROL!$C$15, $D$11, 100%, $F$11)</f>
        <v>3.7673000000000001</v>
      </c>
      <c r="D58" s="8">
        <f>CHOOSE( CONTROL!$C$32, 3.7888, 3.784) * CHOOSE( CONTROL!$C$15, $D$11, 100%, $F$11)</f>
        <v>3.7888000000000002</v>
      </c>
      <c r="E58" s="12">
        <f>CHOOSE( CONTROL!$C$32, 3.7798, 3.775) * CHOOSE( CONTROL!$C$15, $D$11, 100%, $F$11)</f>
        <v>3.7797999999999998</v>
      </c>
      <c r="F58" s="4">
        <f>CHOOSE( CONTROL!$C$32, 4.457, 4.4522) * CHOOSE(CONTROL!$C$15, $D$11, 100%, $F$11)</f>
        <v>4.4569999999999999</v>
      </c>
      <c r="G58" s="8">
        <f>CHOOSE( CONTROL!$C$32, 3.6584, 3.6537) * CHOOSE( CONTROL!$C$15, $D$11, 100%, $F$11)</f>
        <v>3.6583999999999999</v>
      </c>
      <c r="H58" s="4">
        <f>CHOOSE( CONTROL!$C$32, 4.5879, 4.5832) * CHOOSE(CONTROL!$C$15, $D$11, 100%, $F$11)</f>
        <v>4.5879000000000003</v>
      </c>
      <c r="I58" s="8">
        <f>CHOOSE( CONTROL!$C$32, 3.6872, 3.6825) * CHOOSE(CONTROL!$C$15, $D$11, 100%, $F$11)</f>
        <v>3.6871999999999998</v>
      </c>
      <c r="J58" s="4">
        <f>CHOOSE( CONTROL!$C$32, 3.58, 3.5753) * CHOOSE(CONTROL!$C$15, $D$11, 100%, $F$11)</f>
        <v>3.58</v>
      </c>
      <c r="K58" s="4"/>
      <c r="L58" s="9">
        <v>29.7257</v>
      </c>
      <c r="M58" s="9">
        <v>11.6745</v>
      </c>
      <c r="N58" s="9">
        <v>4.7850000000000001</v>
      </c>
      <c r="O58" s="9">
        <v>0.36199999999999999</v>
      </c>
      <c r="P58" s="9">
        <v>1.1791</v>
      </c>
      <c r="Q58" s="9">
        <v>24.098400000000002</v>
      </c>
      <c r="R58" s="9"/>
      <c r="S58" s="11"/>
    </row>
    <row r="59" spans="1:19" ht="15" customHeight="1">
      <c r="A59" s="13">
        <v>43282</v>
      </c>
      <c r="B59" s="8">
        <f>CHOOSE( CONTROL!$C$32, 3.9194, 3.9146) * CHOOSE(CONTROL!$C$15, $D$11, 100%, $F$11)</f>
        <v>3.9194</v>
      </c>
      <c r="C59" s="8">
        <f>CHOOSE( CONTROL!$C$32, 3.9275, 3.9227) * CHOOSE(CONTROL!$C$15, $D$11, 100%, $F$11)</f>
        <v>3.9275000000000002</v>
      </c>
      <c r="D59" s="8">
        <f>CHOOSE( CONTROL!$C$32, 3.9493, 3.9444) * CHOOSE( CONTROL!$C$15, $D$11, 100%, $F$11)</f>
        <v>3.9493</v>
      </c>
      <c r="E59" s="12">
        <f>CHOOSE( CONTROL!$C$32, 3.9402, 3.9353) * CHOOSE( CONTROL!$C$15, $D$11, 100%, $F$11)</f>
        <v>3.9401999999999999</v>
      </c>
      <c r="F59" s="4">
        <f>CHOOSE( CONTROL!$C$32, 4.6172, 4.6124) * CHOOSE(CONTROL!$C$15, $D$11, 100%, $F$11)</f>
        <v>4.6172000000000004</v>
      </c>
      <c r="G59" s="8">
        <f>CHOOSE( CONTROL!$C$32, 3.8152, 3.8105) * CHOOSE( CONTROL!$C$15, $D$11, 100%, $F$11)</f>
        <v>3.8151999999999999</v>
      </c>
      <c r="H59" s="4">
        <f>CHOOSE( CONTROL!$C$32, 4.7444, 4.7397) * CHOOSE(CONTROL!$C$15, $D$11, 100%, $F$11)</f>
        <v>4.7443999999999997</v>
      </c>
      <c r="I59" s="8">
        <f>CHOOSE( CONTROL!$C$32, 3.8422, 3.8376) * CHOOSE(CONTROL!$C$15, $D$11, 100%, $F$11)</f>
        <v>3.8422000000000001</v>
      </c>
      <c r="J59" s="4">
        <f>CHOOSE( CONTROL!$C$32, 3.7338, 3.7292) * CHOOSE(CONTROL!$C$15, $D$11, 100%, $F$11)</f>
        <v>3.7338</v>
      </c>
      <c r="K59" s="4"/>
      <c r="L59" s="9">
        <v>30.7165</v>
      </c>
      <c r="M59" s="9">
        <v>12.063700000000001</v>
      </c>
      <c r="N59" s="9">
        <v>4.9444999999999997</v>
      </c>
      <c r="O59" s="9">
        <v>0.37409999999999999</v>
      </c>
      <c r="P59" s="9">
        <v>1.2183999999999999</v>
      </c>
      <c r="Q59" s="9">
        <v>24.901700000000002</v>
      </c>
      <c r="R59" s="9"/>
      <c r="S59" s="11"/>
    </row>
    <row r="60" spans="1:19" ht="15" customHeight="1">
      <c r="A60" s="13">
        <v>43313</v>
      </c>
      <c r="B60" s="8">
        <f>CHOOSE( CONTROL!$C$32, 3.6196, 3.6148) * CHOOSE(CONTROL!$C$15, $D$11, 100%, $F$11)</f>
        <v>3.6196000000000002</v>
      </c>
      <c r="C60" s="8">
        <f>CHOOSE( CONTROL!$C$32, 3.6277, 3.6229) * CHOOSE(CONTROL!$C$15, $D$11, 100%, $F$11)</f>
        <v>3.6276999999999999</v>
      </c>
      <c r="D60" s="8">
        <f>CHOOSE( CONTROL!$C$32, 3.6495, 3.6447) * CHOOSE( CONTROL!$C$15, $D$11, 100%, $F$11)</f>
        <v>3.6495000000000002</v>
      </c>
      <c r="E60" s="12">
        <f>CHOOSE( CONTROL!$C$32, 3.6404, 3.6356) * CHOOSE( CONTROL!$C$15, $D$11, 100%, $F$11)</f>
        <v>3.6404000000000001</v>
      </c>
      <c r="F60" s="4">
        <f>CHOOSE( CONTROL!$C$32, 4.3174, 4.3126) * CHOOSE(CONTROL!$C$15, $D$11, 100%, $F$11)</f>
        <v>4.3174000000000001</v>
      </c>
      <c r="G60" s="8">
        <f>CHOOSE( CONTROL!$C$32, 3.5225, 3.5178) * CHOOSE( CONTROL!$C$15, $D$11, 100%, $F$11)</f>
        <v>3.5225</v>
      </c>
      <c r="H60" s="4">
        <f>CHOOSE( CONTROL!$C$32, 4.4516, 4.4469) * CHOOSE(CONTROL!$C$15, $D$11, 100%, $F$11)</f>
        <v>4.4516</v>
      </c>
      <c r="I60" s="8">
        <f>CHOOSE( CONTROL!$C$32, 3.5545, 3.5499) * CHOOSE(CONTROL!$C$15, $D$11, 100%, $F$11)</f>
        <v>3.5545</v>
      </c>
      <c r="J60" s="4">
        <f>CHOOSE( CONTROL!$C$32, 3.446, 3.4413) * CHOOSE(CONTROL!$C$15, $D$11, 100%, $F$11)</f>
        <v>3.4460000000000002</v>
      </c>
      <c r="K60" s="4"/>
      <c r="L60" s="9">
        <v>30.7165</v>
      </c>
      <c r="M60" s="9">
        <v>12.063700000000001</v>
      </c>
      <c r="N60" s="9">
        <v>4.9444999999999997</v>
      </c>
      <c r="O60" s="9">
        <v>0.37409999999999999</v>
      </c>
      <c r="P60" s="9">
        <v>1.2183999999999999</v>
      </c>
      <c r="Q60" s="9">
        <v>24.901700000000002</v>
      </c>
      <c r="R60" s="9"/>
      <c r="S60" s="11"/>
    </row>
    <row r="61" spans="1:19" ht="15" customHeight="1">
      <c r="A61" s="13">
        <v>43344</v>
      </c>
      <c r="B61" s="8">
        <f>CHOOSE( CONTROL!$C$32, 3.5445, 3.5397) * CHOOSE(CONTROL!$C$15, $D$11, 100%, $F$11)</f>
        <v>3.5445000000000002</v>
      </c>
      <c r="C61" s="8">
        <f>CHOOSE( CONTROL!$C$32, 3.5526, 3.5478) * CHOOSE(CONTROL!$C$15, $D$11, 100%, $F$11)</f>
        <v>3.5526</v>
      </c>
      <c r="D61" s="8">
        <f>CHOOSE( CONTROL!$C$32, 3.5744, 3.5696) * CHOOSE( CONTROL!$C$15, $D$11, 100%, $F$11)</f>
        <v>3.5743999999999998</v>
      </c>
      <c r="E61" s="12">
        <f>CHOOSE( CONTROL!$C$32, 3.5653, 3.5605) * CHOOSE( CONTROL!$C$15, $D$11, 100%, $F$11)</f>
        <v>3.5653000000000001</v>
      </c>
      <c r="F61" s="4">
        <f>CHOOSE( CONTROL!$C$32, 4.2423, 4.2375) * CHOOSE(CONTROL!$C$15, $D$11, 100%, $F$11)</f>
        <v>4.2423000000000002</v>
      </c>
      <c r="G61" s="8">
        <f>CHOOSE( CONTROL!$C$32, 3.4491, 3.4444) * CHOOSE( CONTROL!$C$15, $D$11, 100%, $F$11)</f>
        <v>3.4491000000000001</v>
      </c>
      <c r="H61" s="4">
        <f>CHOOSE( CONTROL!$C$32, 4.3783, 4.3735) * CHOOSE(CONTROL!$C$15, $D$11, 100%, $F$11)</f>
        <v>4.3783000000000003</v>
      </c>
      <c r="I61" s="8">
        <f>CHOOSE( CONTROL!$C$32, 3.4823, 3.4777) * CHOOSE(CONTROL!$C$15, $D$11, 100%, $F$11)</f>
        <v>3.4823</v>
      </c>
      <c r="J61" s="4">
        <f>CHOOSE( CONTROL!$C$32, 3.3739, 3.3692) * CHOOSE(CONTROL!$C$15, $D$11, 100%, $F$11)</f>
        <v>3.3738999999999999</v>
      </c>
      <c r="K61" s="4"/>
      <c r="L61" s="9">
        <v>29.7257</v>
      </c>
      <c r="M61" s="9">
        <v>11.6745</v>
      </c>
      <c r="N61" s="9">
        <v>4.7850000000000001</v>
      </c>
      <c r="O61" s="9">
        <v>0.36199999999999999</v>
      </c>
      <c r="P61" s="9">
        <v>1.1791</v>
      </c>
      <c r="Q61" s="9">
        <v>24.098400000000002</v>
      </c>
      <c r="R61" s="9"/>
      <c r="S61" s="11"/>
    </row>
    <row r="62" spans="1:19" ht="15" customHeight="1">
      <c r="A62" s="13">
        <v>43374</v>
      </c>
      <c r="B62" s="8">
        <f>3.6939 * CHOOSE(CONTROL!$C$15, $D$11, 100%, $F$11)</f>
        <v>3.6939000000000002</v>
      </c>
      <c r="C62" s="8">
        <f>3.6993 * CHOOSE(CONTROL!$C$15, $D$11, 100%, $F$11)</f>
        <v>3.6993</v>
      </c>
      <c r="D62" s="8">
        <f>3.7257 * CHOOSE( CONTROL!$C$15, $D$11, 100%, $F$11)</f>
        <v>3.7256999999999998</v>
      </c>
      <c r="E62" s="12">
        <f>3.7164 * CHOOSE( CONTROL!$C$15, $D$11, 100%, $F$11)</f>
        <v>3.7164000000000001</v>
      </c>
      <c r="F62" s="4">
        <f>4.3934 * CHOOSE(CONTROL!$C$15, $D$11, 100%, $F$11)</f>
        <v>4.3933999999999997</v>
      </c>
      <c r="G62" s="8">
        <f>3.5959 * CHOOSE( CONTROL!$C$15, $D$11, 100%, $F$11)</f>
        <v>3.5958999999999999</v>
      </c>
      <c r="H62" s="4">
        <f>4.5258 * CHOOSE(CONTROL!$C$15, $D$11, 100%, $F$11)</f>
        <v>4.5258000000000003</v>
      </c>
      <c r="I62" s="8">
        <f>3.6282 * CHOOSE(CONTROL!$C$15, $D$11, 100%, $F$11)</f>
        <v>3.6282000000000001</v>
      </c>
      <c r="J62" s="4">
        <f>3.5189 * CHOOSE(CONTROL!$C$15, $D$11, 100%, $F$11)</f>
        <v>3.5188999999999999</v>
      </c>
      <c r="K62" s="4"/>
      <c r="L62" s="9">
        <v>31.095300000000002</v>
      </c>
      <c r="M62" s="9">
        <v>12.063700000000001</v>
      </c>
      <c r="N62" s="9">
        <v>4.9444999999999997</v>
      </c>
      <c r="O62" s="9">
        <v>0.37409999999999999</v>
      </c>
      <c r="P62" s="9">
        <v>1.2183999999999999</v>
      </c>
      <c r="Q62" s="9">
        <v>24.901700000000002</v>
      </c>
      <c r="R62" s="9"/>
      <c r="S62" s="11"/>
    </row>
    <row r="63" spans="1:19" ht="15" customHeight="1">
      <c r="A63" s="13">
        <v>43405</v>
      </c>
      <c r="B63" s="8">
        <f>3.9812 * CHOOSE(CONTROL!$C$15, $D$11, 100%, $F$11)</f>
        <v>3.9811999999999999</v>
      </c>
      <c r="C63" s="8">
        <f>3.9864 * CHOOSE(CONTROL!$C$15, $D$11, 100%, $F$11)</f>
        <v>3.9864000000000002</v>
      </c>
      <c r="D63" s="8">
        <f>3.9756 * CHOOSE( CONTROL!$C$15, $D$11, 100%, $F$11)</f>
        <v>3.9756</v>
      </c>
      <c r="E63" s="12">
        <f>3.979 * CHOOSE( CONTROL!$C$15, $D$11, 100%, $F$11)</f>
        <v>3.9790000000000001</v>
      </c>
      <c r="F63" s="4">
        <f>4.6301 * CHOOSE(CONTROL!$C$15, $D$11, 100%, $F$11)</f>
        <v>4.6300999999999997</v>
      </c>
      <c r="G63" s="8">
        <f>3.8815 * CHOOSE( CONTROL!$C$15, $D$11, 100%, $F$11)</f>
        <v>3.8815</v>
      </c>
      <c r="H63" s="4">
        <f>4.757 * CHOOSE(CONTROL!$C$15, $D$11, 100%, $F$11)</f>
        <v>4.7569999999999997</v>
      </c>
      <c r="I63" s="8">
        <f>3.9302 * CHOOSE(CONTROL!$C$15, $D$11, 100%, $F$11)</f>
        <v>3.9302000000000001</v>
      </c>
      <c r="J63" s="4">
        <f>3.7952 * CHOOSE(CONTROL!$C$15, $D$11, 100%, $F$11)</f>
        <v>3.7951999999999999</v>
      </c>
      <c r="K63" s="4"/>
      <c r="L63" s="9">
        <v>28.360600000000002</v>
      </c>
      <c r="M63" s="9">
        <v>11.6745</v>
      </c>
      <c r="N63" s="9">
        <v>4.7850000000000001</v>
      </c>
      <c r="O63" s="9">
        <v>0.36199999999999999</v>
      </c>
      <c r="P63" s="9">
        <v>1.2509999999999999</v>
      </c>
      <c r="Q63" s="9">
        <v>24.098400000000002</v>
      </c>
      <c r="R63" s="9"/>
      <c r="S63" s="11"/>
    </row>
    <row r="64" spans="1:19" ht="15" customHeight="1">
      <c r="A64" s="13">
        <v>43435</v>
      </c>
      <c r="B64" s="8">
        <f>3.974 * CHOOSE(CONTROL!$C$15, $D$11, 100%, $F$11)</f>
        <v>3.9740000000000002</v>
      </c>
      <c r="C64" s="8">
        <f>3.9792 * CHOOSE(CONTROL!$C$15, $D$11, 100%, $F$11)</f>
        <v>3.9792000000000001</v>
      </c>
      <c r="D64" s="8">
        <f>3.9698 * CHOOSE( CONTROL!$C$15, $D$11, 100%, $F$11)</f>
        <v>3.9698000000000002</v>
      </c>
      <c r="E64" s="12">
        <f>3.9727 * CHOOSE( CONTROL!$C$15, $D$11, 100%, $F$11)</f>
        <v>3.9727000000000001</v>
      </c>
      <c r="F64" s="4">
        <f>4.6229 * CHOOSE(CONTROL!$C$15, $D$11, 100%, $F$11)</f>
        <v>4.6228999999999996</v>
      </c>
      <c r="G64" s="8">
        <f>3.8755 * CHOOSE( CONTROL!$C$15, $D$11, 100%, $F$11)</f>
        <v>3.8755000000000002</v>
      </c>
      <c r="H64" s="4">
        <f>4.75 * CHOOSE(CONTROL!$C$15, $D$11, 100%, $F$11)</f>
        <v>4.75</v>
      </c>
      <c r="I64" s="8">
        <f>3.9276 * CHOOSE(CONTROL!$C$15, $D$11, 100%, $F$11)</f>
        <v>3.9276</v>
      </c>
      <c r="J64" s="4">
        <f>3.7883 * CHOOSE(CONTROL!$C$15, $D$11, 100%, $F$11)</f>
        <v>3.7883</v>
      </c>
      <c r="K64" s="4"/>
      <c r="L64" s="9">
        <v>29.306000000000001</v>
      </c>
      <c r="M64" s="9">
        <v>12.063700000000001</v>
      </c>
      <c r="N64" s="9">
        <v>4.9444999999999997</v>
      </c>
      <c r="O64" s="9">
        <v>0.37409999999999999</v>
      </c>
      <c r="P64" s="9">
        <v>1.2927</v>
      </c>
      <c r="Q64" s="9">
        <v>24.901700000000002</v>
      </c>
      <c r="R64" s="9"/>
      <c r="S64" s="11"/>
    </row>
    <row r="65" spans="1:19" ht="15" customHeight="1">
      <c r="A65" s="13">
        <v>43466</v>
      </c>
      <c r="B65" s="8">
        <f>4.198 * CHOOSE(CONTROL!$C$15, $D$11, 100%, $F$11)</f>
        <v>4.1980000000000004</v>
      </c>
      <c r="C65" s="8">
        <f>4.2031 * CHOOSE(CONTROL!$C$15, $D$11, 100%, $F$11)</f>
        <v>4.2031000000000001</v>
      </c>
      <c r="D65" s="8">
        <f>4.1896 * CHOOSE( CONTROL!$C$15, $D$11, 100%, $F$11)</f>
        <v>4.1896000000000004</v>
      </c>
      <c r="E65" s="12">
        <f>4.194 * CHOOSE( CONTROL!$C$15, $D$11, 100%, $F$11)</f>
        <v>4.194</v>
      </c>
      <c r="F65" s="4">
        <f>4.8469 * CHOOSE(CONTROL!$C$15, $D$11, 100%, $F$11)</f>
        <v>4.8468999999999998</v>
      </c>
      <c r="G65" s="8">
        <f>4.0879 * CHOOSE( CONTROL!$C$15, $D$11, 100%, $F$11)</f>
        <v>4.0879000000000003</v>
      </c>
      <c r="H65" s="4">
        <f>4.9687 * CHOOSE(CONTROL!$C$15, $D$11, 100%, $F$11)</f>
        <v>4.9687000000000001</v>
      </c>
      <c r="I65" s="8">
        <f>4.119 * CHOOSE(CONTROL!$C$15, $D$11, 100%, $F$11)</f>
        <v>4.1189999999999998</v>
      </c>
      <c r="J65" s="4">
        <f>4.0033 * CHOOSE(CONTROL!$C$15, $D$11, 100%, $F$11)</f>
        <v>4.0033000000000003</v>
      </c>
      <c r="K65" s="4"/>
      <c r="L65" s="9">
        <v>29.306000000000001</v>
      </c>
      <c r="M65" s="9">
        <v>12.063700000000001</v>
      </c>
      <c r="N65" s="9">
        <v>4.9444999999999997</v>
      </c>
      <c r="O65" s="9">
        <v>0.37409999999999999</v>
      </c>
      <c r="P65" s="9">
        <v>1.2927</v>
      </c>
      <c r="Q65" s="9">
        <v>24.651199999999999</v>
      </c>
      <c r="R65" s="9"/>
      <c r="S65" s="11"/>
    </row>
    <row r="66" spans="1:19" ht="15" customHeight="1">
      <c r="A66" s="13">
        <v>43497</v>
      </c>
      <c r="B66" s="8">
        <f>3.9284 * CHOOSE(CONTROL!$C$15, $D$11, 100%, $F$11)</f>
        <v>3.9283999999999999</v>
      </c>
      <c r="C66" s="8">
        <f>3.9336 * CHOOSE(CONTROL!$C$15, $D$11, 100%, $F$11)</f>
        <v>3.9336000000000002</v>
      </c>
      <c r="D66" s="8">
        <f>3.9201 * CHOOSE( CONTROL!$C$15, $D$11, 100%, $F$11)</f>
        <v>3.9201000000000001</v>
      </c>
      <c r="E66" s="12">
        <f>3.9245 * CHOOSE( CONTROL!$C$15, $D$11, 100%, $F$11)</f>
        <v>3.9245000000000001</v>
      </c>
      <c r="F66" s="4">
        <f>4.5773 * CHOOSE(CONTROL!$C$15, $D$11, 100%, $F$11)</f>
        <v>4.5773000000000001</v>
      </c>
      <c r="G66" s="8">
        <f>3.8246 * CHOOSE( CONTROL!$C$15, $D$11, 100%, $F$11)</f>
        <v>3.8246000000000002</v>
      </c>
      <c r="H66" s="4">
        <f>4.7054 * CHOOSE(CONTROL!$C$15, $D$11, 100%, $F$11)</f>
        <v>4.7054</v>
      </c>
      <c r="I66" s="8">
        <f>3.86 * CHOOSE(CONTROL!$C$15, $D$11, 100%, $F$11)</f>
        <v>3.86</v>
      </c>
      <c r="J66" s="4">
        <f>3.7445 * CHOOSE(CONTROL!$C$15, $D$11, 100%, $F$11)</f>
        <v>3.7444999999999999</v>
      </c>
      <c r="K66" s="4"/>
      <c r="L66" s="9">
        <v>26.469899999999999</v>
      </c>
      <c r="M66" s="9">
        <v>10.8962</v>
      </c>
      <c r="N66" s="9">
        <v>4.4660000000000002</v>
      </c>
      <c r="O66" s="9">
        <v>0.33789999999999998</v>
      </c>
      <c r="P66" s="9">
        <v>1.1676</v>
      </c>
      <c r="Q66" s="9">
        <v>22.265599999999999</v>
      </c>
      <c r="R66" s="9"/>
      <c r="S66" s="11"/>
    </row>
    <row r="67" spans="1:19" ht="15" customHeight="1">
      <c r="A67" s="13">
        <v>43525</v>
      </c>
      <c r="B67" s="8">
        <f>3.8454 * CHOOSE(CONTROL!$C$15, $D$11, 100%, $F$11)</f>
        <v>3.8454000000000002</v>
      </c>
      <c r="C67" s="8">
        <f>3.8506 * CHOOSE(CONTROL!$C$15, $D$11, 100%, $F$11)</f>
        <v>3.8506</v>
      </c>
      <c r="D67" s="8">
        <f>3.8367 * CHOOSE( CONTROL!$C$15, $D$11, 100%, $F$11)</f>
        <v>3.8367</v>
      </c>
      <c r="E67" s="12">
        <f>3.8412 * CHOOSE( CONTROL!$C$15, $D$11, 100%, $F$11)</f>
        <v>3.8412000000000002</v>
      </c>
      <c r="F67" s="4">
        <f>4.4943 * CHOOSE(CONTROL!$C$15, $D$11, 100%, $F$11)</f>
        <v>4.4943</v>
      </c>
      <c r="G67" s="8">
        <f>3.7433 * CHOOSE( CONTROL!$C$15, $D$11, 100%, $F$11)</f>
        <v>3.7433000000000001</v>
      </c>
      <c r="H67" s="4">
        <f>4.6243 * CHOOSE(CONTROL!$C$15, $D$11, 100%, $F$11)</f>
        <v>4.6242999999999999</v>
      </c>
      <c r="I67" s="8">
        <f>3.7793 * CHOOSE(CONTROL!$C$15, $D$11, 100%, $F$11)</f>
        <v>3.7793000000000001</v>
      </c>
      <c r="J67" s="4">
        <f>3.6648 * CHOOSE(CONTROL!$C$15, $D$11, 100%, $F$11)</f>
        <v>3.6648000000000001</v>
      </c>
      <c r="K67" s="4"/>
      <c r="L67" s="9">
        <v>29.306000000000001</v>
      </c>
      <c r="M67" s="9">
        <v>12.063700000000001</v>
      </c>
      <c r="N67" s="9">
        <v>4.9444999999999997</v>
      </c>
      <c r="O67" s="9">
        <v>0.37409999999999999</v>
      </c>
      <c r="P67" s="9">
        <v>1.2927</v>
      </c>
      <c r="Q67" s="9">
        <v>24.651199999999999</v>
      </c>
      <c r="R67" s="9"/>
      <c r="S67" s="11"/>
    </row>
    <row r="68" spans="1:19" ht="15" customHeight="1">
      <c r="A68" s="13">
        <v>43556</v>
      </c>
      <c r="B68" s="8">
        <f>3.9041 * CHOOSE(CONTROL!$C$15, $D$11, 100%, $F$11)</f>
        <v>3.9041000000000001</v>
      </c>
      <c r="C68" s="8">
        <f>3.9088 * CHOOSE(CONTROL!$C$15, $D$11, 100%, $F$11)</f>
        <v>3.9087999999999998</v>
      </c>
      <c r="D68" s="8">
        <f>3.9351 * CHOOSE( CONTROL!$C$15, $D$11, 100%, $F$11)</f>
        <v>3.9350999999999998</v>
      </c>
      <c r="E68" s="12">
        <f>3.9259 * CHOOSE( CONTROL!$C$15, $D$11, 100%, $F$11)</f>
        <v>3.9258999999999999</v>
      </c>
      <c r="F68" s="4">
        <f>4.6033 * CHOOSE(CONTROL!$C$15, $D$11, 100%, $F$11)</f>
        <v>4.6032999999999999</v>
      </c>
      <c r="G68" s="8">
        <f>3.8 * CHOOSE( CONTROL!$C$15, $D$11, 100%, $F$11)</f>
        <v>3.8</v>
      </c>
      <c r="H68" s="4">
        <f>4.7308 * CHOOSE(CONTROL!$C$15, $D$11, 100%, $F$11)</f>
        <v>4.7308000000000003</v>
      </c>
      <c r="I68" s="8">
        <f>3.8268 * CHOOSE(CONTROL!$C$15, $D$11, 100%, $F$11)</f>
        <v>3.8268</v>
      </c>
      <c r="J68" s="4">
        <f>3.7205 * CHOOSE(CONTROL!$C$15, $D$11, 100%, $F$11)</f>
        <v>3.7204999999999999</v>
      </c>
      <c r="K68" s="4"/>
      <c r="L68" s="9">
        <v>30.092199999999998</v>
      </c>
      <c r="M68" s="9">
        <v>11.6745</v>
      </c>
      <c r="N68" s="9">
        <v>4.7850000000000001</v>
      </c>
      <c r="O68" s="9">
        <v>0.36199999999999999</v>
      </c>
      <c r="P68" s="9">
        <v>1.1791</v>
      </c>
      <c r="Q68" s="9">
        <v>23.856000000000002</v>
      </c>
      <c r="R68" s="9"/>
      <c r="S68" s="11"/>
    </row>
    <row r="69" spans="1:19" ht="15" customHeight="1">
      <c r="A69" s="13">
        <v>43586</v>
      </c>
      <c r="B69" s="8">
        <f>CHOOSE( CONTROL!$C$32, 4.0136, 4.0088) * CHOOSE(CONTROL!$C$15, $D$11, 100%, $F$11)</f>
        <v>4.0136000000000003</v>
      </c>
      <c r="C69" s="8">
        <f>CHOOSE( CONTROL!$C$32, 4.0217, 4.0169) * CHOOSE(CONTROL!$C$15, $D$11, 100%, $F$11)</f>
        <v>4.0217000000000001</v>
      </c>
      <c r="D69" s="8">
        <f>CHOOSE( CONTROL!$C$32, 4.043, 4.0382) * CHOOSE( CONTROL!$C$15, $D$11, 100%, $F$11)</f>
        <v>4.0430000000000001</v>
      </c>
      <c r="E69" s="12">
        <f>CHOOSE( CONTROL!$C$32, 4.034, 4.0292) * CHOOSE( CONTROL!$C$15, $D$11, 100%, $F$11)</f>
        <v>4.0339999999999998</v>
      </c>
      <c r="F69" s="4">
        <f>CHOOSE( CONTROL!$C$32, 4.7114, 4.7066) * CHOOSE(CONTROL!$C$15, $D$11, 100%, $F$11)</f>
        <v>4.7114000000000003</v>
      </c>
      <c r="G69" s="8">
        <f>CHOOSE( CONTROL!$C$32, 3.9066, 3.9018) * CHOOSE( CONTROL!$C$15, $D$11, 100%, $F$11)</f>
        <v>3.9066000000000001</v>
      </c>
      <c r="H69" s="4">
        <f>CHOOSE( CONTROL!$C$32, 4.8364, 4.8317) * CHOOSE(CONTROL!$C$15, $D$11, 100%, $F$11)</f>
        <v>4.8364000000000003</v>
      </c>
      <c r="I69" s="8">
        <f>CHOOSE( CONTROL!$C$32, 3.9306, 3.926) * CHOOSE(CONTROL!$C$15, $D$11, 100%, $F$11)</f>
        <v>3.9306000000000001</v>
      </c>
      <c r="J69" s="4">
        <f>CHOOSE( CONTROL!$C$32, 3.8242, 3.8196) * CHOOSE(CONTROL!$C$15, $D$11, 100%, $F$11)</f>
        <v>3.8241999999999998</v>
      </c>
      <c r="K69" s="4"/>
      <c r="L69" s="9">
        <v>30.7165</v>
      </c>
      <c r="M69" s="9">
        <v>12.063700000000001</v>
      </c>
      <c r="N69" s="9">
        <v>4.9444999999999997</v>
      </c>
      <c r="O69" s="9">
        <v>0.37409999999999999</v>
      </c>
      <c r="P69" s="9">
        <v>1.2183999999999999</v>
      </c>
      <c r="Q69" s="9">
        <v>24.651199999999999</v>
      </c>
      <c r="R69" s="9"/>
      <c r="S69" s="11"/>
    </row>
    <row r="70" spans="1:19" ht="15" customHeight="1">
      <c r="A70" s="13">
        <v>43617</v>
      </c>
      <c r="B70" s="8">
        <f>CHOOSE( CONTROL!$C$32, 3.9496, 3.9448) * CHOOSE(CONTROL!$C$15, $D$11, 100%, $F$11)</f>
        <v>3.9496000000000002</v>
      </c>
      <c r="C70" s="8">
        <f>CHOOSE( CONTROL!$C$32, 3.9577, 3.9529) * CHOOSE(CONTROL!$C$15, $D$11, 100%, $F$11)</f>
        <v>3.9577</v>
      </c>
      <c r="D70" s="8">
        <f>CHOOSE( CONTROL!$C$32, 3.9792, 3.9744) * CHOOSE( CONTROL!$C$15, $D$11, 100%, $F$11)</f>
        <v>3.9792000000000001</v>
      </c>
      <c r="E70" s="12">
        <f>CHOOSE( CONTROL!$C$32, 3.9702, 3.9654) * CHOOSE( CONTROL!$C$15, $D$11, 100%, $F$11)</f>
        <v>3.9702000000000002</v>
      </c>
      <c r="F70" s="4">
        <f>CHOOSE( CONTROL!$C$32, 4.6474, 4.6426) * CHOOSE(CONTROL!$C$15, $D$11, 100%, $F$11)</f>
        <v>4.6474000000000002</v>
      </c>
      <c r="G70" s="8">
        <f>CHOOSE( CONTROL!$C$32, 3.8444, 3.8397) * CHOOSE( CONTROL!$C$15, $D$11, 100%, $F$11)</f>
        <v>3.8443999999999998</v>
      </c>
      <c r="H70" s="4">
        <f>CHOOSE( CONTROL!$C$32, 4.7739, 4.7692) * CHOOSE(CONTROL!$C$15, $D$11, 100%, $F$11)</f>
        <v>4.7739000000000003</v>
      </c>
      <c r="I70" s="8">
        <f>CHOOSE( CONTROL!$C$32, 3.8701, 3.8655) * CHOOSE(CONTROL!$C$15, $D$11, 100%, $F$11)</f>
        <v>3.8700999999999999</v>
      </c>
      <c r="J70" s="4">
        <f>CHOOSE( CONTROL!$C$32, 3.7628, 3.7582) * CHOOSE(CONTROL!$C$15, $D$11, 100%, $F$11)</f>
        <v>3.7627999999999999</v>
      </c>
      <c r="K70" s="4"/>
      <c r="L70" s="9">
        <v>29.7257</v>
      </c>
      <c r="M70" s="9">
        <v>11.6745</v>
      </c>
      <c r="N70" s="9">
        <v>4.7850000000000001</v>
      </c>
      <c r="O70" s="9">
        <v>0.36199999999999999</v>
      </c>
      <c r="P70" s="9">
        <v>1.1791</v>
      </c>
      <c r="Q70" s="9">
        <v>23.856000000000002</v>
      </c>
      <c r="R70" s="9"/>
      <c r="S70" s="11"/>
    </row>
    <row r="71" spans="1:19" ht="15" customHeight="1">
      <c r="A71" s="13">
        <v>43647</v>
      </c>
      <c r="B71" s="8">
        <f>CHOOSE( CONTROL!$C$32, 4.1181, 4.1132) * CHOOSE(CONTROL!$C$15, $D$11, 100%, $F$11)</f>
        <v>4.1181000000000001</v>
      </c>
      <c r="C71" s="8">
        <f>CHOOSE( CONTROL!$C$32, 4.1262, 4.1213) * CHOOSE(CONTROL!$C$15, $D$11, 100%, $F$11)</f>
        <v>4.1261999999999999</v>
      </c>
      <c r="D71" s="8">
        <f>CHOOSE( CONTROL!$C$32, 4.1479, 4.1431) * CHOOSE( CONTROL!$C$15, $D$11, 100%, $F$11)</f>
        <v>4.1478999999999999</v>
      </c>
      <c r="E71" s="12">
        <f>CHOOSE( CONTROL!$C$32, 4.1388, 4.134) * CHOOSE( CONTROL!$C$15, $D$11, 100%, $F$11)</f>
        <v>4.1387999999999998</v>
      </c>
      <c r="F71" s="4">
        <f>CHOOSE( CONTROL!$C$32, 4.8159, 4.8111) * CHOOSE(CONTROL!$C$15, $D$11, 100%, $F$11)</f>
        <v>4.8159000000000001</v>
      </c>
      <c r="G71" s="8">
        <f>CHOOSE( CONTROL!$C$32, 4.0092, 4.0045) * CHOOSE( CONTROL!$C$15, $D$11, 100%, $F$11)</f>
        <v>4.0091999999999999</v>
      </c>
      <c r="H71" s="4">
        <f>CHOOSE( CONTROL!$C$32, 4.9385, 4.9337) * CHOOSE(CONTROL!$C$15, $D$11, 100%, $F$11)</f>
        <v>4.9385000000000003</v>
      </c>
      <c r="I71" s="8">
        <f>CHOOSE( CONTROL!$C$32, 4.033, 4.0284) * CHOOSE(CONTROL!$C$15, $D$11, 100%, $F$11)</f>
        <v>4.0330000000000004</v>
      </c>
      <c r="J71" s="4">
        <f>CHOOSE( CONTROL!$C$32, 3.9245, 3.9199) * CHOOSE(CONTROL!$C$15, $D$11, 100%, $F$11)</f>
        <v>3.9245000000000001</v>
      </c>
      <c r="K71" s="4"/>
      <c r="L71" s="9">
        <v>30.7165</v>
      </c>
      <c r="M71" s="9">
        <v>12.063700000000001</v>
      </c>
      <c r="N71" s="9">
        <v>4.9444999999999997</v>
      </c>
      <c r="O71" s="9">
        <v>0.37409999999999999</v>
      </c>
      <c r="P71" s="9">
        <v>1.2183999999999999</v>
      </c>
      <c r="Q71" s="9">
        <v>24.651199999999999</v>
      </c>
      <c r="R71" s="9"/>
      <c r="S71" s="11"/>
    </row>
    <row r="72" spans="1:19" ht="15" customHeight="1">
      <c r="A72" s="13">
        <v>43678</v>
      </c>
      <c r="B72" s="8">
        <f>CHOOSE( CONTROL!$C$32, 3.8029, 3.7981) * CHOOSE(CONTROL!$C$15, $D$11, 100%, $F$11)</f>
        <v>3.8029000000000002</v>
      </c>
      <c r="C72" s="8">
        <f>CHOOSE( CONTROL!$C$32, 3.811, 3.8062) * CHOOSE(CONTROL!$C$15, $D$11, 100%, $F$11)</f>
        <v>3.8109999999999999</v>
      </c>
      <c r="D72" s="8">
        <f>CHOOSE( CONTROL!$C$32, 3.8328, 3.828) * CHOOSE( CONTROL!$C$15, $D$11, 100%, $F$11)</f>
        <v>3.8328000000000002</v>
      </c>
      <c r="E72" s="12">
        <f>CHOOSE( CONTROL!$C$32, 3.8237, 3.8189) * CHOOSE( CONTROL!$C$15, $D$11, 100%, $F$11)</f>
        <v>3.8237000000000001</v>
      </c>
      <c r="F72" s="4">
        <f>CHOOSE( CONTROL!$C$32, 4.5007, 4.4959) * CHOOSE(CONTROL!$C$15, $D$11, 100%, $F$11)</f>
        <v>4.5007000000000001</v>
      </c>
      <c r="G72" s="8">
        <f>CHOOSE( CONTROL!$C$32, 3.7015, 3.6968) * CHOOSE( CONTROL!$C$15, $D$11, 100%, $F$11)</f>
        <v>3.7014999999999998</v>
      </c>
      <c r="H72" s="4">
        <f>CHOOSE( CONTROL!$C$32, 4.6306, 4.6259) * CHOOSE(CONTROL!$C$15, $D$11, 100%, $F$11)</f>
        <v>4.6306000000000003</v>
      </c>
      <c r="I72" s="8">
        <f>CHOOSE( CONTROL!$C$32, 3.7306, 3.726) * CHOOSE(CONTROL!$C$15, $D$11, 100%, $F$11)</f>
        <v>3.7305999999999999</v>
      </c>
      <c r="J72" s="4">
        <f>CHOOSE( CONTROL!$C$32, 3.622, 3.6173) * CHOOSE(CONTROL!$C$15, $D$11, 100%, $F$11)</f>
        <v>3.6219999999999999</v>
      </c>
      <c r="K72" s="4"/>
      <c r="L72" s="9">
        <v>30.7165</v>
      </c>
      <c r="M72" s="9">
        <v>12.063700000000001</v>
      </c>
      <c r="N72" s="9">
        <v>4.9444999999999997</v>
      </c>
      <c r="O72" s="9">
        <v>0.37409999999999999</v>
      </c>
      <c r="P72" s="9">
        <v>1.2183999999999999</v>
      </c>
      <c r="Q72" s="9">
        <v>24.651199999999999</v>
      </c>
      <c r="R72" s="9"/>
      <c r="S72" s="11"/>
    </row>
    <row r="73" spans="1:19" ht="15" customHeight="1">
      <c r="A73" s="13">
        <v>43709</v>
      </c>
      <c r="B73" s="8">
        <f>CHOOSE( CONTROL!$C$32, 3.724, 3.7192) * CHOOSE(CONTROL!$C$15, $D$11, 100%, $F$11)</f>
        <v>3.7240000000000002</v>
      </c>
      <c r="C73" s="8">
        <f>CHOOSE( CONTROL!$C$32, 3.7321, 3.7272) * CHOOSE(CONTROL!$C$15, $D$11, 100%, $F$11)</f>
        <v>3.7321</v>
      </c>
      <c r="D73" s="8">
        <f>CHOOSE( CONTROL!$C$32, 3.7539, 3.749) * CHOOSE( CONTROL!$C$15, $D$11, 100%, $F$11)</f>
        <v>3.7538999999999998</v>
      </c>
      <c r="E73" s="12">
        <f>CHOOSE( CONTROL!$C$32, 3.7448, 3.7399) * CHOOSE( CONTROL!$C$15, $D$11, 100%, $F$11)</f>
        <v>3.7448000000000001</v>
      </c>
      <c r="F73" s="4">
        <f>CHOOSE( CONTROL!$C$32, 4.4218, 4.417) * CHOOSE(CONTROL!$C$15, $D$11, 100%, $F$11)</f>
        <v>4.4218000000000002</v>
      </c>
      <c r="G73" s="8">
        <f>CHOOSE( CONTROL!$C$32, 3.6244, 3.6197) * CHOOSE( CONTROL!$C$15, $D$11, 100%, $F$11)</f>
        <v>3.6244000000000001</v>
      </c>
      <c r="H73" s="4">
        <f>CHOOSE( CONTROL!$C$32, 4.5536, 4.5488) * CHOOSE(CONTROL!$C$15, $D$11, 100%, $F$11)</f>
        <v>4.5536000000000003</v>
      </c>
      <c r="I73" s="8">
        <f>CHOOSE( CONTROL!$C$32, 3.6547, 3.6501) * CHOOSE(CONTROL!$C$15, $D$11, 100%, $F$11)</f>
        <v>3.6547000000000001</v>
      </c>
      <c r="J73" s="4">
        <f>CHOOSE( CONTROL!$C$32, 3.5462, 3.5415) * CHOOSE(CONTROL!$C$15, $D$11, 100%, $F$11)</f>
        <v>3.5461999999999998</v>
      </c>
      <c r="K73" s="4"/>
      <c r="L73" s="9">
        <v>29.7257</v>
      </c>
      <c r="M73" s="9">
        <v>11.6745</v>
      </c>
      <c r="N73" s="9">
        <v>4.7850000000000001</v>
      </c>
      <c r="O73" s="9">
        <v>0.36199999999999999</v>
      </c>
      <c r="P73" s="9">
        <v>1.1791</v>
      </c>
      <c r="Q73" s="9">
        <v>23.856000000000002</v>
      </c>
      <c r="R73" s="9"/>
      <c r="S73" s="11"/>
    </row>
    <row r="74" spans="1:19" ht="15" customHeight="1">
      <c r="A74" s="13">
        <v>43739</v>
      </c>
      <c r="B74" s="8">
        <f>3.8813 * CHOOSE(CONTROL!$C$15, $D$11, 100%, $F$11)</f>
        <v>3.8813</v>
      </c>
      <c r="C74" s="8">
        <f>3.8867 * CHOOSE(CONTROL!$C$15, $D$11, 100%, $F$11)</f>
        <v>3.8866999999999998</v>
      </c>
      <c r="D74" s="8">
        <f>3.9132 * CHOOSE( CONTROL!$C$15, $D$11, 100%, $F$11)</f>
        <v>3.9131999999999998</v>
      </c>
      <c r="E74" s="12">
        <f>3.9039 * CHOOSE( CONTROL!$C$15, $D$11, 100%, $F$11)</f>
        <v>3.9039000000000001</v>
      </c>
      <c r="F74" s="4">
        <f>4.5808 * CHOOSE(CONTROL!$C$15, $D$11, 100%, $F$11)</f>
        <v>4.5808</v>
      </c>
      <c r="G74" s="8">
        <f>3.779 * CHOOSE( CONTROL!$C$15, $D$11, 100%, $F$11)</f>
        <v>3.7789999999999999</v>
      </c>
      <c r="H74" s="4">
        <f>4.7089 * CHOOSE(CONTROL!$C$15, $D$11, 100%, $F$11)</f>
        <v>4.7088999999999999</v>
      </c>
      <c r="I74" s="8">
        <f>3.8082 * CHOOSE(CONTROL!$C$15, $D$11, 100%, $F$11)</f>
        <v>3.8081999999999998</v>
      </c>
      <c r="J74" s="4">
        <f>3.6989 * CHOOSE(CONTROL!$C$15, $D$11, 100%, $F$11)</f>
        <v>3.6989000000000001</v>
      </c>
      <c r="K74" s="4"/>
      <c r="L74" s="9">
        <v>31.095300000000002</v>
      </c>
      <c r="M74" s="9">
        <v>12.063700000000001</v>
      </c>
      <c r="N74" s="9">
        <v>4.9444999999999997</v>
      </c>
      <c r="O74" s="9">
        <v>0.37409999999999999</v>
      </c>
      <c r="P74" s="9">
        <v>1.2183999999999999</v>
      </c>
      <c r="Q74" s="9">
        <v>24.651199999999999</v>
      </c>
      <c r="R74" s="9"/>
      <c r="S74" s="11"/>
    </row>
    <row r="75" spans="1:19" ht="15" customHeight="1">
      <c r="A75" s="13">
        <v>43770</v>
      </c>
      <c r="B75" s="8">
        <f>4.1834 * CHOOSE(CONTROL!$C$15, $D$11, 100%, $F$11)</f>
        <v>4.1833999999999998</v>
      </c>
      <c r="C75" s="8">
        <f>4.1885 * CHOOSE(CONTROL!$C$15, $D$11, 100%, $F$11)</f>
        <v>4.1885000000000003</v>
      </c>
      <c r="D75" s="8">
        <f>4.1778 * CHOOSE( CONTROL!$C$15, $D$11, 100%, $F$11)</f>
        <v>4.1778000000000004</v>
      </c>
      <c r="E75" s="12">
        <f>4.1812 * CHOOSE( CONTROL!$C$15, $D$11, 100%, $F$11)</f>
        <v>4.1811999999999996</v>
      </c>
      <c r="F75" s="4">
        <f>4.8323 * CHOOSE(CONTROL!$C$15, $D$11, 100%, $F$11)</f>
        <v>4.8323</v>
      </c>
      <c r="G75" s="8">
        <f>4.0789 * CHOOSE( CONTROL!$C$15, $D$11, 100%, $F$11)</f>
        <v>4.0789</v>
      </c>
      <c r="H75" s="4">
        <f>4.9544 * CHOOSE(CONTROL!$C$15, $D$11, 100%, $F$11)</f>
        <v>4.9543999999999997</v>
      </c>
      <c r="I75" s="8">
        <f>4.1243 * CHOOSE(CONTROL!$C$15, $D$11, 100%, $F$11)</f>
        <v>4.1242999999999999</v>
      </c>
      <c r="J75" s="4">
        <f>3.9893 * CHOOSE(CONTROL!$C$15, $D$11, 100%, $F$11)</f>
        <v>3.9893000000000001</v>
      </c>
      <c r="K75" s="4"/>
      <c r="L75" s="9">
        <v>28.360600000000002</v>
      </c>
      <c r="M75" s="9">
        <v>11.6745</v>
      </c>
      <c r="N75" s="9">
        <v>4.7850000000000001</v>
      </c>
      <c r="O75" s="9">
        <v>0.36199999999999999</v>
      </c>
      <c r="P75" s="9">
        <v>1.2509999999999999</v>
      </c>
      <c r="Q75" s="9">
        <v>23.856000000000002</v>
      </c>
      <c r="R75" s="9"/>
      <c r="S75" s="11"/>
    </row>
    <row r="76" spans="1:19" ht="15.75">
      <c r="A76" s="13">
        <v>43800</v>
      </c>
      <c r="B76" s="8">
        <f>4.1758 * CHOOSE(CONTROL!$C$15, $D$11, 100%, $F$11)</f>
        <v>4.1757999999999997</v>
      </c>
      <c r="C76" s="8">
        <f>4.181 * CHOOSE(CONTROL!$C$15, $D$11, 100%, $F$11)</f>
        <v>4.181</v>
      </c>
      <c r="D76" s="8">
        <f>4.1716 * CHOOSE( CONTROL!$C$15, $D$11, 100%, $F$11)</f>
        <v>4.1715999999999998</v>
      </c>
      <c r="E76" s="12">
        <f>4.1745 * CHOOSE( CONTROL!$C$15, $D$11, 100%, $F$11)</f>
        <v>4.1745000000000001</v>
      </c>
      <c r="F76" s="4">
        <f>4.8247 * CHOOSE(CONTROL!$C$15, $D$11, 100%, $F$11)</f>
        <v>4.8247</v>
      </c>
      <c r="G76" s="8">
        <f>4.0726 * CHOOSE( CONTROL!$C$15, $D$11, 100%, $F$11)</f>
        <v>4.0726000000000004</v>
      </c>
      <c r="H76" s="4">
        <f>4.9471 * CHOOSE(CONTROL!$C$15, $D$11, 100%, $F$11)</f>
        <v>4.9470999999999998</v>
      </c>
      <c r="I76" s="8">
        <f>4.1214 * CHOOSE(CONTROL!$C$15, $D$11, 100%, $F$11)</f>
        <v>4.1214000000000004</v>
      </c>
      <c r="J76" s="4">
        <f>3.982 * CHOOSE(CONTROL!$C$15, $D$11, 100%, $F$11)</f>
        <v>3.9820000000000002</v>
      </c>
      <c r="K76" s="4"/>
      <c r="L76" s="9">
        <v>29.306000000000001</v>
      </c>
      <c r="M76" s="9">
        <v>12.063700000000001</v>
      </c>
      <c r="N76" s="9">
        <v>4.9444999999999997</v>
      </c>
      <c r="O76" s="9">
        <v>0.37409999999999999</v>
      </c>
      <c r="P76" s="9">
        <v>1.2927</v>
      </c>
      <c r="Q76" s="9">
        <v>24.651199999999999</v>
      </c>
      <c r="R76" s="9"/>
      <c r="S76" s="11"/>
    </row>
    <row r="77" spans="1:19" ht="15.75">
      <c r="A77" s="13">
        <v>43831</v>
      </c>
      <c r="B77" s="8">
        <f>5.0264 * CHOOSE(CONTROL!$C$15, $D$11, 100%, $F$11)</f>
        <v>5.0263999999999998</v>
      </c>
      <c r="C77" s="8">
        <f>5.0316 * CHOOSE(CONTROL!$C$15, $D$11, 100%, $F$11)</f>
        <v>5.0316000000000001</v>
      </c>
      <c r="D77" s="8">
        <f>5.018 * CHOOSE( CONTROL!$C$15, $D$11, 100%, $F$11)</f>
        <v>5.0179999999999998</v>
      </c>
      <c r="E77" s="12">
        <f>5.0224 * CHOOSE( CONTROL!$C$15, $D$11, 100%, $F$11)</f>
        <v>5.0224000000000002</v>
      </c>
      <c r="F77" s="4">
        <f>5.6753 * CHOOSE(CONTROL!$C$15, $D$11, 100%, $F$11)</f>
        <v>5.6753</v>
      </c>
      <c r="G77" s="8">
        <f>4.8971 * CHOOSE( CONTROL!$C$15, $D$11, 100%, $F$11)</f>
        <v>4.8971</v>
      </c>
      <c r="H77" s="4">
        <f>5.7778 * CHOOSE(CONTROL!$C$15, $D$11, 100%, $F$11)</f>
        <v>5.7778</v>
      </c>
      <c r="I77" s="8">
        <f>4.9147 * CHOOSE(CONTROL!$C$15, $D$11, 100%, $F$11)</f>
        <v>4.9146999999999998</v>
      </c>
      <c r="J77" s="4">
        <f>4.7987 * CHOOSE(CONTROL!$C$15, $D$11, 100%, $F$11)</f>
        <v>4.7987000000000002</v>
      </c>
      <c r="K77" s="4"/>
      <c r="L77" s="9">
        <v>29.306000000000001</v>
      </c>
      <c r="M77" s="9">
        <v>12.063700000000001</v>
      </c>
      <c r="N77" s="9">
        <v>4.9444999999999997</v>
      </c>
      <c r="O77" s="9">
        <v>0.37409999999999999</v>
      </c>
      <c r="P77" s="9">
        <v>1.2927</v>
      </c>
      <c r="Q77" s="9">
        <v>22.150099999999998</v>
      </c>
      <c r="R77" s="9"/>
      <c r="S77" s="11"/>
    </row>
    <row r="78" spans="1:19" ht="15.75">
      <c r="A78" s="13">
        <v>43862</v>
      </c>
      <c r="B78" s="8">
        <f>4.7033 * CHOOSE(CONTROL!$C$15, $D$11, 100%, $F$11)</f>
        <v>4.7032999999999996</v>
      </c>
      <c r="C78" s="8">
        <f>4.7085 * CHOOSE(CONTROL!$C$15, $D$11, 100%, $F$11)</f>
        <v>4.7084999999999999</v>
      </c>
      <c r="D78" s="8">
        <f>4.6949 * CHOOSE( CONTROL!$C$15, $D$11, 100%, $F$11)</f>
        <v>4.6948999999999996</v>
      </c>
      <c r="E78" s="12">
        <f>4.6993 * CHOOSE( CONTROL!$C$15, $D$11, 100%, $F$11)</f>
        <v>4.6993</v>
      </c>
      <c r="F78" s="4">
        <f>5.3522 * CHOOSE(CONTROL!$C$15, $D$11, 100%, $F$11)</f>
        <v>5.3521999999999998</v>
      </c>
      <c r="G78" s="8">
        <f>4.5815 * CHOOSE( CONTROL!$C$15, $D$11, 100%, $F$11)</f>
        <v>4.5815000000000001</v>
      </c>
      <c r="H78" s="4">
        <f>5.4622 * CHOOSE(CONTROL!$C$15, $D$11, 100%, $F$11)</f>
        <v>5.4622000000000002</v>
      </c>
      <c r="I78" s="8">
        <f>4.6044 * CHOOSE(CONTROL!$C$15, $D$11, 100%, $F$11)</f>
        <v>4.6044</v>
      </c>
      <c r="J78" s="4">
        <f>4.4884 * CHOOSE(CONTROL!$C$15, $D$11, 100%, $F$11)</f>
        <v>4.4884000000000004</v>
      </c>
      <c r="K78" s="4"/>
      <c r="L78" s="9">
        <v>27.415299999999998</v>
      </c>
      <c r="M78" s="9">
        <v>11.285299999999999</v>
      </c>
      <c r="N78" s="9">
        <v>4.6254999999999997</v>
      </c>
      <c r="O78" s="9">
        <v>0.34989999999999999</v>
      </c>
      <c r="P78" s="9">
        <v>1.2093</v>
      </c>
      <c r="Q78" s="9">
        <v>20.7211</v>
      </c>
      <c r="R78" s="9"/>
      <c r="S78" s="11"/>
    </row>
    <row r="79" spans="1:19" ht="15.75">
      <c r="A79" s="13">
        <v>43891</v>
      </c>
      <c r="B79" s="8">
        <f>4.6037 * CHOOSE(CONTROL!$C$15, $D$11, 100%, $F$11)</f>
        <v>4.6036999999999999</v>
      </c>
      <c r="C79" s="8">
        <f>4.6089 * CHOOSE(CONTROL!$C$15, $D$11, 100%, $F$11)</f>
        <v>4.6089000000000002</v>
      </c>
      <c r="D79" s="8">
        <f>4.5951 * CHOOSE( CONTROL!$C$15, $D$11, 100%, $F$11)</f>
        <v>4.5951000000000004</v>
      </c>
      <c r="E79" s="12">
        <f>4.5996 * CHOOSE( CONTROL!$C$15, $D$11, 100%, $F$11)</f>
        <v>4.5995999999999997</v>
      </c>
      <c r="F79" s="4">
        <f>5.2526 * CHOOSE(CONTROL!$C$15, $D$11, 100%, $F$11)</f>
        <v>5.2526000000000002</v>
      </c>
      <c r="G79" s="8">
        <f>4.484 * CHOOSE( CONTROL!$C$15, $D$11, 100%, $F$11)</f>
        <v>4.484</v>
      </c>
      <c r="H79" s="4">
        <f>5.365 * CHOOSE(CONTROL!$C$15, $D$11, 100%, $F$11)</f>
        <v>5.3650000000000002</v>
      </c>
      <c r="I79" s="8">
        <f>4.5078 * CHOOSE(CONTROL!$C$15, $D$11, 100%, $F$11)</f>
        <v>4.5077999999999996</v>
      </c>
      <c r="J79" s="4">
        <f>4.3929 * CHOOSE(CONTROL!$C$15, $D$11, 100%, $F$11)</f>
        <v>4.3929</v>
      </c>
      <c r="K79" s="4"/>
      <c r="L79" s="9">
        <v>29.306000000000001</v>
      </c>
      <c r="M79" s="9">
        <v>12.063700000000001</v>
      </c>
      <c r="N79" s="9">
        <v>4.9444999999999997</v>
      </c>
      <c r="O79" s="9">
        <v>0.37409999999999999</v>
      </c>
      <c r="P79" s="9">
        <v>1.2927</v>
      </c>
      <c r="Q79" s="9">
        <v>22.150099999999998</v>
      </c>
      <c r="R79" s="9"/>
      <c r="S79" s="11"/>
    </row>
    <row r="80" spans="1:19" ht="15.75">
      <c r="A80" s="13">
        <v>43922</v>
      </c>
      <c r="B80" s="8">
        <f>4.6741 * CHOOSE(CONTROL!$C$15, $D$11, 100%, $F$11)</f>
        <v>4.6741000000000001</v>
      </c>
      <c r="C80" s="8">
        <f>4.6787 * CHOOSE(CONTROL!$C$15, $D$11, 100%, $F$11)</f>
        <v>4.6787000000000001</v>
      </c>
      <c r="D80" s="8">
        <f>4.705 * CHOOSE( CONTROL!$C$15, $D$11, 100%, $F$11)</f>
        <v>4.7050000000000001</v>
      </c>
      <c r="E80" s="12">
        <f>4.6958 * CHOOSE( CONTROL!$C$15, $D$11, 100%, $F$11)</f>
        <v>4.6958000000000002</v>
      </c>
      <c r="F80" s="4">
        <f>5.3732 * CHOOSE(CONTROL!$C$15, $D$11, 100%, $F$11)</f>
        <v>5.3731999999999998</v>
      </c>
      <c r="G80" s="8">
        <f>4.552 * CHOOSE( CONTROL!$C$15, $D$11, 100%, $F$11)</f>
        <v>4.5519999999999996</v>
      </c>
      <c r="H80" s="4">
        <f>5.4828 * CHOOSE(CONTROL!$C$15, $D$11, 100%, $F$11)</f>
        <v>5.4828000000000001</v>
      </c>
      <c r="I80" s="8">
        <f>4.5664 * CHOOSE(CONTROL!$C$15, $D$11, 100%, $F$11)</f>
        <v>4.5663999999999998</v>
      </c>
      <c r="J80" s="4">
        <f>4.4596 * CHOOSE(CONTROL!$C$15, $D$11, 100%, $F$11)</f>
        <v>4.4596</v>
      </c>
      <c r="K80" s="4"/>
      <c r="L80" s="9">
        <v>30.092199999999998</v>
      </c>
      <c r="M80" s="9">
        <v>11.6745</v>
      </c>
      <c r="N80" s="9">
        <v>4.7850000000000001</v>
      </c>
      <c r="O80" s="9">
        <v>0.36199999999999999</v>
      </c>
      <c r="P80" s="9">
        <v>1.1791</v>
      </c>
      <c r="Q80" s="9">
        <v>21.435600000000001</v>
      </c>
      <c r="R80" s="9"/>
      <c r="S80" s="11"/>
    </row>
    <row r="81" spans="1:19" ht="15.75">
      <c r="A81" s="13">
        <v>43952</v>
      </c>
      <c r="B81" s="8">
        <f>CHOOSE( CONTROL!$C$32, 4.804, 4.7992) * CHOOSE(CONTROL!$C$15, $D$11, 100%, $F$11)</f>
        <v>4.8040000000000003</v>
      </c>
      <c r="C81" s="8">
        <f>CHOOSE( CONTROL!$C$32, 4.8121, 4.8073) * CHOOSE(CONTROL!$C$15, $D$11, 100%, $F$11)</f>
        <v>4.8121</v>
      </c>
      <c r="D81" s="8">
        <f>CHOOSE( CONTROL!$C$32, 4.8334, 4.8286) * CHOOSE( CONTROL!$C$15, $D$11, 100%, $F$11)</f>
        <v>4.8334000000000001</v>
      </c>
      <c r="E81" s="12">
        <f>CHOOSE( CONTROL!$C$32, 4.8244, 4.8196) * CHOOSE( CONTROL!$C$15, $D$11, 100%, $F$11)</f>
        <v>4.8243999999999998</v>
      </c>
      <c r="F81" s="4">
        <f>CHOOSE( CONTROL!$C$32, 5.5018, 5.497) * CHOOSE(CONTROL!$C$15, $D$11, 100%, $F$11)</f>
        <v>5.5018000000000002</v>
      </c>
      <c r="G81" s="8">
        <f>CHOOSE( CONTROL!$C$32, 4.6786, 4.6739) * CHOOSE( CONTROL!$C$15, $D$11, 100%, $F$11)</f>
        <v>4.6786000000000003</v>
      </c>
      <c r="H81" s="4">
        <f>CHOOSE( CONTROL!$C$32, 5.6084, 5.6037) * CHOOSE(CONTROL!$C$15, $D$11, 100%, $F$11)</f>
        <v>5.6083999999999996</v>
      </c>
      <c r="I81" s="8">
        <f>CHOOSE( CONTROL!$C$32, 4.6899, 4.6853) * CHOOSE(CONTROL!$C$15, $D$11, 100%, $F$11)</f>
        <v>4.6898999999999997</v>
      </c>
      <c r="J81" s="4">
        <f>CHOOSE( CONTROL!$C$32, 4.5831, 4.5785) * CHOOSE(CONTROL!$C$15, $D$11, 100%, $F$11)</f>
        <v>4.5831</v>
      </c>
      <c r="K81" s="4"/>
      <c r="L81" s="9">
        <v>30.7165</v>
      </c>
      <c r="M81" s="9">
        <v>12.063700000000001</v>
      </c>
      <c r="N81" s="9">
        <v>4.9444999999999997</v>
      </c>
      <c r="O81" s="9">
        <v>0.37409999999999999</v>
      </c>
      <c r="P81" s="9">
        <v>1.2183999999999999</v>
      </c>
      <c r="Q81" s="9">
        <v>33.225200000000001</v>
      </c>
      <c r="R81" s="9"/>
      <c r="S81" s="11"/>
    </row>
    <row r="82" spans="1:19" ht="15.75">
      <c r="A82" s="13">
        <v>43983</v>
      </c>
      <c r="B82" s="8">
        <f>CHOOSE( CONTROL!$C$32, 4.7273, 4.7225) * CHOOSE(CONTROL!$C$15, $D$11, 100%, $F$11)</f>
        <v>4.7272999999999996</v>
      </c>
      <c r="C82" s="8">
        <f>CHOOSE( CONTROL!$C$32, 4.7354, 4.7306) * CHOOSE(CONTROL!$C$15, $D$11, 100%, $F$11)</f>
        <v>4.7354000000000003</v>
      </c>
      <c r="D82" s="8">
        <f>CHOOSE( CONTROL!$C$32, 4.7569, 4.7521) * CHOOSE( CONTROL!$C$15, $D$11, 100%, $F$11)</f>
        <v>4.7568999999999999</v>
      </c>
      <c r="E82" s="12">
        <f>CHOOSE( CONTROL!$C$32, 4.7479, 4.7431) * CHOOSE( CONTROL!$C$15, $D$11, 100%, $F$11)</f>
        <v>4.7478999999999996</v>
      </c>
      <c r="F82" s="4">
        <f>CHOOSE( CONTROL!$C$32, 5.4252, 5.4203) * CHOOSE(CONTROL!$C$15, $D$11, 100%, $F$11)</f>
        <v>5.4252000000000002</v>
      </c>
      <c r="G82" s="8">
        <f>CHOOSE( CONTROL!$C$32, 4.604, 4.5993) * CHOOSE( CONTROL!$C$15, $D$11, 100%, $F$11)</f>
        <v>4.6040000000000001</v>
      </c>
      <c r="H82" s="4">
        <f>CHOOSE( CONTROL!$C$32, 5.5335, 5.5288) * CHOOSE(CONTROL!$C$15, $D$11, 100%, $F$11)</f>
        <v>5.5335000000000001</v>
      </c>
      <c r="I82" s="8">
        <f>CHOOSE( CONTROL!$C$32, 4.6172, 4.6125) * CHOOSE(CONTROL!$C$15, $D$11, 100%, $F$11)</f>
        <v>4.6172000000000004</v>
      </c>
      <c r="J82" s="4">
        <f>CHOOSE( CONTROL!$C$32, 4.5095, 4.5049) * CHOOSE(CONTROL!$C$15, $D$11, 100%, $F$11)</f>
        <v>4.5095000000000001</v>
      </c>
      <c r="K82" s="4"/>
      <c r="L82" s="9">
        <v>29.7257</v>
      </c>
      <c r="M82" s="9">
        <v>11.6745</v>
      </c>
      <c r="N82" s="9">
        <v>4.7850000000000001</v>
      </c>
      <c r="O82" s="9">
        <v>0.36199999999999999</v>
      </c>
      <c r="P82" s="9">
        <v>1.1791</v>
      </c>
      <c r="Q82" s="9">
        <v>32.153399999999998</v>
      </c>
      <c r="R82" s="9"/>
      <c r="S82" s="11"/>
    </row>
    <row r="83" spans="1:19" ht="15.75">
      <c r="A83" s="13">
        <v>44013</v>
      </c>
      <c r="B83" s="8">
        <f>CHOOSE( CONTROL!$C$32, 4.9292, 4.9244) * CHOOSE(CONTROL!$C$15, $D$11, 100%, $F$11)</f>
        <v>4.9291999999999998</v>
      </c>
      <c r="C83" s="8">
        <f>CHOOSE( CONTROL!$C$32, 4.9373, 4.9325) * CHOOSE(CONTROL!$C$15, $D$11, 100%, $F$11)</f>
        <v>4.9372999999999996</v>
      </c>
      <c r="D83" s="8">
        <f>CHOOSE( CONTROL!$C$32, 4.9591, 4.9542) * CHOOSE( CONTROL!$C$15, $D$11, 100%, $F$11)</f>
        <v>4.9591000000000003</v>
      </c>
      <c r="E83" s="12">
        <f>CHOOSE( CONTROL!$C$32, 4.95, 4.9451) * CHOOSE( CONTROL!$C$15, $D$11, 100%, $F$11)</f>
        <v>4.95</v>
      </c>
      <c r="F83" s="4">
        <f>CHOOSE( CONTROL!$C$32, 5.6271, 5.6222) * CHOOSE(CONTROL!$C$15, $D$11, 100%, $F$11)</f>
        <v>5.6271000000000004</v>
      </c>
      <c r="G83" s="8">
        <f>CHOOSE( CONTROL!$C$32, 4.8015, 4.7968) * CHOOSE( CONTROL!$C$15, $D$11, 100%, $F$11)</f>
        <v>4.8014999999999999</v>
      </c>
      <c r="H83" s="4">
        <f>CHOOSE( CONTROL!$C$32, 5.7307, 5.726) * CHOOSE(CONTROL!$C$15, $D$11, 100%, $F$11)</f>
        <v>5.7306999999999997</v>
      </c>
      <c r="I83" s="8">
        <f>CHOOSE( CONTROL!$C$32, 4.8122, 4.8076) * CHOOSE(CONTROL!$C$15, $D$11, 100%, $F$11)</f>
        <v>4.8121999999999998</v>
      </c>
      <c r="J83" s="4">
        <f>CHOOSE( CONTROL!$C$32, 4.7033, 4.6987) * CHOOSE(CONTROL!$C$15, $D$11, 100%, $F$11)</f>
        <v>4.7032999999999996</v>
      </c>
      <c r="K83" s="4"/>
      <c r="L83" s="9">
        <v>30.7165</v>
      </c>
      <c r="M83" s="9">
        <v>12.063700000000001</v>
      </c>
      <c r="N83" s="9">
        <v>4.9444999999999997</v>
      </c>
      <c r="O83" s="9">
        <v>0.37409999999999999</v>
      </c>
      <c r="P83" s="9">
        <v>1.2183999999999999</v>
      </c>
      <c r="Q83" s="9">
        <v>33.225200000000001</v>
      </c>
      <c r="R83" s="9"/>
      <c r="S83" s="11"/>
    </row>
    <row r="84" spans="1:19" ht="15.75">
      <c r="A84" s="13">
        <v>44044</v>
      </c>
      <c r="B84" s="8">
        <f>CHOOSE( CONTROL!$C$32, 4.5515, 4.5466) * CHOOSE(CONTROL!$C$15, $D$11, 100%, $F$11)</f>
        <v>4.5514999999999999</v>
      </c>
      <c r="C84" s="8">
        <f>CHOOSE( CONTROL!$C$32, 4.5596, 4.5547) * CHOOSE(CONTROL!$C$15, $D$11, 100%, $F$11)</f>
        <v>4.5595999999999997</v>
      </c>
      <c r="D84" s="8">
        <f>CHOOSE( CONTROL!$C$32, 4.5814, 4.5765) * CHOOSE( CONTROL!$C$15, $D$11, 100%, $F$11)</f>
        <v>4.5814000000000004</v>
      </c>
      <c r="E84" s="12">
        <f>CHOOSE( CONTROL!$C$32, 4.5723, 4.5674) * CHOOSE( CONTROL!$C$15, $D$11, 100%, $F$11)</f>
        <v>4.5723000000000003</v>
      </c>
      <c r="F84" s="4">
        <f>CHOOSE( CONTROL!$C$32, 5.2493, 5.2444) * CHOOSE(CONTROL!$C$15, $D$11, 100%, $F$11)</f>
        <v>5.2492999999999999</v>
      </c>
      <c r="G84" s="8">
        <f>CHOOSE( CONTROL!$C$32, 4.4326, 4.4279) * CHOOSE( CONTROL!$C$15, $D$11, 100%, $F$11)</f>
        <v>4.4325999999999999</v>
      </c>
      <c r="H84" s="4">
        <f>CHOOSE( CONTROL!$C$32, 5.3618, 5.357) * CHOOSE(CONTROL!$C$15, $D$11, 100%, $F$11)</f>
        <v>5.3617999999999997</v>
      </c>
      <c r="I84" s="8">
        <f>CHOOSE( CONTROL!$C$32, 4.4496, 4.445) * CHOOSE(CONTROL!$C$15, $D$11, 100%, $F$11)</f>
        <v>4.4496000000000002</v>
      </c>
      <c r="J84" s="4">
        <f>CHOOSE( CONTROL!$C$32, 4.3406, 4.336) * CHOOSE(CONTROL!$C$15, $D$11, 100%, $F$11)</f>
        <v>4.3406000000000002</v>
      </c>
      <c r="K84" s="4"/>
      <c r="L84" s="9">
        <v>30.7165</v>
      </c>
      <c r="M84" s="9">
        <v>12.063700000000001</v>
      </c>
      <c r="N84" s="9">
        <v>4.9444999999999997</v>
      </c>
      <c r="O84" s="9">
        <v>0.37409999999999999</v>
      </c>
      <c r="P84" s="9">
        <v>1.2183999999999999</v>
      </c>
      <c r="Q84" s="9">
        <v>33.225200000000001</v>
      </c>
      <c r="R84" s="9"/>
      <c r="S84" s="11"/>
    </row>
    <row r="85" spans="1:19" ht="15.75">
      <c r="A85" s="13">
        <v>44075</v>
      </c>
      <c r="B85" s="8">
        <f>CHOOSE( CONTROL!$C$32, 4.4569, 4.452) * CHOOSE(CONTROL!$C$15, $D$11, 100%, $F$11)</f>
        <v>4.4569000000000001</v>
      </c>
      <c r="C85" s="8">
        <f>CHOOSE( CONTROL!$C$32, 4.465, 4.4601) * CHOOSE(CONTROL!$C$15, $D$11, 100%, $F$11)</f>
        <v>4.4649999999999999</v>
      </c>
      <c r="D85" s="8">
        <f>CHOOSE( CONTROL!$C$32, 4.4867, 4.4819) * CHOOSE( CONTROL!$C$15, $D$11, 100%, $F$11)</f>
        <v>4.4866999999999999</v>
      </c>
      <c r="E85" s="12">
        <f>CHOOSE( CONTROL!$C$32, 4.4776, 4.4728) * CHOOSE( CONTROL!$C$15, $D$11, 100%, $F$11)</f>
        <v>4.4775999999999998</v>
      </c>
      <c r="F85" s="4">
        <f>CHOOSE( CONTROL!$C$32, 5.1547, 5.1498) * CHOOSE(CONTROL!$C$15, $D$11, 100%, $F$11)</f>
        <v>5.1547000000000001</v>
      </c>
      <c r="G85" s="8">
        <f>CHOOSE( CONTROL!$C$32, 4.3402, 4.3355) * CHOOSE( CONTROL!$C$15, $D$11, 100%, $F$11)</f>
        <v>4.3402000000000003</v>
      </c>
      <c r="H85" s="4">
        <f>CHOOSE( CONTROL!$C$32, 5.2694, 5.2646) * CHOOSE(CONTROL!$C$15, $D$11, 100%, $F$11)</f>
        <v>5.2694000000000001</v>
      </c>
      <c r="I85" s="8">
        <f>CHOOSE( CONTROL!$C$32, 4.3587, 4.354) * CHOOSE(CONTROL!$C$15, $D$11, 100%, $F$11)</f>
        <v>4.3586999999999998</v>
      </c>
      <c r="J85" s="4">
        <f>CHOOSE( CONTROL!$C$32, 4.2498, 4.2452) * CHOOSE(CONTROL!$C$15, $D$11, 100%, $F$11)</f>
        <v>4.2497999999999996</v>
      </c>
      <c r="K85" s="4"/>
      <c r="L85" s="9">
        <v>29.7257</v>
      </c>
      <c r="M85" s="9">
        <v>11.6745</v>
      </c>
      <c r="N85" s="9">
        <v>4.7850000000000001</v>
      </c>
      <c r="O85" s="9">
        <v>0.36199999999999999</v>
      </c>
      <c r="P85" s="9">
        <v>1.1791</v>
      </c>
      <c r="Q85" s="9">
        <v>32.153399999999998</v>
      </c>
      <c r="R85" s="9"/>
      <c r="S85" s="11"/>
    </row>
    <row r="86" spans="1:19" ht="15.75">
      <c r="A86" s="13">
        <v>44105</v>
      </c>
      <c r="B86" s="8">
        <f>4.6467 * CHOOSE(CONTROL!$C$15, $D$11, 100%, $F$11)</f>
        <v>4.6467000000000001</v>
      </c>
      <c r="C86" s="8">
        <f>4.6522 * CHOOSE(CONTROL!$C$15, $D$11, 100%, $F$11)</f>
        <v>4.6521999999999997</v>
      </c>
      <c r="D86" s="8">
        <f>4.6786 * CHOOSE( CONTROL!$C$15, $D$11, 100%, $F$11)</f>
        <v>4.6786000000000003</v>
      </c>
      <c r="E86" s="12">
        <f>4.6693 * CHOOSE( CONTROL!$C$15, $D$11, 100%, $F$11)</f>
        <v>4.6692999999999998</v>
      </c>
      <c r="F86" s="4">
        <f>5.3463 * CHOOSE(CONTROL!$C$15, $D$11, 100%, $F$11)</f>
        <v>5.3463000000000003</v>
      </c>
      <c r="G86" s="8">
        <f>4.5266 * CHOOSE( CONTROL!$C$15, $D$11, 100%, $F$11)</f>
        <v>4.5266000000000002</v>
      </c>
      <c r="H86" s="4">
        <f>5.4565 * CHOOSE(CONTROL!$C$15, $D$11, 100%, $F$11)</f>
        <v>5.4565000000000001</v>
      </c>
      <c r="I86" s="8">
        <f>4.5435 * CHOOSE(CONTROL!$C$15, $D$11, 100%, $F$11)</f>
        <v>4.5434999999999999</v>
      </c>
      <c r="J86" s="4">
        <f>4.4338 * CHOOSE(CONTROL!$C$15, $D$11, 100%, $F$11)</f>
        <v>4.4337999999999997</v>
      </c>
      <c r="K86" s="4"/>
      <c r="L86" s="9">
        <v>31.095300000000002</v>
      </c>
      <c r="M86" s="9">
        <v>12.063700000000001</v>
      </c>
      <c r="N86" s="9">
        <v>4.9444999999999997</v>
      </c>
      <c r="O86" s="9">
        <v>0.37409999999999999</v>
      </c>
      <c r="P86" s="9">
        <v>1.2183999999999999</v>
      </c>
      <c r="Q86" s="9">
        <v>33.225200000000001</v>
      </c>
      <c r="R86" s="9"/>
      <c r="S86" s="11"/>
    </row>
    <row r="87" spans="1:19" ht="15.75">
      <c r="A87" s="13">
        <v>44136</v>
      </c>
      <c r="B87" s="8">
        <f>5.0089 * CHOOSE(CONTROL!$C$15, $D$11, 100%, $F$11)</f>
        <v>5.0088999999999997</v>
      </c>
      <c r="C87" s="8">
        <f>5.0141 * CHOOSE(CONTROL!$C$15, $D$11, 100%, $F$11)</f>
        <v>5.0141</v>
      </c>
      <c r="D87" s="8">
        <f>5.0033 * CHOOSE( CONTROL!$C$15, $D$11, 100%, $F$11)</f>
        <v>5.0033000000000003</v>
      </c>
      <c r="E87" s="12">
        <f>5.0067 * CHOOSE( CONTROL!$C$15, $D$11, 100%, $F$11)</f>
        <v>5.0067000000000004</v>
      </c>
      <c r="F87" s="4">
        <f>5.6578 * CHOOSE(CONTROL!$C$15, $D$11, 100%, $F$11)</f>
        <v>5.6577999999999999</v>
      </c>
      <c r="G87" s="8">
        <f>4.8852 * CHOOSE( CONTROL!$C$15, $D$11, 100%, $F$11)</f>
        <v>4.8852000000000002</v>
      </c>
      <c r="H87" s="4">
        <f>5.7607 * CHOOSE(CONTROL!$C$15, $D$11, 100%, $F$11)</f>
        <v>5.7606999999999999</v>
      </c>
      <c r="I87" s="8">
        <f>4.9173 * CHOOSE(CONTROL!$C$15, $D$11, 100%, $F$11)</f>
        <v>4.9173</v>
      </c>
      <c r="J87" s="4">
        <f>4.7819 * CHOOSE(CONTROL!$C$15, $D$11, 100%, $F$11)</f>
        <v>4.7819000000000003</v>
      </c>
      <c r="K87" s="4"/>
      <c r="L87" s="9">
        <v>28.360600000000002</v>
      </c>
      <c r="M87" s="9">
        <v>11.6745</v>
      </c>
      <c r="N87" s="9">
        <v>4.7850000000000001</v>
      </c>
      <c r="O87" s="9">
        <v>0.36199999999999999</v>
      </c>
      <c r="P87" s="9">
        <v>1.2509999999999999</v>
      </c>
      <c r="Q87" s="9">
        <v>32.153399999999998</v>
      </c>
      <c r="R87" s="9"/>
      <c r="S87" s="11"/>
    </row>
    <row r="88" spans="1:19" ht="15.75">
      <c r="A88" s="13">
        <v>44166</v>
      </c>
      <c r="B88" s="8">
        <f>4.9998 * CHOOSE(CONTROL!$C$15, $D$11, 100%, $F$11)</f>
        <v>4.9997999999999996</v>
      </c>
      <c r="C88" s="8">
        <f>5.005 * CHOOSE(CONTROL!$C$15, $D$11, 100%, $F$11)</f>
        <v>5.0049999999999999</v>
      </c>
      <c r="D88" s="8">
        <f>4.9956 * CHOOSE( CONTROL!$C$15, $D$11, 100%, $F$11)</f>
        <v>4.9955999999999996</v>
      </c>
      <c r="E88" s="12">
        <f>4.9985 * CHOOSE( CONTROL!$C$15, $D$11, 100%, $F$11)</f>
        <v>4.9984999999999999</v>
      </c>
      <c r="F88" s="4">
        <f>5.6487 * CHOOSE(CONTROL!$C$15, $D$11, 100%, $F$11)</f>
        <v>5.6486999999999998</v>
      </c>
      <c r="G88" s="8">
        <f>4.8774 * CHOOSE( CONTROL!$C$15, $D$11, 100%, $F$11)</f>
        <v>4.8773999999999997</v>
      </c>
      <c r="H88" s="4">
        <f>5.7519 * CHOOSE(CONTROL!$C$15, $D$11, 100%, $F$11)</f>
        <v>5.7519</v>
      </c>
      <c r="I88" s="8">
        <f>4.9129 * CHOOSE(CONTROL!$C$15, $D$11, 100%, $F$11)</f>
        <v>4.9128999999999996</v>
      </c>
      <c r="J88" s="4">
        <f>4.7732 * CHOOSE(CONTROL!$C$15, $D$11, 100%, $F$11)</f>
        <v>4.7732000000000001</v>
      </c>
      <c r="K88" s="4"/>
      <c r="L88" s="9">
        <v>29.306000000000001</v>
      </c>
      <c r="M88" s="9">
        <v>12.063700000000001</v>
      </c>
      <c r="N88" s="9">
        <v>4.9444999999999997</v>
      </c>
      <c r="O88" s="9">
        <v>0.37409999999999999</v>
      </c>
      <c r="P88" s="9">
        <v>1.2927</v>
      </c>
      <c r="Q88" s="9">
        <v>33.225200000000001</v>
      </c>
      <c r="R88" s="9"/>
      <c r="S88" s="11"/>
    </row>
    <row r="89" spans="1:19" ht="15.75">
      <c r="A89" s="13">
        <v>44197</v>
      </c>
      <c r="B89" s="8">
        <f>5.2538 * CHOOSE(CONTROL!$C$15, $D$11, 100%, $F$11)</f>
        <v>5.2538</v>
      </c>
      <c r="C89" s="8">
        <f>5.259 * CHOOSE(CONTROL!$C$15, $D$11, 100%, $F$11)</f>
        <v>5.2590000000000003</v>
      </c>
      <c r="D89" s="8">
        <f>5.2455 * CHOOSE( CONTROL!$C$15, $D$11, 100%, $F$11)</f>
        <v>5.2454999999999998</v>
      </c>
      <c r="E89" s="12">
        <f>5.2499 * CHOOSE( CONTROL!$C$15, $D$11, 100%, $F$11)</f>
        <v>5.2499000000000002</v>
      </c>
      <c r="F89" s="4">
        <f>5.9027 * CHOOSE(CONTROL!$C$15, $D$11, 100%, $F$11)</f>
        <v>5.9027000000000003</v>
      </c>
      <c r="G89" s="8">
        <f>5.1192 * CHOOSE( CONTROL!$C$15, $D$11, 100%, $F$11)</f>
        <v>5.1192000000000002</v>
      </c>
      <c r="H89" s="4">
        <f>5.9999 * CHOOSE(CONTROL!$C$15, $D$11, 100%, $F$11)</f>
        <v>5.9999000000000002</v>
      </c>
      <c r="I89" s="8">
        <f>5.1332 * CHOOSE(CONTROL!$C$15, $D$11, 100%, $F$11)</f>
        <v>5.1332000000000004</v>
      </c>
      <c r="J89" s="4">
        <f>5.017 * CHOOSE(CONTROL!$C$15, $D$11, 100%, $F$11)</f>
        <v>5.0170000000000003</v>
      </c>
      <c r="K89" s="4"/>
      <c r="L89" s="9">
        <v>29.306000000000001</v>
      </c>
      <c r="M89" s="9">
        <v>12.063700000000001</v>
      </c>
      <c r="N89" s="9">
        <v>4.9444999999999997</v>
      </c>
      <c r="O89" s="9">
        <v>0.37409999999999999</v>
      </c>
      <c r="P89" s="9">
        <v>1.2927</v>
      </c>
      <c r="Q89" s="9">
        <v>33.011299999999999</v>
      </c>
      <c r="R89" s="9"/>
      <c r="S89" s="11"/>
    </row>
    <row r="90" spans="1:19" ht="15.75">
      <c r="A90" s="13">
        <v>44228</v>
      </c>
      <c r="B90" s="8">
        <f>4.916 * CHOOSE(CONTROL!$C$15, $D$11, 100%, $F$11)</f>
        <v>4.9160000000000004</v>
      </c>
      <c r="C90" s="8">
        <f>4.9212 * CHOOSE(CONTROL!$C$15, $D$11, 100%, $F$11)</f>
        <v>4.9211999999999998</v>
      </c>
      <c r="D90" s="8">
        <f>4.9076 * CHOOSE( CONTROL!$C$15, $D$11, 100%, $F$11)</f>
        <v>4.9076000000000004</v>
      </c>
      <c r="E90" s="12">
        <f>4.912 * CHOOSE( CONTROL!$C$15, $D$11, 100%, $F$11)</f>
        <v>4.9119999999999999</v>
      </c>
      <c r="F90" s="4">
        <f>5.5649 * CHOOSE(CONTROL!$C$15, $D$11, 100%, $F$11)</f>
        <v>5.5648999999999997</v>
      </c>
      <c r="G90" s="8">
        <f>4.7892 * CHOOSE( CONTROL!$C$15, $D$11, 100%, $F$11)</f>
        <v>4.7892000000000001</v>
      </c>
      <c r="H90" s="4">
        <f>5.67 * CHOOSE(CONTROL!$C$15, $D$11, 100%, $F$11)</f>
        <v>5.67</v>
      </c>
      <c r="I90" s="8">
        <f>4.8087 * CHOOSE(CONTROL!$C$15, $D$11, 100%, $F$11)</f>
        <v>4.8087</v>
      </c>
      <c r="J90" s="4">
        <f>4.6926 * CHOOSE(CONTROL!$C$15, $D$11, 100%, $F$11)</f>
        <v>4.6925999999999997</v>
      </c>
      <c r="K90" s="4"/>
      <c r="L90" s="9">
        <v>26.469899999999999</v>
      </c>
      <c r="M90" s="9">
        <v>10.8962</v>
      </c>
      <c r="N90" s="9">
        <v>4.4660000000000002</v>
      </c>
      <c r="O90" s="9">
        <v>0.33789999999999998</v>
      </c>
      <c r="P90" s="9">
        <v>1.1676</v>
      </c>
      <c r="Q90" s="9">
        <v>29.816600000000001</v>
      </c>
      <c r="R90" s="9"/>
      <c r="S90" s="11"/>
    </row>
    <row r="91" spans="1:19" ht="15.75">
      <c r="A91" s="13">
        <v>44256</v>
      </c>
      <c r="B91" s="8">
        <f>4.8119 * CHOOSE(CONTROL!$C$15, $D$11, 100%, $F$11)</f>
        <v>4.8118999999999996</v>
      </c>
      <c r="C91" s="8">
        <f>4.8171 * CHOOSE(CONTROL!$C$15, $D$11, 100%, $F$11)</f>
        <v>4.8170999999999999</v>
      </c>
      <c r="D91" s="8">
        <f>4.8033 * CHOOSE( CONTROL!$C$15, $D$11, 100%, $F$11)</f>
        <v>4.8033000000000001</v>
      </c>
      <c r="E91" s="12">
        <f>4.8078 * CHOOSE( CONTROL!$C$15, $D$11, 100%, $F$11)</f>
        <v>4.8078000000000003</v>
      </c>
      <c r="F91" s="4">
        <f>5.4608 * CHOOSE(CONTROL!$C$15, $D$11, 100%, $F$11)</f>
        <v>5.4607999999999999</v>
      </c>
      <c r="G91" s="8">
        <f>4.6874 * CHOOSE( CONTROL!$C$15, $D$11, 100%, $F$11)</f>
        <v>4.6874000000000002</v>
      </c>
      <c r="H91" s="4">
        <f>5.5684 * CHOOSE(CONTROL!$C$15, $D$11, 100%, $F$11)</f>
        <v>5.5683999999999996</v>
      </c>
      <c r="I91" s="8">
        <f>4.7077 * CHOOSE(CONTROL!$C$15, $D$11, 100%, $F$11)</f>
        <v>4.7077</v>
      </c>
      <c r="J91" s="4">
        <f>4.5928 * CHOOSE(CONTROL!$C$15, $D$11, 100%, $F$11)</f>
        <v>4.5928000000000004</v>
      </c>
      <c r="K91" s="4"/>
      <c r="L91" s="9">
        <v>29.306000000000001</v>
      </c>
      <c r="M91" s="9">
        <v>12.063700000000001</v>
      </c>
      <c r="N91" s="9">
        <v>4.9444999999999997</v>
      </c>
      <c r="O91" s="9">
        <v>0.37409999999999999</v>
      </c>
      <c r="P91" s="9">
        <v>1.2927</v>
      </c>
      <c r="Q91" s="9">
        <v>33.011299999999999</v>
      </c>
      <c r="R91" s="9"/>
      <c r="S91" s="11"/>
    </row>
    <row r="92" spans="1:19" ht="15.75">
      <c r="A92" s="13">
        <v>44287</v>
      </c>
      <c r="B92" s="8">
        <f>4.8854 * CHOOSE(CONTROL!$C$15, $D$11, 100%, $F$11)</f>
        <v>4.8853999999999997</v>
      </c>
      <c r="C92" s="8">
        <f>4.89 * CHOOSE(CONTROL!$C$15, $D$11, 100%, $F$11)</f>
        <v>4.8899999999999997</v>
      </c>
      <c r="D92" s="8">
        <f>4.9163 * CHOOSE( CONTROL!$C$15, $D$11, 100%, $F$11)</f>
        <v>4.9162999999999997</v>
      </c>
      <c r="E92" s="12">
        <f>4.9071 * CHOOSE( CONTROL!$C$15, $D$11, 100%, $F$11)</f>
        <v>4.9070999999999998</v>
      </c>
      <c r="F92" s="4">
        <f>5.5846 * CHOOSE(CONTROL!$C$15, $D$11, 100%, $F$11)</f>
        <v>5.5846</v>
      </c>
      <c r="G92" s="8">
        <f>4.7584 * CHOOSE( CONTROL!$C$15, $D$11, 100%, $F$11)</f>
        <v>4.7584</v>
      </c>
      <c r="H92" s="4">
        <f>5.6892 * CHOOSE(CONTROL!$C$15, $D$11, 100%, $F$11)</f>
        <v>5.6891999999999996</v>
      </c>
      <c r="I92" s="8">
        <f>4.7694 * CHOOSE(CONTROL!$C$15, $D$11, 100%, $F$11)</f>
        <v>4.7694000000000001</v>
      </c>
      <c r="J92" s="4">
        <f>4.6626 * CHOOSE(CONTROL!$C$15, $D$11, 100%, $F$11)</f>
        <v>4.6626000000000003</v>
      </c>
      <c r="K92" s="4"/>
      <c r="L92" s="9">
        <v>30.092199999999998</v>
      </c>
      <c r="M92" s="9">
        <v>11.6745</v>
      </c>
      <c r="N92" s="9">
        <v>4.7850000000000001</v>
      </c>
      <c r="O92" s="9">
        <v>0.36199999999999999</v>
      </c>
      <c r="P92" s="9">
        <v>1.1791</v>
      </c>
      <c r="Q92" s="9">
        <v>31.946400000000001</v>
      </c>
      <c r="R92" s="9"/>
      <c r="S92" s="11"/>
    </row>
    <row r="93" spans="1:19" ht="15.75">
      <c r="A93" s="13">
        <v>44317</v>
      </c>
      <c r="B93" s="8">
        <f>CHOOSE( CONTROL!$C$32, 5.021, 5.0162) * CHOOSE(CONTROL!$C$15, $D$11, 100%, $F$11)</f>
        <v>5.0209999999999999</v>
      </c>
      <c r="C93" s="8">
        <f>CHOOSE( CONTROL!$C$32, 5.0291, 5.0242) * CHOOSE(CONTROL!$C$15, $D$11, 100%, $F$11)</f>
        <v>5.0290999999999997</v>
      </c>
      <c r="D93" s="8">
        <f>CHOOSE( CONTROL!$C$32, 5.0504, 5.0456) * CHOOSE( CONTROL!$C$15, $D$11, 100%, $F$11)</f>
        <v>5.0503999999999998</v>
      </c>
      <c r="E93" s="12">
        <f>CHOOSE( CONTROL!$C$32, 5.0414, 5.0366) * CHOOSE( CONTROL!$C$15, $D$11, 100%, $F$11)</f>
        <v>5.0414000000000003</v>
      </c>
      <c r="F93" s="4">
        <f>CHOOSE( CONTROL!$C$32, 5.7188, 5.714) * CHOOSE(CONTROL!$C$15, $D$11, 100%, $F$11)</f>
        <v>5.7187999999999999</v>
      </c>
      <c r="G93" s="8">
        <f>CHOOSE( CONTROL!$C$32, 4.8905, 4.8858) * CHOOSE( CONTROL!$C$15, $D$11, 100%, $F$11)</f>
        <v>4.8905000000000003</v>
      </c>
      <c r="H93" s="4">
        <f>CHOOSE( CONTROL!$C$32, 5.8203, 5.8156) * CHOOSE(CONTROL!$C$15, $D$11, 100%, $F$11)</f>
        <v>5.8202999999999996</v>
      </c>
      <c r="I93" s="8">
        <f>CHOOSE( CONTROL!$C$32, 4.8983, 4.8937) * CHOOSE(CONTROL!$C$15, $D$11, 100%, $F$11)</f>
        <v>4.8982999999999999</v>
      </c>
      <c r="J93" s="4">
        <f>CHOOSE( CONTROL!$C$32, 4.7914, 4.7868) * CHOOSE(CONTROL!$C$15, $D$11, 100%, $F$11)</f>
        <v>4.7914000000000003</v>
      </c>
      <c r="K93" s="4"/>
      <c r="L93" s="9">
        <v>30.7165</v>
      </c>
      <c r="M93" s="9">
        <v>12.063700000000001</v>
      </c>
      <c r="N93" s="9">
        <v>4.9444999999999997</v>
      </c>
      <c r="O93" s="9">
        <v>0.37409999999999999</v>
      </c>
      <c r="P93" s="9">
        <v>1.2183999999999999</v>
      </c>
      <c r="Q93" s="9">
        <v>33.011299999999999</v>
      </c>
      <c r="R93" s="9"/>
      <c r="S93" s="11"/>
    </row>
    <row r="94" spans="1:19" ht="15.75">
      <c r="A94" s="13">
        <v>44348</v>
      </c>
      <c r="B94" s="8">
        <f>CHOOSE( CONTROL!$C$32, 4.9408, 4.936) * CHOOSE(CONTROL!$C$15, $D$11, 100%, $F$11)</f>
        <v>4.9408000000000003</v>
      </c>
      <c r="C94" s="8">
        <f>CHOOSE( CONTROL!$C$32, 4.9489, 4.9441) * CHOOSE(CONTROL!$C$15, $D$11, 100%, $F$11)</f>
        <v>4.9489000000000001</v>
      </c>
      <c r="D94" s="8">
        <f>CHOOSE( CONTROL!$C$32, 4.9704, 4.9656) * CHOOSE( CONTROL!$C$15, $D$11, 100%, $F$11)</f>
        <v>4.9703999999999997</v>
      </c>
      <c r="E94" s="12">
        <f>CHOOSE( CONTROL!$C$32, 4.9614, 4.9566) * CHOOSE( CONTROL!$C$15, $D$11, 100%, $F$11)</f>
        <v>4.9614000000000003</v>
      </c>
      <c r="F94" s="4">
        <f>CHOOSE( CONTROL!$C$32, 5.6386, 5.6338) * CHOOSE(CONTROL!$C$15, $D$11, 100%, $F$11)</f>
        <v>5.6386000000000003</v>
      </c>
      <c r="G94" s="8">
        <f>CHOOSE( CONTROL!$C$32, 4.8125, 4.8078) * CHOOSE( CONTROL!$C$15, $D$11, 100%, $F$11)</f>
        <v>4.8125</v>
      </c>
      <c r="H94" s="4">
        <f>CHOOSE( CONTROL!$C$32, 5.742, 5.7373) * CHOOSE(CONTROL!$C$15, $D$11, 100%, $F$11)</f>
        <v>5.742</v>
      </c>
      <c r="I94" s="8">
        <f>CHOOSE( CONTROL!$C$32, 4.8223, 4.8176) * CHOOSE(CONTROL!$C$15, $D$11, 100%, $F$11)</f>
        <v>4.8223000000000003</v>
      </c>
      <c r="J94" s="4">
        <f>CHOOSE( CONTROL!$C$32, 4.7145, 4.7098) * CHOOSE(CONTROL!$C$15, $D$11, 100%, $F$11)</f>
        <v>4.7145000000000001</v>
      </c>
      <c r="K94" s="4"/>
      <c r="L94" s="9">
        <v>29.7257</v>
      </c>
      <c r="M94" s="9">
        <v>11.6745</v>
      </c>
      <c r="N94" s="9">
        <v>4.7850000000000001</v>
      </c>
      <c r="O94" s="9">
        <v>0.36199999999999999</v>
      </c>
      <c r="P94" s="9">
        <v>1.1791</v>
      </c>
      <c r="Q94" s="9">
        <v>31.946400000000001</v>
      </c>
      <c r="R94" s="9"/>
      <c r="S94" s="11"/>
    </row>
    <row r="95" spans="1:19" ht="15.75">
      <c r="A95" s="13">
        <v>44378</v>
      </c>
      <c r="B95" s="8">
        <f>CHOOSE( CONTROL!$C$32, 5.1519, 5.1471) * CHOOSE(CONTROL!$C$15, $D$11, 100%, $F$11)</f>
        <v>5.1519000000000004</v>
      </c>
      <c r="C95" s="8">
        <f>CHOOSE( CONTROL!$C$32, 5.16, 5.1552) * CHOOSE(CONTROL!$C$15, $D$11, 100%, $F$11)</f>
        <v>5.16</v>
      </c>
      <c r="D95" s="8">
        <f>CHOOSE( CONTROL!$C$32, 5.1818, 5.1769) * CHOOSE( CONTROL!$C$15, $D$11, 100%, $F$11)</f>
        <v>5.1818</v>
      </c>
      <c r="E95" s="12">
        <f>CHOOSE( CONTROL!$C$32, 5.1727, 5.1678) * CHOOSE( CONTROL!$C$15, $D$11, 100%, $F$11)</f>
        <v>5.1726999999999999</v>
      </c>
      <c r="F95" s="4">
        <f>CHOOSE( CONTROL!$C$32, 5.8497, 5.8449) * CHOOSE(CONTROL!$C$15, $D$11, 100%, $F$11)</f>
        <v>5.8497000000000003</v>
      </c>
      <c r="G95" s="8">
        <f>CHOOSE( CONTROL!$C$32, 5.019, 5.0143) * CHOOSE( CONTROL!$C$15, $D$11, 100%, $F$11)</f>
        <v>5.0190000000000001</v>
      </c>
      <c r="H95" s="4">
        <f>CHOOSE( CONTROL!$C$32, 5.9482, 5.9435) * CHOOSE(CONTROL!$C$15, $D$11, 100%, $F$11)</f>
        <v>5.9481999999999999</v>
      </c>
      <c r="I95" s="8">
        <f>CHOOSE( CONTROL!$C$32, 5.0261, 5.0215) * CHOOSE(CONTROL!$C$15, $D$11, 100%, $F$11)</f>
        <v>5.0260999999999996</v>
      </c>
      <c r="J95" s="4">
        <f>CHOOSE( CONTROL!$C$32, 4.9171, 4.9125) * CHOOSE(CONTROL!$C$15, $D$11, 100%, $F$11)</f>
        <v>4.9170999999999996</v>
      </c>
      <c r="K95" s="4"/>
      <c r="L95" s="9">
        <v>30.7165</v>
      </c>
      <c r="M95" s="9">
        <v>12.063700000000001</v>
      </c>
      <c r="N95" s="9">
        <v>4.9444999999999997</v>
      </c>
      <c r="O95" s="9">
        <v>0.37409999999999999</v>
      </c>
      <c r="P95" s="9">
        <v>1.2183999999999999</v>
      </c>
      <c r="Q95" s="9">
        <v>33.011299999999999</v>
      </c>
      <c r="R95" s="9"/>
      <c r="S95" s="11"/>
    </row>
    <row r="96" spans="1:19" ht="15.75">
      <c r="A96" s="13">
        <v>44409</v>
      </c>
      <c r="B96" s="8">
        <f>CHOOSE( CONTROL!$C$32, 4.757, 4.7521) * CHOOSE(CONTROL!$C$15, $D$11, 100%, $F$11)</f>
        <v>4.7569999999999997</v>
      </c>
      <c r="C96" s="8">
        <f>CHOOSE( CONTROL!$C$32, 4.765, 4.7602) * CHOOSE(CONTROL!$C$15, $D$11, 100%, $F$11)</f>
        <v>4.7649999999999997</v>
      </c>
      <c r="D96" s="8">
        <f>CHOOSE( CONTROL!$C$32, 4.7868, 4.782) * CHOOSE( CONTROL!$C$15, $D$11, 100%, $F$11)</f>
        <v>4.7868000000000004</v>
      </c>
      <c r="E96" s="12">
        <f>CHOOSE( CONTROL!$C$32, 4.7777, 4.7729) * CHOOSE( CONTROL!$C$15, $D$11, 100%, $F$11)</f>
        <v>4.7777000000000003</v>
      </c>
      <c r="F96" s="4">
        <f>CHOOSE( CONTROL!$C$32, 5.4548, 5.4499) * CHOOSE(CONTROL!$C$15, $D$11, 100%, $F$11)</f>
        <v>5.4547999999999996</v>
      </c>
      <c r="G96" s="8">
        <f>CHOOSE( CONTROL!$C$32, 4.6333, 4.6286) * CHOOSE( CONTROL!$C$15, $D$11, 100%, $F$11)</f>
        <v>4.6333000000000002</v>
      </c>
      <c r="H96" s="4">
        <f>CHOOSE( CONTROL!$C$32, 5.5625, 5.5577) * CHOOSE(CONTROL!$C$15, $D$11, 100%, $F$11)</f>
        <v>5.5625</v>
      </c>
      <c r="I96" s="8">
        <f>CHOOSE( CONTROL!$C$32, 4.647, 4.6424) * CHOOSE(CONTROL!$C$15, $D$11, 100%, $F$11)</f>
        <v>4.6470000000000002</v>
      </c>
      <c r="J96" s="4">
        <f>CHOOSE( CONTROL!$C$32, 4.5379, 4.5333) * CHOOSE(CONTROL!$C$15, $D$11, 100%, $F$11)</f>
        <v>4.5378999999999996</v>
      </c>
      <c r="K96" s="4"/>
      <c r="L96" s="9">
        <v>30.7165</v>
      </c>
      <c r="M96" s="9">
        <v>12.063700000000001</v>
      </c>
      <c r="N96" s="9">
        <v>4.9444999999999997</v>
      </c>
      <c r="O96" s="9">
        <v>0.37409999999999999</v>
      </c>
      <c r="P96" s="9">
        <v>1.2183999999999999</v>
      </c>
      <c r="Q96" s="9">
        <v>33.011299999999999</v>
      </c>
      <c r="R96" s="9"/>
      <c r="S96" s="11"/>
    </row>
    <row r="97" spans="1:19" ht="15.75">
      <c r="A97" s="13">
        <v>44440</v>
      </c>
      <c r="B97" s="8">
        <f>CHOOSE( CONTROL!$C$32, 4.6581, 4.6532) * CHOOSE(CONTROL!$C$15, $D$11, 100%, $F$11)</f>
        <v>4.6581000000000001</v>
      </c>
      <c r="C97" s="8">
        <f>CHOOSE( CONTROL!$C$32, 4.6661, 4.6613) * CHOOSE(CONTROL!$C$15, $D$11, 100%, $F$11)</f>
        <v>4.6661000000000001</v>
      </c>
      <c r="D97" s="8">
        <f>CHOOSE( CONTROL!$C$32, 4.6879, 4.6831) * CHOOSE( CONTROL!$C$15, $D$11, 100%, $F$11)</f>
        <v>4.6879</v>
      </c>
      <c r="E97" s="12">
        <f>CHOOSE( CONTROL!$C$32, 4.6788, 4.674) * CHOOSE( CONTROL!$C$15, $D$11, 100%, $F$11)</f>
        <v>4.6787999999999998</v>
      </c>
      <c r="F97" s="4">
        <f>CHOOSE( CONTROL!$C$32, 5.3559, 5.351) * CHOOSE(CONTROL!$C$15, $D$11, 100%, $F$11)</f>
        <v>5.3559000000000001</v>
      </c>
      <c r="G97" s="8">
        <f>CHOOSE( CONTROL!$C$32, 4.5367, 4.532) * CHOOSE( CONTROL!$C$15, $D$11, 100%, $F$11)</f>
        <v>4.5366999999999997</v>
      </c>
      <c r="H97" s="4">
        <f>CHOOSE( CONTROL!$C$32, 5.4659, 5.4611) * CHOOSE(CONTROL!$C$15, $D$11, 100%, $F$11)</f>
        <v>5.4659000000000004</v>
      </c>
      <c r="I97" s="8">
        <f>CHOOSE( CONTROL!$C$32, 4.5519, 4.5473) * CHOOSE(CONTROL!$C$15, $D$11, 100%, $F$11)</f>
        <v>4.5518999999999998</v>
      </c>
      <c r="J97" s="4">
        <f>CHOOSE( CONTROL!$C$32, 4.443, 4.4383) * CHOOSE(CONTROL!$C$15, $D$11, 100%, $F$11)</f>
        <v>4.4429999999999996</v>
      </c>
      <c r="K97" s="4"/>
      <c r="L97" s="9">
        <v>29.7257</v>
      </c>
      <c r="M97" s="9">
        <v>11.6745</v>
      </c>
      <c r="N97" s="9">
        <v>4.7850000000000001</v>
      </c>
      <c r="O97" s="9">
        <v>0.36199999999999999</v>
      </c>
      <c r="P97" s="9">
        <v>1.1791</v>
      </c>
      <c r="Q97" s="9">
        <v>31.946400000000001</v>
      </c>
      <c r="R97" s="9"/>
      <c r="S97" s="11"/>
    </row>
    <row r="98" spans="1:19" ht="15.75">
      <c r="A98" s="13">
        <v>44470</v>
      </c>
      <c r="B98" s="8">
        <f>4.8569 * CHOOSE(CONTROL!$C$15, $D$11, 100%, $F$11)</f>
        <v>4.8569000000000004</v>
      </c>
      <c r="C98" s="8">
        <f>4.8623 * CHOOSE(CONTROL!$C$15, $D$11, 100%, $F$11)</f>
        <v>4.8623000000000003</v>
      </c>
      <c r="D98" s="8">
        <f>4.8887 * CHOOSE( CONTROL!$C$15, $D$11, 100%, $F$11)</f>
        <v>4.8887</v>
      </c>
      <c r="E98" s="12">
        <f>4.8794 * CHOOSE( CONTROL!$C$15, $D$11, 100%, $F$11)</f>
        <v>4.8794000000000004</v>
      </c>
      <c r="F98" s="4">
        <f>5.5564 * CHOOSE(CONTROL!$C$15, $D$11, 100%, $F$11)</f>
        <v>5.5564</v>
      </c>
      <c r="G98" s="8">
        <f>4.7318 * CHOOSE( CONTROL!$C$15, $D$11, 100%, $F$11)</f>
        <v>4.7317999999999998</v>
      </c>
      <c r="H98" s="4">
        <f>5.6617 * CHOOSE(CONTROL!$C$15, $D$11, 100%, $F$11)</f>
        <v>5.6616999999999997</v>
      </c>
      <c r="I98" s="8">
        <f>4.7453 * CHOOSE(CONTROL!$C$15, $D$11, 100%, $F$11)</f>
        <v>4.7453000000000003</v>
      </c>
      <c r="J98" s="4">
        <f>4.6355 * CHOOSE(CONTROL!$C$15, $D$11, 100%, $F$11)</f>
        <v>4.6355000000000004</v>
      </c>
      <c r="K98" s="4"/>
      <c r="L98" s="9">
        <v>31.095300000000002</v>
      </c>
      <c r="M98" s="9">
        <v>12.063700000000001</v>
      </c>
      <c r="N98" s="9">
        <v>4.9444999999999997</v>
      </c>
      <c r="O98" s="9">
        <v>0.37409999999999999</v>
      </c>
      <c r="P98" s="9">
        <v>1.2183999999999999</v>
      </c>
      <c r="Q98" s="9">
        <v>33.011299999999999</v>
      </c>
      <c r="R98" s="9"/>
      <c r="S98" s="11"/>
    </row>
    <row r="99" spans="1:19" ht="15.75">
      <c r="A99" s="13">
        <v>44501</v>
      </c>
      <c r="B99" s="8">
        <f>5.2355 * CHOOSE(CONTROL!$C$15, $D$11, 100%, $F$11)</f>
        <v>5.2355</v>
      </c>
      <c r="C99" s="8">
        <f>5.2407 * CHOOSE(CONTROL!$C$15, $D$11, 100%, $F$11)</f>
        <v>5.2407000000000004</v>
      </c>
      <c r="D99" s="8">
        <f>5.2299 * CHOOSE( CONTROL!$C$15, $D$11, 100%, $F$11)</f>
        <v>5.2298999999999998</v>
      </c>
      <c r="E99" s="12">
        <f>5.2333 * CHOOSE( CONTROL!$C$15, $D$11, 100%, $F$11)</f>
        <v>5.2332999999999998</v>
      </c>
      <c r="F99" s="4">
        <f>5.8844 * CHOOSE(CONTROL!$C$15, $D$11, 100%, $F$11)</f>
        <v>5.8844000000000003</v>
      </c>
      <c r="G99" s="8">
        <f>5.1066 * CHOOSE( CONTROL!$C$15, $D$11, 100%, $F$11)</f>
        <v>5.1066000000000003</v>
      </c>
      <c r="H99" s="4">
        <f>5.9821 * CHOOSE(CONTROL!$C$15, $D$11, 100%, $F$11)</f>
        <v>5.9821</v>
      </c>
      <c r="I99" s="8">
        <f>5.135 * CHOOSE(CONTROL!$C$15, $D$11, 100%, $F$11)</f>
        <v>5.1349999999999998</v>
      </c>
      <c r="J99" s="4">
        <f>4.9994 * CHOOSE(CONTROL!$C$15, $D$11, 100%, $F$11)</f>
        <v>4.9993999999999996</v>
      </c>
      <c r="K99" s="4"/>
      <c r="L99" s="9">
        <v>28.360600000000002</v>
      </c>
      <c r="M99" s="9">
        <v>11.6745</v>
      </c>
      <c r="N99" s="9">
        <v>4.7850000000000001</v>
      </c>
      <c r="O99" s="9">
        <v>0.36199999999999999</v>
      </c>
      <c r="P99" s="9">
        <v>1.2509999999999999</v>
      </c>
      <c r="Q99" s="9">
        <v>31.946400000000001</v>
      </c>
      <c r="R99" s="9"/>
      <c r="S99" s="11"/>
    </row>
    <row r="100" spans="1:19" ht="15.75">
      <c r="A100" s="13">
        <v>44531</v>
      </c>
      <c r="B100" s="8">
        <f>5.226 * CHOOSE(CONTROL!$C$15, $D$11, 100%, $F$11)</f>
        <v>5.226</v>
      </c>
      <c r="C100" s="8">
        <f>5.2312 * CHOOSE(CONTROL!$C$15, $D$11, 100%, $F$11)</f>
        <v>5.2312000000000003</v>
      </c>
      <c r="D100" s="8">
        <f>5.2218 * CHOOSE( CONTROL!$C$15, $D$11, 100%, $F$11)</f>
        <v>5.2218</v>
      </c>
      <c r="E100" s="12">
        <f>5.2247 * CHOOSE( CONTROL!$C$15, $D$11, 100%, $F$11)</f>
        <v>5.2247000000000003</v>
      </c>
      <c r="F100" s="4">
        <f>5.8749 * CHOOSE(CONTROL!$C$15, $D$11, 100%, $F$11)</f>
        <v>5.8749000000000002</v>
      </c>
      <c r="G100" s="8">
        <f>5.0983 * CHOOSE( CONTROL!$C$15, $D$11, 100%, $F$11)</f>
        <v>5.0983000000000001</v>
      </c>
      <c r="H100" s="4">
        <f>5.9728 * CHOOSE(CONTROL!$C$15, $D$11, 100%, $F$11)</f>
        <v>5.9728000000000003</v>
      </c>
      <c r="I100" s="8">
        <f>5.1302 * CHOOSE(CONTROL!$C$15, $D$11, 100%, $F$11)</f>
        <v>5.1302000000000003</v>
      </c>
      <c r="J100" s="4">
        <f>4.9903 * CHOOSE(CONTROL!$C$15, $D$11, 100%, $F$11)</f>
        <v>4.9903000000000004</v>
      </c>
      <c r="K100" s="4"/>
      <c r="L100" s="9">
        <v>29.306000000000001</v>
      </c>
      <c r="M100" s="9">
        <v>12.063700000000001</v>
      </c>
      <c r="N100" s="9">
        <v>4.9444999999999997</v>
      </c>
      <c r="O100" s="9">
        <v>0.37409999999999999</v>
      </c>
      <c r="P100" s="9">
        <v>1.2927</v>
      </c>
      <c r="Q100" s="9">
        <v>33.011299999999999</v>
      </c>
      <c r="R100" s="9"/>
      <c r="S100" s="11"/>
    </row>
    <row r="101" spans="1:19" ht="15.75">
      <c r="A101" s="13">
        <v>44562</v>
      </c>
      <c r="B101" s="8">
        <f>5.4883 * CHOOSE(CONTROL!$C$15, $D$11, 100%, $F$11)</f>
        <v>5.4882999999999997</v>
      </c>
      <c r="C101" s="8">
        <f>5.4935 * CHOOSE(CONTROL!$C$15, $D$11, 100%, $F$11)</f>
        <v>5.4935</v>
      </c>
      <c r="D101" s="8">
        <f>5.48 * CHOOSE( CONTROL!$C$15, $D$11, 100%, $F$11)</f>
        <v>5.48</v>
      </c>
      <c r="E101" s="12">
        <f>5.4844 * CHOOSE( CONTROL!$C$15, $D$11, 100%, $F$11)</f>
        <v>5.4843999999999999</v>
      </c>
      <c r="F101" s="4">
        <f>6.1372 * CHOOSE(CONTROL!$C$15, $D$11, 100%, $F$11)</f>
        <v>6.1372</v>
      </c>
      <c r="G101" s="8">
        <f>5.3482 * CHOOSE( CONTROL!$C$15, $D$11, 100%, $F$11)</f>
        <v>5.3482000000000003</v>
      </c>
      <c r="H101" s="4">
        <f>6.229 * CHOOSE(CONTROL!$C$15, $D$11, 100%, $F$11)</f>
        <v>6.2290000000000001</v>
      </c>
      <c r="I101" s="8">
        <f>5.3585 * CHOOSE(CONTROL!$C$15, $D$11, 100%, $F$11)</f>
        <v>5.3585000000000003</v>
      </c>
      <c r="J101" s="4">
        <f>5.2421 * CHOOSE(CONTROL!$C$15, $D$11, 100%, $F$11)</f>
        <v>5.2420999999999998</v>
      </c>
      <c r="K101" s="4"/>
      <c r="L101" s="9">
        <v>29.306000000000001</v>
      </c>
      <c r="M101" s="9">
        <v>12.063700000000001</v>
      </c>
      <c r="N101" s="9">
        <v>4.9444999999999997</v>
      </c>
      <c r="O101" s="9">
        <v>0.37409999999999999</v>
      </c>
      <c r="P101" s="9">
        <v>1.2927</v>
      </c>
      <c r="Q101" s="9">
        <v>32.8123</v>
      </c>
      <c r="R101" s="9"/>
      <c r="S101" s="11"/>
    </row>
    <row r="102" spans="1:19" ht="15.75">
      <c r="A102" s="13">
        <v>44593</v>
      </c>
      <c r="B102" s="8">
        <f>5.1353 * CHOOSE(CONTROL!$C$15, $D$11, 100%, $F$11)</f>
        <v>5.1353</v>
      </c>
      <c r="C102" s="8">
        <f>5.1405 * CHOOSE(CONTROL!$C$15, $D$11, 100%, $F$11)</f>
        <v>5.1405000000000003</v>
      </c>
      <c r="D102" s="8">
        <f>5.127 * CHOOSE( CONTROL!$C$15, $D$11, 100%, $F$11)</f>
        <v>5.1269999999999998</v>
      </c>
      <c r="E102" s="12">
        <f>5.1314 * CHOOSE( CONTROL!$C$15, $D$11, 100%, $F$11)</f>
        <v>5.1314000000000002</v>
      </c>
      <c r="F102" s="4">
        <f>5.7842 * CHOOSE(CONTROL!$C$15, $D$11, 100%, $F$11)</f>
        <v>5.7842000000000002</v>
      </c>
      <c r="G102" s="8">
        <f>5.0035 * CHOOSE( CONTROL!$C$15, $D$11, 100%, $F$11)</f>
        <v>5.0034999999999998</v>
      </c>
      <c r="H102" s="4">
        <f>5.8842 * CHOOSE(CONTROL!$C$15, $D$11, 100%, $F$11)</f>
        <v>5.8841999999999999</v>
      </c>
      <c r="I102" s="8">
        <f>5.0194 * CHOOSE(CONTROL!$C$15, $D$11, 100%, $F$11)</f>
        <v>5.0194000000000001</v>
      </c>
      <c r="J102" s="4">
        <f>4.9032 * CHOOSE(CONTROL!$C$15, $D$11, 100%, $F$11)</f>
        <v>4.9032</v>
      </c>
      <c r="K102" s="4"/>
      <c r="L102" s="9">
        <v>26.469899999999999</v>
      </c>
      <c r="M102" s="9">
        <v>10.8962</v>
      </c>
      <c r="N102" s="9">
        <v>4.4660000000000002</v>
      </c>
      <c r="O102" s="9">
        <v>0.33789999999999998</v>
      </c>
      <c r="P102" s="9">
        <v>1.1676</v>
      </c>
      <c r="Q102" s="9">
        <v>29.636900000000001</v>
      </c>
      <c r="R102" s="9"/>
      <c r="S102" s="11"/>
    </row>
    <row r="103" spans="1:19" ht="15.75">
      <c r="A103" s="13">
        <v>44621</v>
      </c>
      <c r="B103" s="8">
        <f>5.0266 * CHOOSE(CONTROL!$C$15, $D$11, 100%, $F$11)</f>
        <v>5.0266000000000002</v>
      </c>
      <c r="C103" s="8">
        <f>5.0318 * CHOOSE(CONTROL!$C$15, $D$11, 100%, $F$11)</f>
        <v>5.0317999999999996</v>
      </c>
      <c r="D103" s="8">
        <f>5.018 * CHOOSE( CONTROL!$C$15, $D$11, 100%, $F$11)</f>
        <v>5.0179999999999998</v>
      </c>
      <c r="E103" s="12">
        <f>5.0225 * CHOOSE( CONTROL!$C$15, $D$11, 100%, $F$11)</f>
        <v>5.0225</v>
      </c>
      <c r="F103" s="4">
        <f>5.6755 * CHOOSE(CONTROL!$C$15, $D$11, 100%, $F$11)</f>
        <v>5.6755000000000004</v>
      </c>
      <c r="G103" s="8">
        <f>4.897 * CHOOSE( CONTROL!$C$15, $D$11, 100%, $F$11)</f>
        <v>4.8970000000000002</v>
      </c>
      <c r="H103" s="4">
        <f>5.7781 * CHOOSE(CONTROL!$C$15, $D$11, 100%, $F$11)</f>
        <v>5.7781000000000002</v>
      </c>
      <c r="I103" s="8">
        <f>4.9139 * CHOOSE(CONTROL!$C$15, $D$11, 100%, $F$11)</f>
        <v>4.9138999999999999</v>
      </c>
      <c r="J103" s="4">
        <f>4.7989 * CHOOSE(CONTROL!$C$15, $D$11, 100%, $F$11)</f>
        <v>4.7988999999999997</v>
      </c>
      <c r="K103" s="4"/>
      <c r="L103" s="9">
        <v>29.306000000000001</v>
      </c>
      <c r="M103" s="9">
        <v>12.063700000000001</v>
      </c>
      <c r="N103" s="9">
        <v>4.9444999999999997</v>
      </c>
      <c r="O103" s="9">
        <v>0.37409999999999999</v>
      </c>
      <c r="P103" s="9">
        <v>1.2927</v>
      </c>
      <c r="Q103" s="9">
        <v>32.8123</v>
      </c>
      <c r="R103" s="9"/>
      <c r="S103" s="11"/>
    </row>
    <row r="104" spans="1:19" ht="15.75">
      <c r="A104" s="13">
        <v>44652</v>
      </c>
      <c r="B104" s="8">
        <f>5.1033 * CHOOSE(CONTROL!$C$15, $D$11, 100%, $F$11)</f>
        <v>5.1032999999999999</v>
      </c>
      <c r="C104" s="8">
        <f>5.108 * CHOOSE(CONTROL!$C$15, $D$11, 100%, $F$11)</f>
        <v>5.1079999999999997</v>
      </c>
      <c r="D104" s="8">
        <f>5.1343 * CHOOSE( CONTROL!$C$15, $D$11, 100%, $F$11)</f>
        <v>5.1342999999999996</v>
      </c>
      <c r="E104" s="12">
        <f>5.1251 * CHOOSE( CONTROL!$C$15, $D$11, 100%, $F$11)</f>
        <v>5.1250999999999998</v>
      </c>
      <c r="F104" s="4">
        <f>5.8025 * CHOOSE(CONTROL!$C$15, $D$11, 100%, $F$11)</f>
        <v>5.8025000000000002</v>
      </c>
      <c r="G104" s="8">
        <f>4.9713 * CHOOSE( CONTROL!$C$15, $D$11, 100%, $F$11)</f>
        <v>4.9713000000000003</v>
      </c>
      <c r="H104" s="4">
        <f>5.9021 * CHOOSE(CONTROL!$C$15, $D$11, 100%, $F$11)</f>
        <v>5.9020999999999999</v>
      </c>
      <c r="I104" s="8">
        <f>4.9788 * CHOOSE(CONTROL!$C$15, $D$11, 100%, $F$11)</f>
        <v>4.9787999999999997</v>
      </c>
      <c r="J104" s="4">
        <f>4.8718 * CHOOSE(CONTROL!$C$15, $D$11, 100%, $F$11)</f>
        <v>4.8718000000000004</v>
      </c>
      <c r="K104" s="4"/>
      <c r="L104" s="9">
        <v>30.092199999999998</v>
      </c>
      <c r="M104" s="9">
        <v>11.6745</v>
      </c>
      <c r="N104" s="9">
        <v>4.7850000000000001</v>
      </c>
      <c r="O104" s="9">
        <v>0.36199999999999999</v>
      </c>
      <c r="P104" s="9">
        <v>1.1791</v>
      </c>
      <c r="Q104" s="9">
        <v>31.753799999999998</v>
      </c>
      <c r="R104" s="9"/>
      <c r="S104" s="11"/>
    </row>
    <row r="105" spans="1:19" ht="15.75">
      <c r="A105" s="13">
        <v>44682</v>
      </c>
      <c r="B105" s="8">
        <f>CHOOSE( CONTROL!$C$32, 5.2447, 5.2399) * CHOOSE(CONTROL!$C$15, $D$11, 100%, $F$11)</f>
        <v>5.2446999999999999</v>
      </c>
      <c r="C105" s="8">
        <f>CHOOSE( CONTROL!$C$32, 5.2528, 5.248) * CHOOSE(CONTROL!$C$15, $D$11, 100%, $F$11)</f>
        <v>5.2527999999999997</v>
      </c>
      <c r="D105" s="8">
        <f>CHOOSE( CONTROL!$C$32, 5.2741, 5.2693) * CHOOSE( CONTROL!$C$15, $D$11, 100%, $F$11)</f>
        <v>5.2740999999999998</v>
      </c>
      <c r="E105" s="12">
        <f>CHOOSE( CONTROL!$C$32, 5.2651, 5.2603) * CHOOSE( CONTROL!$C$15, $D$11, 100%, $F$11)</f>
        <v>5.2651000000000003</v>
      </c>
      <c r="F105" s="4">
        <f>CHOOSE( CONTROL!$C$32, 5.9426, 5.9377) * CHOOSE(CONTROL!$C$15, $D$11, 100%, $F$11)</f>
        <v>5.9425999999999997</v>
      </c>
      <c r="G105" s="8">
        <f>CHOOSE( CONTROL!$C$32, 5.109, 5.1043) * CHOOSE( CONTROL!$C$15, $D$11, 100%, $F$11)</f>
        <v>5.109</v>
      </c>
      <c r="H105" s="4">
        <f>CHOOSE( CONTROL!$C$32, 6.0389, 6.0342) * CHOOSE(CONTROL!$C$15, $D$11, 100%, $F$11)</f>
        <v>6.0388999999999999</v>
      </c>
      <c r="I105" s="8">
        <f>CHOOSE( CONTROL!$C$32, 5.1133, 5.1086) * CHOOSE(CONTROL!$C$15, $D$11, 100%, $F$11)</f>
        <v>5.1132999999999997</v>
      </c>
      <c r="J105" s="4">
        <f>CHOOSE( CONTROL!$C$32, 5.0063, 5.0016) * CHOOSE(CONTROL!$C$15, $D$11, 100%, $F$11)</f>
        <v>5.0063000000000004</v>
      </c>
      <c r="K105" s="4"/>
      <c r="L105" s="9">
        <v>30.7165</v>
      </c>
      <c r="M105" s="9">
        <v>12.063700000000001</v>
      </c>
      <c r="N105" s="9">
        <v>4.9444999999999997</v>
      </c>
      <c r="O105" s="9">
        <v>0.37409999999999999</v>
      </c>
      <c r="P105" s="9">
        <v>1.2183999999999999</v>
      </c>
      <c r="Q105" s="9">
        <v>32.8123</v>
      </c>
      <c r="R105" s="9"/>
      <c r="S105" s="11"/>
    </row>
    <row r="106" spans="1:19" ht="15.75">
      <c r="A106" s="13">
        <v>44713</v>
      </c>
      <c r="B106" s="8">
        <f>CHOOSE( CONTROL!$C$32, 5.161, 5.1562) * CHOOSE(CONTROL!$C$15, $D$11, 100%, $F$11)</f>
        <v>5.1609999999999996</v>
      </c>
      <c r="C106" s="8">
        <f>CHOOSE( CONTROL!$C$32, 5.1691, 5.1642) * CHOOSE(CONTROL!$C$15, $D$11, 100%, $F$11)</f>
        <v>5.1691000000000003</v>
      </c>
      <c r="D106" s="8">
        <f>CHOOSE( CONTROL!$C$32, 5.1906, 5.1857) * CHOOSE( CONTROL!$C$15, $D$11, 100%, $F$11)</f>
        <v>5.1905999999999999</v>
      </c>
      <c r="E106" s="12">
        <f>CHOOSE( CONTROL!$C$32, 5.1816, 5.1767) * CHOOSE( CONTROL!$C$15, $D$11, 100%, $F$11)</f>
        <v>5.1816000000000004</v>
      </c>
      <c r="F106" s="4">
        <f>CHOOSE( CONTROL!$C$32, 5.8588, 5.854) * CHOOSE(CONTROL!$C$15, $D$11, 100%, $F$11)</f>
        <v>5.8587999999999996</v>
      </c>
      <c r="G106" s="8">
        <f>CHOOSE( CONTROL!$C$32, 5.0275, 5.0228) * CHOOSE( CONTROL!$C$15, $D$11, 100%, $F$11)</f>
        <v>5.0274999999999999</v>
      </c>
      <c r="H106" s="4">
        <f>CHOOSE( CONTROL!$C$32, 5.9571, 5.9524) * CHOOSE(CONTROL!$C$15, $D$11, 100%, $F$11)</f>
        <v>5.9570999999999996</v>
      </c>
      <c r="I106" s="8">
        <f>CHOOSE( CONTROL!$C$32, 5.0337, 5.0291) * CHOOSE(CONTROL!$C$15, $D$11, 100%, $F$11)</f>
        <v>5.0336999999999996</v>
      </c>
      <c r="J106" s="4">
        <f>CHOOSE( CONTROL!$C$32, 4.9258, 4.9212) * CHOOSE(CONTROL!$C$15, $D$11, 100%, $F$11)</f>
        <v>4.9257999999999997</v>
      </c>
      <c r="K106" s="4"/>
      <c r="L106" s="9">
        <v>29.7257</v>
      </c>
      <c r="M106" s="9">
        <v>11.6745</v>
      </c>
      <c r="N106" s="9">
        <v>4.7850000000000001</v>
      </c>
      <c r="O106" s="9">
        <v>0.36199999999999999</v>
      </c>
      <c r="P106" s="9">
        <v>1.1791</v>
      </c>
      <c r="Q106" s="9">
        <v>31.753799999999998</v>
      </c>
      <c r="R106" s="9"/>
      <c r="S106" s="11"/>
    </row>
    <row r="107" spans="1:19" ht="15.75">
      <c r="A107" s="13">
        <v>44743</v>
      </c>
      <c r="B107" s="8">
        <f>CHOOSE( CONTROL!$C$32, 5.3816, 5.3767) * CHOOSE(CONTROL!$C$15, $D$11, 100%, $F$11)</f>
        <v>5.3815999999999997</v>
      </c>
      <c r="C107" s="8">
        <f>CHOOSE( CONTROL!$C$32, 5.3896, 5.3848) * CHOOSE(CONTROL!$C$15, $D$11, 100%, $F$11)</f>
        <v>5.3895999999999997</v>
      </c>
      <c r="D107" s="8">
        <f>CHOOSE( CONTROL!$C$32, 5.4114, 5.4065) * CHOOSE( CONTROL!$C$15, $D$11, 100%, $F$11)</f>
        <v>5.4114000000000004</v>
      </c>
      <c r="E107" s="12">
        <f>CHOOSE( CONTROL!$C$32, 5.4023, 5.3974) * CHOOSE( CONTROL!$C$15, $D$11, 100%, $F$11)</f>
        <v>5.4023000000000003</v>
      </c>
      <c r="F107" s="4">
        <f>CHOOSE( CONTROL!$C$32, 6.0794, 6.0745) * CHOOSE(CONTROL!$C$15, $D$11, 100%, $F$11)</f>
        <v>6.0793999999999997</v>
      </c>
      <c r="G107" s="8">
        <f>CHOOSE( CONTROL!$C$32, 5.2433, 5.2386) * CHOOSE( CONTROL!$C$15, $D$11, 100%, $F$11)</f>
        <v>5.2432999999999996</v>
      </c>
      <c r="H107" s="4">
        <f>CHOOSE( CONTROL!$C$32, 6.1725, 6.1678) * CHOOSE(CONTROL!$C$15, $D$11, 100%, $F$11)</f>
        <v>6.1725000000000003</v>
      </c>
      <c r="I107" s="8">
        <f>CHOOSE( CONTROL!$C$32, 5.2467, 5.2421) * CHOOSE(CONTROL!$C$15, $D$11, 100%, $F$11)</f>
        <v>5.2466999999999997</v>
      </c>
      <c r="J107" s="4">
        <f>CHOOSE( CONTROL!$C$32, 5.1376, 5.133) * CHOOSE(CONTROL!$C$15, $D$11, 100%, $F$11)</f>
        <v>5.1375999999999999</v>
      </c>
      <c r="K107" s="4"/>
      <c r="L107" s="9">
        <v>30.7165</v>
      </c>
      <c r="M107" s="9">
        <v>12.063700000000001</v>
      </c>
      <c r="N107" s="9">
        <v>4.9444999999999997</v>
      </c>
      <c r="O107" s="9">
        <v>0.37409999999999999</v>
      </c>
      <c r="P107" s="9">
        <v>1.2183999999999999</v>
      </c>
      <c r="Q107" s="9">
        <v>32.8123</v>
      </c>
      <c r="R107" s="9"/>
      <c r="S107" s="11"/>
    </row>
    <row r="108" spans="1:19" ht="15.75">
      <c r="A108" s="13">
        <v>44774</v>
      </c>
      <c r="B108" s="8">
        <f>CHOOSE( CONTROL!$C$32, 4.9689, 4.964) * CHOOSE(CONTROL!$C$15, $D$11, 100%, $F$11)</f>
        <v>4.9688999999999997</v>
      </c>
      <c r="C108" s="8">
        <f>CHOOSE( CONTROL!$C$32, 4.9769, 4.9721) * CHOOSE(CONTROL!$C$15, $D$11, 100%, $F$11)</f>
        <v>4.9768999999999997</v>
      </c>
      <c r="D108" s="8">
        <f>CHOOSE( CONTROL!$C$32, 4.9987, 4.9939) * CHOOSE( CONTROL!$C$15, $D$11, 100%, $F$11)</f>
        <v>4.9987000000000004</v>
      </c>
      <c r="E108" s="12">
        <f>CHOOSE( CONTROL!$C$32, 4.9896, 4.9848) * CHOOSE( CONTROL!$C$15, $D$11, 100%, $F$11)</f>
        <v>4.9896000000000003</v>
      </c>
      <c r="F108" s="4">
        <f>CHOOSE( CONTROL!$C$32, 5.6667, 5.6618) * CHOOSE(CONTROL!$C$15, $D$11, 100%, $F$11)</f>
        <v>5.6666999999999996</v>
      </c>
      <c r="G108" s="8">
        <f>CHOOSE( CONTROL!$C$32, 4.8403, 4.8356) * CHOOSE( CONTROL!$C$15, $D$11, 100%, $F$11)</f>
        <v>4.8403</v>
      </c>
      <c r="H108" s="4">
        <f>CHOOSE( CONTROL!$C$32, 5.7694, 5.7647) * CHOOSE(CONTROL!$C$15, $D$11, 100%, $F$11)</f>
        <v>5.7694000000000001</v>
      </c>
      <c r="I108" s="8">
        <f>CHOOSE( CONTROL!$C$32, 4.8506, 4.8459) * CHOOSE(CONTROL!$C$15, $D$11, 100%, $F$11)</f>
        <v>4.8506</v>
      </c>
      <c r="J108" s="4">
        <f>CHOOSE( CONTROL!$C$32, 4.7414, 4.7367) * CHOOSE(CONTROL!$C$15, $D$11, 100%, $F$11)</f>
        <v>4.7413999999999996</v>
      </c>
      <c r="K108" s="4"/>
      <c r="L108" s="9">
        <v>30.7165</v>
      </c>
      <c r="M108" s="9">
        <v>12.063700000000001</v>
      </c>
      <c r="N108" s="9">
        <v>4.9444999999999997</v>
      </c>
      <c r="O108" s="9">
        <v>0.37409999999999999</v>
      </c>
      <c r="P108" s="9">
        <v>1.2183999999999999</v>
      </c>
      <c r="Q108" s="9">
        <v>32.8123</v>
      </c>
      <c r="R108" s="9"/>
      <c r="S108" s="11"/>
    </row>
    <row r="109" spans="1:19" ht="15.75">
      <c r="A109" s="13">
        <v>44805</v>
      </c>
      <c r="B109" s="8">
        <f>CHOOSE( CONTROL!$C$32, 4.8655, 4.8607) * CHOOSE(CONTROL!$C$15, $D$11, 100%, $F$11)</f>
        <v>4.8654999999999999</v>
      </c>
      <c r="C109" s="8">
        <f>CHOOSE( CONTROL!$C$32, 4.8736, 4.8688) * CHOOSE(CONTROL!$C$15, $D$11, 100%, $F$11)</f>
        <v>4.8735999999999997</v>
      </c>
      <c r="D109" s="8">
        <f>CHOOSE( CONTROL!$C$32, 4.8954, 4.8906) * CHOOSE( CONTROL!$C$15, $D$11, 100%, $F$11)</f>
        <v>4.8954000000000004</v>
      </c>
      <c r="E109" s="12">
        <f>CHOOSE( CONTROL!$C$32, 4.8863, 4.8815) * CHOOSE( CONTROL!$C$15, $D$11, 100%, $F$11)</f>
        <v>4.8863000000000003</v>
      </c>
      <c r="F109" s="4">
        <f>CHOOSE( CONTROL!$C$32, 5.5633, 5.5585) * CHOOSE(CONTROL!$C$15, $D$11, 100%, $F$11)</f>
        <v>5.5632999999999999</v>
      </c>
      <c r="G109" s="8">
        <f>CHOOSE( CONTROL!$C$32, 4.7393, 4.7346) * CHOOSE( CONTROL!$C$15, $D$11, 100%, $F$11)</f>
        <v>4.7393000000000001</v>
      </c>
      <c r="H109" s="4">
        <f>CHOOSE( CONTROL!$C$32, 5.6685, 5.6638) * CHOOSE(CONTROL!$C$15, $D$11, 100%, $F$11)</f>
        <v>5.6684999999999999</v>
      </c>
      <c r="I109" s="8">
        <f>CHOOSE( CONTROL!$C$32, 4.7512, 4.7466) * CHOOSE(CONTROL!$C$15, $D$11, 100%, $F$11)</f>
        <v>4.7511999999999999</v>
      </c>
      <c r="J109" s="4">
        <f>CHOOSE( CONTROL!$C$32, 4.6422, 4.6375) * CHOOSE(CONTROL!$C$15, $D$11, 100%, $F$11)</f>
        <v>4.6421999999999999</v>
      </c>
      <c r="K109" s="4"/>
      <c r="L109" s="9">
        <v>29.7257</v>
      </c>
      <c r="M109" s="9">
        <v>11.6745</v>
      </c>
      <c r="N109" s="9">
        <v>4.7850000000000001</v>
      </c>
      <c r="O109" s="9">
        <v>0.36199999999999999</v>
      </c>
      <c r="P109" s="9">
        <v>1.1791</v>
      </c>
      <c r="Q109" s="9">
        <v>31.753799999999998</v>
      </c>
      <c r="R109" s="9"/>
      <c r="S109" s="11"/>
    </row>
    <row r="110" spans="1:19" ht="15.75">
      <c r="A110" s="13">
        <v>44835</v>
      </c>
      <c r="B110" s="8">
        <f>5.0735 * CHOOSE(CONTROL!$C$15, $D$11, 100%, $F$11)</f>
        <v>5.0735000000000001</v>
      </c>
      <c r="C110" s="8">
        <f>5.079 * CHOOSE(CONTROL!$C$15, $D$11, 100%, $F$11)</f>
        <v>5.0789999999999997</v>
      </c>
      <c r="D110" s="8">
        <f>5.1054 * CHOOSE( CONTROL!$C$15, $D$11, 100%, $F$11)</f>
        <v>5.1054000000000004</v>
      </c>
      <c r="E110" s="12">
        <f>5.0961 * CHOOSE( CONTROL!$C$15, $D$11, 100%, $F$11)</f>
        <v>5.0960999999999999</v>
      </c>
      <c r="F110" s="4">
        <f>5.7731 * CHOOSE(CONTROL!$C$15, $D$11, 100%, $F$11)</f>
        <v>5.7731000000000003</v>
      </c>
      <c r="G110" s="8">
        <f>4.9434 * CHOOSE( CONTROL!$C$15, $D$11, 100%, $F$11)</f>
        <v>4.9433999999999996</v>
      </c>
      <c r="H110" s="4">
        <f>5.8733 * CHOOSE(CONTROL!$C$15, $D$11, 100%, $F$11)</f>
        <v>5.8733000000000004</v>
      </c>
      <c r="I110" s="8">
        <f>4.9534 * CHOOSE(CONTROL!$C$15, $D$11, 100%, $F$11)</f>
        <v>4.9534000000000002</v>
      </c>
      <c r="J110" s="4">
        <f>4.8435 * CHOOSE(CONTROL!$C$15, $D$11, 100%, $F$11)</f>
        <v>4.8434999999999997</v>
      </c>
      <c r="K110" s="4"/>
      <c r="L110" s="9">
        <v>31.095300000000002</v>
      </c>
      <c r="M110" s="9">
        <v>12.063700000000001</v>
      </c>
      <c r="N110" s="9">
        <v>4.9444999999999997</v>
      </c>
      <c r="O110" s="9">
        <v>0.37409999999999999</v>
      </c>
      <c r="P110" s="9">
        <v>1.2183999999999999</v>
      </c>
      <c r="Q110" s="9">
        <v>32.8123</v>
      </c>
      <c r="R110" s="9"/>
      <c r="S110" s="11"/>
    </row>
    <row r="111" spans="1:19" ht="15.75">
      <c r="A111" s="13">
        <v>44866</v>
      </c>
      <c r="B111" s="8">
        <f>5.4692 * CHOOSE(CONTROL!$C$15, $D$11, 100%, $F$11)</f>
        <v>5.4691999999999998</v>
      </c>
      <c r="C111" s="8">
        <f>5.4744 * CHOOSE(CONTROL!$C$15, $D$11, 100%, $F$11)</f>
        <v>5.4744000000000002</v>
      </c>
      <c r="D111" s="8">
        <f>5.4636 * CHOOSE( CONTROL!$C$15, $D$11, 100%, $F$11)</f>
        <v>5.4635999999999996</v>
      </c>
      <c r="E111" s="12">
        <f>5.467 * CHOOSE( CONTROL!$C$15, $D$11, 100%, $F$11)</f>
        <v>5.4669999999999996</v>
      </c>
      <c r="F111" s="4">
        <f>6.1181 * CHOOSE(CONTROL!$C$15, $D$11, 100%, $F$11)</f>
        <v>6.1181000000000001</v>
      </c>
      <c r="G111" s="8">
        <f>5.3348 * CHOOSE( CONTROL!$C$15, $D$11, 100%, $F$11)</f>
        <v>5.3348000000000004</v>
      </c>
      <c r="H111" s="4">
        <f>6.2103 * CHOOSE(CONTROL!$C$15, $D$11, 100%, $F$11)</f>
        <v>6.2103000000000002</v>
      </c>
      <c r="I111" s="8">
        <f>5.3595 * CHOOSE(CONTROL!$C$15, $D$11, 100%, $F$11)</f>
        <v>5.3594999999999997</v>
      </c>
      <c r="J111" s="4">
        <f>5.2238 * CHOOSE(CONTROL!$C$15, $D$11, 100%, $F$11)</f>
        <v>5.2237999999999998</v>
      </c>
      <c r="K111" s="4"/>
      <c r="L111" s="9">
        <v>28.360600000000002</v>
      </c>
      <c r="M111" s="9">
        <v>11.6745</v>
      </c>
      <c r="N111" s="9">
        <v>4.7850000000000001</v>
      </c>
      <c r="O111" s="9">
        <v>0.36199999999999999</v>
      </c>
      <c r="P111" s="9">
        <v>1.2509999999999999</v>
      </c>
      <c r="Q111" s="9">
        <v>31.753799999999998</v>
      </c>
      <c r="R111" s="9"/>
      <c r="S111" s="11"/>
    </row>
    <row r="112" spans="1:19" ht="15.75">
      <c r="A112" s="13">
        <v>44896</v>
      </c>
      <c r="B112" s="8">
        <f>5.4593 * CHOOSE(CONTROL!$C$15, $D$11, 100%, $F$11)</f>
        <v>5.4592999999999998</v>
      </c>
      <c r="C112" s="8">
        <f>5.4645 * CHOOSE(CONTROL!$C$15, $D$11, 100%, $F$11)</f>
        <v>5.4645000000000001</v>
      </c>
      <c r="D112" s="8">
        <f>5.4551 * CHOOSE( CONTROL!$C$15, $D$11, 100%, $F$11)</f>
        <v>5.4550999999999998</v>
      </c>
      <c r="E112" s="12">
        <f>5.458 * CHOOSE( CONTROL!$C$15, $D$11, 100%, $F$11)</f>
        <v>5.4580000000000002</v>
      </c>
      <c r="F112" s="4">
        <f>6.1082 * CHOOSE(CONTROL!$C$15, $D$11, 100%, $F$11)</f>
        <v>6.1082000000000001</v>
      </c>
      <c r="G112" s="8">
        <f>5.3262 * CHOOSE( CONTROL!$C$15, $D$11, 100%, $F$11)</f>
        <v>5.3262</v>
      </c>
      <c r="H112" s="4">
        <f>6.2007 * CHOOSE(CONTROL!$C$15, $D$11, 100%, $F$11)</f>
        <v>6.2007000000000003</v>
      </c>
      <c r="I112" s="8">
        <f>5.3543 * CHOOSE(CONTROL!$C$15, $D$11, 100%, $F$11)</f>
        <v>5.3543000000000003</v>
      </c>
      <c r="J112" s="4">
        <f>5.2143 * CHOOSE(CONTROL!$C$15, $D$11, 100%, $F$11)</f>
        <v>5.2142999999999997</v>
      </c>
      <c r="K112" s="4"/>
      <c r="L112" s="9">
        <v>29.306000000000001</v>
      </c>
      <c r="M112" s="9">
        <v>12.063700000000001</v>
      </c>
      <c r="N112" s="9">
        <v>4.9444999999999997</v>
      </c>
      <c r="O112" s="9">
        <v>0.37409999999999999</v>
      </c>
      <c r="P112" s="9">
        <v>1.2927</v>
      </c>
      <c r="Q112" s="9">
        <v>32.8123</v>
      </c>
      <c r="R112" s="9"/>
      <c r="S112" s="11"/>
    </row>
    <row r="113" spans="1:19" ht="15.75">
      <c r="A113" s="13">
        <v>44927</v>
      </c>
      <c r="B113" s="8">
        <f>5.6638 * CHOOSE(CONTROL!$C$15, $D$11, 100%, $F$11)</f>
        <v>5.6638000000000002</v>
      </c>
      <c r="C113" s="8">
        <f>5.669 * CHOOSE(CONTROL!$C$15, $D$11, 100%, $F$11)</f>
        <v>5.6689999999999996</v>
      </c>
      <c r="D113" s="8">
        <f>5.6555 * CHOOSE( CONTROL!$C$15, $D$11, 100%, $F$11)</f>
        <v>5.6555</v>
      </c>
      <c r="E113" s="12">
        <f>5.6599 * CHOOSE( CONTROL!$C$15, $D$11, 100%, $F$11)</f>
        <v>5.6599000000000004</v>
      </c>
      <c r="F113" s="4">
        <f>6.3127 * CHOOSE(CONTROL!$C$15, $D$11, 100%, $F$11)</f>
        <v>6.3127000000000004</v>
      </c>
      <c r="G113" s="8">
        <f>5.5196 * CHOOSE( CONTROL!$C$15, $D$11, 100%, $F$11)</f>
        <v>5.5195999999999996</v>
      </c>
      <c r="H113" s="4">
        <f>6.4004 * CHOOSE(CONTROL!$C$15, $D$11, 100%, $F$11)</f>
        <v>6.4004000000000003</v>
      </c>
      <c r="I113" s="8">
        <f>5.527 * CHOOSE(CONTROL!$C$15, $D$11, 100%, $F$11)</f>
        <v>5.5270000000000001</v>
      </c>
      <c r="J113" s="4">
        <f>5.4106 * CHOOSE(CONTROL!$C$15, $D$11, 100%, $F$11)</f>
        <v>5.4105999999999996</v>
      </c>
      <c r="K113" s="4"/>
      <c r="L113" s="9">
        <v>29.306000000000001</v>
      </c>
      <c r="M113" s="9">
        <v>12.063700000000001</v>
      </c>
      <c r="N113" s="9">
        <v>4.9444999999999997</v>
      </c>
      <c r="O113" s="9">
        <v>0.37409999999999999</v>
      </c>
      <c r="P113" s="9">
        <v>1.2927</v>
      </c>
      <c r="Q113" s="9">
        <v>32.624400000000001</v>
      </c>
      <c r="R113" s="9"/>
      <c r="S113" s="11"/>
    </row>
    <row r="114" spans="1:19" ht="15.75">
      <c r="A114" s="13">
        <v>44958</v>
      </c>
      <c r="B114" s="8">
        <f>5.2995 * CHOOSE(CONTROL!$C$15, $D$11, 100%, $F$11)</f>
        <v>5.2995000000000001</v>
      </c>
      <c r="C114" s="8">
        <f>5.3047 * CHOOSE(CONTROL!$C$15, $D$11, 100%, $F$11)</f>
        <v>5.3047000000000004</v>
      </c>
      <c r="D114" s="8">
        <f>5.2911 * CHOOSE( CONTROL!$C$15, $D$11, 100%, $F$11)</f>
        <v>5.2911000000000001</v>
      </c>
      <c r="E114" s="12">
        <f>5.2955 * CHOOSE( CONTROL!$C$15, $D$11, 100%, $F$11)</f>
        <v>5.2954999999999997</v>
      </c>
      <c r="F114" s="4">
        <f>5.9484 * CHOOSE(CONTROL!$C$15, $D$11, 100%, $F$11)</f>
        <v>5.9484000000000004</v>
      </c>
      <c r="G114" s="8">
        <f>5.1638 * CHOOSE( CONTROL!$C$15, $D$11, 100%, $F$11)</f>
        <v>5.1638000000000002</v>
      </c>
      <c r="H114" s="4">
        <f>6.0446 * CHOOSE(CONTROL!$C$15, $D$11, 100%, $F$11)</f>
        <v>6.0446</v>
      </c>
      <c r="I114" s="8">
        <f>5.1771 * CHOOSE(CONTROL!$C$15, $D$11, 100%, $F$11)</f>
        <v>5.1771000000000003</v>
      </c>
      <c r="J114" s="4">
        <f>5.0608 * CHOOSE(CONTROL!$C$15, $D$11, 100%, $F$11)</f>
        <v>5.0608000000000004</v>
      </c>
      <c r="K114" s="4"/>
      <c r="L114" s="9">
        <v>26.469899999999999</v>
      </c>
      <c r="M114" s="9">
        <v>10.8962</v>
      </c>
      <c r="N114" s="9">
        <v>4.4660000000000002</v>
      </c>
      <c r="O114" s="9">
        <v>0.33789999999999998</v>
      </c>
      <c r="P114" s="9">
        <v>1.1676</v>
      </c>
      <c r="Q114" s="9">
        <v>29.467199999999998</v>
      </c>
      <c r="R114" s="9"/>
      <c r="S114" s="11"/>
    </row>
    <row r="115" spans="1:19" ht="15.75">
      <c r="A115" s="13">
        <v>44986</v>
      </c>
      <c r="B115" s="8">
        <f>5.1873 * CHOOSE(CONTROL!$C$15, $D$11, 100%, $F$11)</f>
        <v>5.1872999999999996</v>
      </c>
      <c r="C115" s="8">
        <f>5.1925 * CHOOSE(CONTROL!$C$15, $D$11, 100%, $F$11)</f>
        <v>5.1924999999999999</v>
      </c>
      <c r="D115" s="8">
        <f>5.1786 * CHOOSE( CONTROL!$C$15, $D$11, 100%, $F$11)</f>
        <v>5.1786000000000003</v>
      </c>
      <c r="E115" s="12">
        <f>5.1831 * CHOOSE( CONTROL!$C$15, $D$11, 100%, $F$11)</f>
        <v>5.1830999999999996</v>
      </c>
      <c r="F115" s="4">
        <f>5.8362 * CHOOSE(CONTROL!$C$15, $D$11, 100%, $F$11)</f>
        <v>5.8361999999999998</v>
      </c>
      <c r="G115" s="8">
        <f>5.054 * CHOOSE( CONTROL!$C$15, $D$11, 100%, $F$11)</f>
        <v>5.0540000000000003</v>
      </c>
      <c r="H115" s="4">
        <f>5.935 * CHOOSE(CONTROL!$C$15, $D$11, 100%, $F$11)</f>
        <v>5.9349999999999996</v>
      </c>
      <c r="I115" s="8">
        <f>5.0683 * CHOOSE(CONTROL!$C$15, $D$11, 100%, $F$11)</f>
        <v>5.0682999999999998</v>
      </c>
      <c r="J115" s="4">
        <f>4.9531 * CHOOSE(CONTROL!$C$15, $D$11, 100%, $F$11)</f>
        <v>4.9531000000000001</v>
      </c>
      <c r="K115" s="4"/>
      <c r="L115" s="9">
        <v>29.306000000000001</v>
      </c>
      <c r="M115" s="9">
        <v>12.063700000000001</v>
      </c>
      <c r="N115" s="9">
        <v>4.9444999999999997</v>
      </c>
      <c r="O115" s="9">
        <v>0.37409999999999999</v>
      </c>
      <c r="P115" s="9">
        <v>1.2927</v>
      </c>
      <c r="Q115" s="9">
        <v>32.624400000000001</v>
      </c>
      <c r="R115" s="9"/>
      <c r="S115" s="11"/>
    </row>
    <row r="116" spans="1:19" ht="15.75">
      <c r="A116" s="13">
        <v>45017</v>
      </c>
      <c r="B116" s="8">
        <f>5.2664 * CHOOSE(CONTROL!$C$15, $D$11, 100%, $F$11)</f>
        <v>5.2664</v>
      </c>
      <c r="C116" s="8">
        <f>5.2711 * CHOOSE(CONTROL!$C$15, $D$11, 100%, $F$11)</f>
        <v>5.2710999999999997</v>
      </c>
      <c r="D116" s="8">
        <f>5.2974 * CHOOSE( CONTROL!$C$15, $D$11, 100%, $F$11)</f>
        <v>5.2973999999999997</v>
      </c>
      <c r="E116" s="12">
        <f>5.2882 * CHOOSE( CONTROL!$C$15, $D$11, 100%, $F$11)</f>
        <v>5.2881999999999998</v>
      </c>
      <c r="F116" s="4">
        <f>5.9656 * CHOOSE(CONTROL!$C$15, $D$11, 100%, $F$11)</f>
        <v>5.9656000000000002</v>
      </c>
      <c r="G116" s="8">
        <f>5.1306 * CHOOSE( CONTROL!$C$15, $D$11, 100%, $F$11)</f>
        <v>5.1306000000000003</v>
      </c>
      <c r="H116" s="4">
        <f>6.0614 * CHOOSE(CONTROL!$C$15, $D$11, 100%, $F$11)</f>
        <v>6.0613999999999999</v>
      </c>
      <c r="I116" s="8">
        <f>5.1354 * CHOOSE(CONTROL!$C$15, $D$11, 100%, $F$11)</f>
        <v>5.1353999999999997</v>
      </c>
      <c r="J116" s="4">
        <f>5.0284 * CHOOSE(CONTROL!$C$15, $D$11, 100%, $F$11)</f>
        <v>5.0284000000000004</v>
      </c>
      <c r="K116" s="4"/>
      <c r="L116" s="9">
        <v>30.092199999999998</v>
      </c>
      <c r="M116" s="9">
        <v>11.6745</v>
      </c>
      <c r="N116" s="9">
        <v>4.7850000000000001</v>
      </c>
      <c r="O116" s="9">
        <v>0.36199999999999999</v>
      </c>
      <c r="P116" s="9">
        <v>1.1791</v>
      </c>
      <c r="Q116" s="9">
        <v>31.571999999999999</v>
      </c>
      <c r="R116" s="9"/>
      <c r="S116" s="11"/>
    </row>
    <row r="117" spans="1:19" ht="15.75">
      <c r="A117" s="13">
        <v>45047</v>
      </c>
      <c r="B117" s="8">
        <f>CHOOSE( CONTROL!$C$32, 5.4122, 5.4074) * CHOOSE(CONTROL!$C$15, $D$11, 100%, $F$11)</f>
        <v>5.4122000000000003</v>
      </c>
      <c r="C117" s="8">
        <f>CHOOSE( CONTROL!$C$32, 5.4203, 5.4154) * CHOOSE(CONTROL!$C$15, $D$11, 100%, $F$11)</f>
        <v>5.4203000000000001</v>
      </c>
      <c r="D117" s="8">
        <f>CHOOSE( CONTROL!$C$32, 5.4416, 5.4368) * CHOOSE( CONTROL!$C$15, $D$11, 100%, $F$11)</f>
        <v>5.4416000000000002</v>
      </c>
      <c r="E117" s="12">
        <f>CHOOSE( CONTROL!$C$32, 5.4326, 5.4278) * CHOOSE( CONTROL!$C$15, $D$11, 100%, $F$11)</f>
        <v>5.4325999999999999</v>
      </c>
      <c r="F117" s="4">
        <f>CHOOSE( CONTROL!$C$32, 6.11, 6.1052) * CHOOSE(CONTROL!$C$15, $D$11, 100%, $F$11)</f>
        <v>6.11</v>
      </c>
      <c r="G117" s="8">
        <f>CHOOSE( CONTROL!$C$32, 5.2726, 5.2679) * CHOOSE( CONTROL!$C$15, $D$11, 100%, $F$11)</f>
        <v>5.2725999999999997</v>
      </c>
      <c r="H117" s="4">
        <f>CHOOSE( CONTROL!$C$32, 6.2024, 6.1977) * CHOOSE(CONTROL!$C$15, $D$11, 100%, $F$11)</f>
        <v>6.2023999999999999</v>
      </c>
      <c r="I117" s="8">
        <f>CHOOSE( CONTROL!$C$32, 5.2741, 5.2695) * CHOOSE(CONTROL!$C$15, $D$11, 100%, $F$11)</f>
        <v>5.2740999999999998</v>
      </c>
      <c r="J117" s="4">
        <f>CHOOSE( CONTROL!$C$32, 5.167, 5.1624) * CHOOSE(CONTROL!$C$15, $D$11, 100%, $F$11)</f>
        <v>5.1669999999999998</v>
      </c>
      <c r="K117" s="4"/>
      <c r="L117" s="9">
        <v>30.7165</v>
      </c>
      <c r="M117" s="9">
        <v>12.063700000000001</v>
      </c>
      <c r="N117" s="9">
        <v>4.9444999999999997</v>
      </c>
      <c r="O117" s="9">
        <v>0.37409999999999999</v>
      </c>
      <c r="P117" s="9">
        <v>1.2183999999999999</v>
      </c>
      <c r="Q117" s="9">
        <v>32.624400000000001</v>
      </c>
      <c r="R117" s="9"/>
      <c r="S117" s="11"/>
    </row>
    <row r="118" spans="1:19" ht="15.75">
      <c r="A118" s="13">
        <v>45078</v>
      </c>
      <c r="B118" s="8">
        <f>CHOOSE( CONTROL!$C$32, 5.3257, 5.3209) * CHOOSE(CONTROL!$C$15, $D$11, 100%, $F$11)</f>
        <v>5.3257000000000003</v>
      </c>
      <c r="C118" s="8">
        <f>CHOOSE( CONTROL!$C$32, 5.3338, 5.329) * CHOOSE(CONTROL!$C$15, $D$11, 100%, $F$11)</f>
        <v>5.3338000000000001</v>
      </c>
      <c r="D118" s="8">
        <f>CHOOSE( CONTROL!$C$32, 5.3553, 5.3505) * CHOOSE( CONTROL!$C$15, $D$11, 100%, $F$11)</f>
        <v>5.3552999999999997</v>
      </c>
      <c r="E118" s="12">
        <f>CHOOSE( CONTROL!$C$32, 5.3463, 5.3415) * CHOOSE( CONTROL!$C$15, $D$11, 100%, $F$11)</f>
        <v>5.3463000000000003</v>
      </c>
      <c r="F118" s="4">
        <f>CHOOSE( CONTROL!$C$32, 6.0236, 6.0187) * CHOOSE(CONTROL!$C$15, $D$11, 100%, $F$11)</f>
        <v>6.0236000000000001</v>
      </c>
      <c r="G118" s="8">
        <f>CHOOSE( CONTROL!$C$32, 5.1884, 5.1837) * CHOOSE( CONTROL!$C$15, $D$11, 100%, $F$11)</f>
        <v>5.1883999999999997</v>
      </c>
      <c r="H118" s="4">
        <f>CHOOSE( CONTROL!$C$32, 6.118, 6.1133) * CHOOSE(CONTROL!$C$15, $D$11, 100%, $F$11)</f>
        <v>6.1180000000000003</v>
      </c>
      <c r="I118" s="8">
        <f>CHOOSE( CONTROL!$C$32, 5.192, 5.1873) * CHOOSE(CONTROL!$C$15, $D$11, 100%, $F$11)</f>
        <v>5.1920000000000002</v>
      </c>
      <c r="J118" s="4">
        <f>CHOOSE( CONTROL!$C$32, 5.084, 5.0794) * CHOOSE(CONTROL!$C$15, $D$11, 100%, $F$11)</f>
        <v>5.0839999999999996</v>
      </c>
      <c r="K118" s="4"/>
      <c r="L118" s="9">
        <v>29.7257</v>
      </c>
      <c r="M118" s="9">
        <v>11.6745</v>
      </c>
      <c r="N118" s="9">
        <v>4.7850000000000001</v>
      </c>
      <c r="O118" s="9">
        <v>0.36199999999999999</v>
      </c>
      <c r="P118" s="9">
        <v>1.1791</v>
      </c>
      <c r="Q118" s="9">
        <v>31.571999999999999</v>
      </c>
      <c r="R118" s="9"/>
      <c r="S118" s="11"/>
    </row>
    <row r="119" spans="1:19" ht="15.75">
      <c r="A119" s="13">
        <v>45108</v>
      </c>
      <c r="B119" s="8">
        <f>CHOOSE( CONTROL!$C$32, 5.5534, 5.5486) * CHOOSE(CONTROL!$C$15, $D$11, 100%, $F$11)</f>
        <v>5.5533999999999999</v>
      </c>
      <c r="C119" s="8">
        <f>CHOOSE( CONTROL!$C$32, 5.5615, 5.5566) * CHOOSE(CONTROL!$C$15, $D$11, 100%, $F$11)</f>
        <v>5.5614999999999997</v>
      </c>
      <c r="D119" s="8">
        <f>CHOOSE( CONTROL!$C$32, 5.5832, 5.5784) * CHOOSE( CONTROL!$C$15, $D$11, 100%, $F$11)</f>
        <v>5.5831999999999997</v>
      </c>
      <c r="E119" s="12">
        <f>CHOOSE( CONTROL!$C$32, 5.5741, 5.5693) * CHOOSE( CONTROL!$C$15, $D$11, 100%, $F$11)</f>
        <v>5.5740999999999996</v>
      </c>
      <c r="F119" s="4">
        <f>CHOOSE( CONTROL!$C$32, 6.2512, 6.2464) * CHOOSE(CONTROL!$C$15, $D$11, 100%, $F$11)</f>
        <v>6.2511999999999999</v>
      </c>
      <c r="G119" s="8">
        <f>CHOOSE( CONTROL!$C$32, 5.4111, 5.4064) * CHOOSE( CONTROL!$C$15, $D$11, 100%, $F$11)</f>
        <v>5.4111000000000002</v>
      </c>
      <c r="H119" s="4">
        <f>CHOOSE( CONTROL!$C$32, 6.3403, 6.3356) * CHOOSE(CONTROL!$C$15, $D$11, 100%, $F$11)</f>
        <v>6.3403</v>
      </c>
      <c r="I119" s="8">
        <f>CHOOSE( CONTROL!$C$32, 5.4118, 5.4071) * CHOOSE(CONTROL!$C$15, $D$11, 100%, $F$11)</f>
        <v>5.4118000000000004</v>
      </c>
      <c r="J119" s="4">
        <f>CHOOSE( CONTROL!$C$32, 5.3026, 5.298) * CHOOSE(CONTROL!$C$15, $D$11, 100%, $F$11)</f>
        <v>5.3026</v>
      </c>
      <c r="K119" s="4"/>
      <c r="L119" s="9">
        <v>30.7165</v>
      </c>
      <c r="M119" s="9">
        <v>12.063700000000001</v>
      </c>
      <c r="N119" s="9">
        <v>4.9444999999999997</v>
      </c>
      <c r="O119" s="9">
        <v>0.37409999999999999</v>
      </c>
      <c r="P119" s="9">
        <v>1.2183999999999999</v>
      </c>
      <c r="Q119" s="9">
        <v>32.624400000000001</v>
      </c>
      <c r="R119" s="9"/>
      <c r="S119" s="11"/>
    </row>
    <row r="120" spans="1:19" ht="15.75">
      <c r="A120" s="13">
        <v>45139</v>
      </c>
      <c r="B120" s="8">
        <f>CHOOSE( CONTROL!$C$32, 5.1274, 5.1226) * CHOOSE(CONTROL!$C$15, $D$11, 100%, $F$11)</f>
        <v>5.1273999999999997</v>
      </c>
      <c r="C120" s="8">
        <f>CHOOSE( CONTROL!$C$32, 5.1355, 5.1307) * CHOOSE(CONTROL!$C$15, $D$11, 100%, $F$11)</f>
        <v>5.1355000000000004</v>
      </c>
      <c r="D120" s="8">
        <f>CHOOSE( CONTROL!$C$32, 5.1573, 5.1525) * CHOOSE( CONTROL!$C$15, $D$11, 100%, $F$11)</f>
        <v>5.1573000000000002</v>
      </c>
      <c r="E120" s="12">
        <f>CHOOSE( CONTROL!$C$32, 5.1482, 5.1434) * CHOOSE( CONTROL!$C$15, $D$11, 100%, $F$11)</f>
        <v>5.1482000000000001</v>
      </c>
      <c r="F120" s="4">
        <f>CHOOSE( CONTROL!$C$32, 5.8252, 5.8204) * CHOOSE(CONTROL!$C$15, $D$11, 100%, $F$11)</f>
        <v>5.8251999999999997</v>
      </c>
      <c r="G120" s="8">
        <f>CHOOSE( CONTROL!$C$32, 4.9952, 4.9905) * CHOOSE( CONTROL!$C$15, $D$11, 100%, $F$11)</f>
        <v>4.9951999999999996</v>
      </c>
      <c r="H120" s="4">
        <f>CHOOSE( CONTROL!$C$32, 5.9243, 5.9196) * CHOOSE(CONTROL!$C$15, $D$11, 100%, $F$11)</f>
        <v>5.9242999999999997</v>
      </c>
      <c r="I120" s="8">
        <f>CHOOSE( CONTROL!$C$32, 5.0029, 4.9983) * CHOOSE(CONTROL!$C$15, $D$11, 100%, $F$11)</f>
        <v>5.0029000000000003</v>
      </c>
      <c r="J120" s="4">
        <f>CHOOSE( CONTROL!$C$32, 4.8936, 4.889) * CHOOSE(CONTROL!$C$15, $D$11, 100%, $F$11)</f>
        <v>4.8936000000000002</v>
      </c>
      <c r="K120" s="4"/>
      <c r="L120" s="9">
        <v>30.7165</v>
      </c>
      <c r="M120" s="9">
        <v>12.063700000000001</v>
      </c>
      <c r="N120" s="9">
        <v>4.9444999999999997</v>
      </c>
      <c r="O120" s="9">
        <v>0.37409999999999999</v>
      </c>
      <c r="P120" s="9">
        <v>1.2183999999999999</v>
      </c>
      <c r="Q120" s="9">
        <v>32.624400000000001</v>
      </c>
      <c r="R120" s="9"/>
      <c r="S120" s="11"/>
    </row>
    <row r="121" spans="1:19" ht="15.75">
      <c r="A121" s="13">
        <v>45170</v>
      </c>
      <c r="B121" s="8">
        <f>CHOOSE( CONTROL!$C$32, 5.0208, 5.0159) * CHOOSE(CONTROL!$C$15, $D$11, 100%, $F$11)</f>
        <v>5.0208000000000004</v>
      </c>
      <c r="C121" s="8">
        <f>CHOOSE( CONTROL!$C$32, 5.0289, 5.024) * CHOOSE(CONTROL!$C$15, $D$11, 100%, $F$11)</f>
        <v>5.0289000000000001</v>
      </c>
      <c r="D121" s="8">
        <f>CHOOSE( CONTROL!$C$32, 5.0506, 5.0458) * CHOOSE( CONTROL!$C$15, $D$11, 100%, $F$11)</f>
        <v>5.0506000000000002</v>
      </c>
      <c r="E121" s="12">
        <f>CHOOSE( CONTROL!$C$32, 5.0415, 5.0367) * CHOOSE( CONTROL!$C$15, $D$11, 100%, $F$11)</f>
        <v>5.0415000000000001</v>
      </c>
      <c r="F121" s="4">
        <f>CHOOSE( CONTROL!$C$32, 5.7186, 5.7137) * CHOOSE(CONTROL!$C$15, $D$11, 100%, $F$11)</f>
        <v>5.7186000000000003</v>
      </c>
      <c r="G121" s="8">
        <f>CHOOSE( CONTROL!$C$32, 4.891, 4.8863) * CHOOSE( CONTROL!$C$15, $D$11, 100%, $F$11)</f>
        <v>4.891</v>
      </c>
      <c r="H121" s="4">
        <f>CHOOSE( CONTROL!$C$32, 5.8201, 5.8154) * CHOOSE(CONTROL!$C$15, $D$11, 100%, $F$11)</f>
        <v>5.8201000000000001</v>
      </c>
      <c r="I121" s="8">
        <f>CHOOSE( CONTROL!$C$32, 4.9004, 4.8957) * CHOOSE(CONTROL!$C$15, $D$11, 100%, $F$11)</f>
        <v>4.9004000000000003</v>
      </c>
      <c r="J121" s="4">
        <f>CHOOSE( CONTROL!$C$32, 4.7912, 4.7866) * CHOOSE(CONTROL!$C$15, $D$11, 100%, $F$11)</f>
        <v>4.7911999999999999</v>
      </c>
      <c r="K121" s="4"/>
      <c r="L121" s="9">
        <v>29.7257</v>
      </c>
      <c r="M121" s="9">
        <v>11.6745</v>
      </c>
      <c r="N121" s="9">
        <v>4.7850000000000001</v>
      </c>
      <c r="O121" s="9">
        <v>0.36199999999999999</v>
      </c>
      <c r="P121" s="9">
        <v>1.1791</v>
      </c>
      <c r="Q121" s="9">
        <v>31.571999999999999</v>
      </c>
      <c r="R121" s="9"/>
      <c r="S121" s="11"/>
    </row>
    <row r="122" spans="1:19" ht="15.75">
      <c r="A122" s="13">
        <v>45200</v>
      </c>
      <c r="B122" s="8">
        <f>5.2357 * CHOOSE(CONTROL!$C$15, $D$11, 100%, $F$11)</f>
        <v>5.2356999999999996</v>
      </c>
      <c r="C122" s="8">
        <f>5.2411 * CHOOSE(CONTROL!$C$15, $D$11, 100%, $F$11)</f>
        <v>5.2411000000000003</v>
      </c>
      <c r="D122" s="8">
        <f>5.2676 * CHOOSE( CONTROL!$C$15, $D$11, 100%, $F$11)</f>
        <v>5.2675999999999998</v>
      </c>
      <c r="E122" s="12">
        <f>5.2583 * CHOOSE( CONTROL!$C$15, $D$11, 100%, $F$11)</f>
        <v>5.2583000000000002</v>
      </c>
      <c r="F122" s="4">
        <f>5.9352 * CHOOSE(CONTROL!$C$15, $D$11, 100%, $F$11)</f>
        <v>5.9352</v>
      </c>
      <c r="G122" s="8">
        <f>5.1018 * CHOOSE( CONTROL!$C$15, $D$11, 100%, $F$11)</f>
        <v>5.1017999999999999</v>
      </c>
      <c r="H122" s="4">
        <f>6.0317 * CHOOSE(CONTROL!$C$15, $D$11, 100%, $F$11)</f>
        <v>6.0316999999999998</v>
      </c>
      <c r="I122" s="8">
        <f>5.1092 * CHOOSE(CONTROL!$C$15, $D$11, 100%, $F$11)</f>
        <v>5.1092000000000004</v>
      </c>
      <c r="J122" s="4">
        <f>4.9992 * CHOOSE(CONTROL!$C$15, $D$11, 100%, $F$11)</f>
        <v>4.9992000000000001</v>
      </c>
      <c r="K122" s="4"/>
      <c r="L122" s="9">
        <v>31.095300000000002</v>
      </c>
      <c r="M122" s="9">
        <v>12.063700000000001</v>
      </c>
      <c r="N122" s="9">
        <v>4.9444999999999997</v>
      </c>
      <c r="O122" s="9">
        <v>0.37409999999999999</v>
      </c>
      <c r="P122" s="9">
        <v>1.2183999999999999</v>
      </c>
      <c r="Q122" s="9">
        <v>32.624400000000001</v>
      </c>
      <c r="R122" s="9"/>
      <c r="S122" s="11"/>
    </row>
    <row r="123" spans="1:19" ht="15.75">
      <c r="A123" s="13">
        <v>45231</v>
      </c>
      <c r="B123" s="8">
        <f>5.6441 * CHOOSE(CONTROL!$C$15, $D$11, 100%, $F$11)</f>
        <v>5.6440999999999999</v>
      </c>
      <c r="C123" s="8">
        <f>5.6493 * CHOOSE(CONTROL!$C$15, $D$11, 100%, $F$11)</f>
        <v>5.6493000000000002</v>
      </c>
      <c r="D123" s="8">
        <f>5.6385 * CHOOSE( CONTROL!$C$15, $D$11, 100%, $F$11)</f>
        <v>5.6384999999999996</v>
      </c>
      <c r="E123" s="12">
        <f>5.6419 * CHOOSE( CONTROL!$C$15, $D$11, 100%, $F$11)</f>
        <v>5.6418999999999997</v>
      </c>
      <c r="F123" s="4">
        <f>6.293 * CHOOSE(CONTROL!$C$15, $D$11, 100%, $F$11)</f>
        <v>6.2930000000000001</v>
      </c>
      <c r="G123" s="8">
        <f>5.5056 * CHOOSE( CONTROL!$C$15, $D$11, 100%, $F$11)</f>
        <v>5.5056000000000003</v>
      </c>
      <c r="H123" s="4">
        <f>6.3811 * CHOOSE(CONTROL!$C$15, $D$11, 100%, $F$11)</f>
        <v>6.3811</v>
      </c>
      <c r="I123" s="8">
        <f>5.5275 * CHOOSE(CONTROL!$C$15, $D$11, 100%, $F$11)</f>
        <v>5.5274999999999999</v>
      </c>
      <c r="J123" s="4">
        <f>5.3917 * CHOOSE(CONTROL!$C$15, $D$11, 100%, $F$11)</f>
        <v>5.3917000000000002</v>
      </c>
      <c r="K123" s="4"/>
      <c r="L123" s="9">
        <v>28.360600000000002</v>
      </c>
      <c r="M123" s="9">
        <v>11.6745</v>
      </c>
      <c r="N123" s="9">
        <v>4.7850000000000001</v>
      </c>
      <c r="O123" s="9">
        <v>0.36199999999999999</v>
      </c>
      <c r="P123" s="9">
        <v>1.2509999999999999</v>
      </c>
      <c r="Q123" s="9">
        <v>31.571999999999999</v>
      </c>
      <c r="R123" s="9"/>
      <c r="S123" s="11"/>
    </row>
    <row r="124" spans="1:19" ht="15.75">
      <c r="A124" s="13">
        <v>45261</v>
      </c>
      <c r="B124" s="8">
        <f>5.6339 * CHOOSE(CONTROL!$C$15, $D$11, 100%, $F$11)</f>
        <v>5.6338999999999997</v>
      </c>
      <c r="C124" s="8">
        <f>5.639 * CHOOSE(CONTROL!$C$15, $D$11, 100%, $F$11)</f>
        <v>5.6390000000000002</v>
      </c>
      <c r="D124" s="8">
        <f>5.6297 * CHOOSE( CONTROL!$C$15, $D$11, 100%, $F$11)</f>
        <v>5.6296999999999997</v>
      </c>
      <c r="E124" s="12">
        <f>5.6326 * CHOOSE( CONTROL!$C$15, $D$11, 100%, $F$11)</f>
        <v>5.6326000000000001</v>
      </c>
      <c r="F124" s="4">
        <f>6.2828 * CHOOSE(CONTROL!$C$15, $D$11, 100%, $F$11)</f>
        <v>6.2827999999999999</v>
      </c>
      <c r="G124" s="8">
        <f>5.4967 * CHOOSE( CONTROL!$C$15, $D$11, 100%, $F$11)</f>
        <v>5.4966999999999997</v>
      </c>
      <c r="H124" s="4">
        <f>6.3712 * CHOOSE(CONTROL!$C$15, $D$11, 100%, $F$11)</f>
        <v>6.3712</v>
      </c>
      <c r="I124" s="8">
        <f>5.522 * CHOOSE(CONTROL!$C$15, $D$11, 100%, $F$11)</f>
        <v>5.5220000000000002</v>
      </c>
      <c r="J124" s="4">
        <f>5.3819 * CHOOSE(CONTROL!$C$15, $D$11, 100%, $F$11)</f>
        <v>5.3818999999999999</v>
      </c>
      <c r="K124" s="4"/>
      <c r="L124" s="9">
        <v>29.306000000000001</v>
      </c>
      <c r="M124" s="9">
        <v>12.063700000000001</v>
      </c>
      <c r="N124" s="9">
        <v>4.9444999999999997</v>
      </c>
      <c r="O124" s="9">
        <v>0.37409999999999999</v>
      </c>
      <c r="P124" s="9">
        <v>1.2927</v>
      </c>
      <c r="Q124" s="9">
        <v>32.624400000000001</v>
      </c>
      <c r="R124" s="9"/>
      <c r="S124" s="11"/>
    </row>
    <row r="125" spans="1:19" ht="15.75">
      <c r="A125" s="13">
        <v>45292</v>
      </c>
      <c r="B125" s="8">
        <f>5.8441 * CHOOSE(CONTROL!$C$15, $D$11, 100%, $F$11)</f>
        <v>5.8441000000000001</v>
      </c>
      <c r="C125" s="8">
        <f>5.8493 * CHOOSE(CONTROL!$C$15, $D$11, 100%, $F$11)</f>
        <v>5.8493000000000004</v>
      </c>
      <c r="D125" s="8">
        <f>5.8358 * CHOOSE( CONTROL!$C$15, $D$11, 100%, $F$11)</f>
        <v>5.8357999999999999</v>
      </c>
      <c r="E125" s="12">
        <f>5.8402 * CHOOSE( CONTROL!$C$15, $D$11, 100%, $F$11)</f>
        <v>5.8402000000000003</v>
      </c>
      <c r="F125" s="4">
        <f>6.493 * CHOOSE(CONTROL!$C$15, $D$11, 100%, $F$11)</f>
        <v>6.4930000000000003</v>
      </c>
      <c r="G125" s="8">
        <f>5.6958 * CHOOSE( CONTROL!$C$15, $D$11, 100%, $F$11)</f>
        <v>5.6958000000000002</v>
      </c>
      <c r="H125" s="4">
        <f>6.5765 * CHOOSE(CONTROL!$C$15, $D$11, 100%, $F$11)</f>
        <v>6.5765000000000002</v>
      </c>
      <c r="I125" s="8">
        <f>5.7003 * CHOOSE(CONTROL!$C$15, $D$11, 100%, $F$11)</f>
        <v>5.7003000000000004</v>
      </c>
      <c r="J125" s="4">
        <f>5.5838 * CHOOSE(CONTROL!$C$15, $D$11, 100%, $F$11)</f>
        <v>5.5838000000000001</v>
      </c>
      <c r="K125" s="4"/>
      <c r="L125" s="9">
        <v>29.306000000000001</v>
      </c>
      <c r="M125" s="9">
        <v>12.063700000000001</v>
      </c>
      <c r="N125" s="9">
        <v>4.9444999999999997</v>
      </c>
      <c r="O125" s="9">
        <v>0.37409999999999999</v>
      </c>
      <c r="P125" s="9">
        <v>1.2927</v>
      </c>
      <c r="Q125" s="9">
        <v>32.440300000000001</v>
      </c>
      <c r="R125" s="9"/>
      <c r="S125" s="11"/>
    </row>
    <row r="126" spans="1:19" ht="15.75">
      <c r="A126" s="13">
        <v>45323</v>
      </c>
      <c r="B126" s="8">
        <f>5.4682 * CHOOSE(CONTROL!$C$15, $D$11, 100%, $F$11)</f>
        <v>5.4682000000000004</v>
      </c>
      <c r="C126" s="8">
        <f>5.4733 * CHOOSE(CONTROL!$C$15, $D$11, 100%, $F$11)</f>
        <v>5.4733000000000001</v>
      </c>
      <c r="D126" s="8">
        <f>5.4598 * CHOOSE( CONTROL!$C$15, $D$11, 100%, $F$11)</f>
        <v>5.4598000000000004</v>
      </c>
      <c r="E126" s="12">
        <f>5.4642 * CHOOSE( CONTROL!$C$15, $D$11, 100%, $F$11)</f>
        <v>5.4641999999999999</v>
      </c>
      <c r="F126" s="4">
        <f>6.1171 * CHOOSE(CONTROL!$C$15, $D$11, 100%, $F$11)</f>
        <v>6.1170999999999998</v>
      </c>
      <c r="G126" s="8">
        <f>5.3285 * CHOOSE( CONTROL!$C$15, $D$11, 100%, $F$11)</f>
        <v>5.3285</v>
      </c>
      <c r="H126" s="4">
        <f>6.2093 * CHOOSE(CONTROL!$C$15, $D$11, 100%, $F$11)</f>
        <v>6.2092999999999998</v>
      </c>
      <c r="I126" s="8">
        <f>5.3391 * CHOOSE(CONTROL!$C$15, $D$11, 100%, $F$11)</f>
        <v>5.3391000000000002</v>
      </c>
      <c r="J126" s="4">
        <f>5.2228 * CHOOSE(CONTROL!$C$15, $D$11, 100%, $F$11)</f>
        <v>5.2228000000000003</v>
      </c>
      <c r="K126" s="4"/>
      <c r="L126" s="9">
        <v>27.415299999999998</v>
      </c>
      <c r="M126" s="9">
        <v>11.285299999999999</v>
      </c>
      <c r="N126" s="9">
        <v>4.6254999999999997</v>
      </c>
      <c r="O126" s="9">
        <v>0.34989999999999999</v>
      </c>
      <c r="P126" s="9">
        <v>1.2093</v>
      </c>
      <c r="Q126" s="9">
        <v>30.347300000000001</v>
      </c>
      <c r="R126" s="9"/>
      <c r="S126" s="11"/>
    </row>
    <row r="127" spans="1:19" ht="15.75">
      <c r="A127" s="13">
        <v>45352</v>
      </c>
      <c r="B127" s="8">
        <f>5.3524 * CHOOSE(CONTROL!$C$15, $D$11, 100%, $F$11)</f>
        <v>5.3524000000000003</v>
      </c>
      <c r="C127" s="8">
        <f>5.3575 * CHOOSE(CONTROL!$C$15, $D$11, 100%, $F$11)</f>
        <v>5.3574999999999999</v>
      </c>
      <c r="D127" s="8">
        <f>5.3437 * CHOOSE( CONTROL!$C$15, $D$11, 100%, $F$11)</f>
        <v>5.3437000000000001</v>
      </c>
      <c r="E127" s="12">
        <f>5.3482 * CHOOSE( CONTROL!$C$15, $D$11, 100%, $F$11)</f>
        <v>5.3482000000000003</v>
      </c>
      <c r="F127" s="4">
        <f>6.0013 * CHOOSE(CONTROL!$C$15, $D$11, 100%, $F$11)</f>
        <v>6.0012999999999996</v>
      </c>
      <c r="G127" s="8">
        <f>5.2152 * CHOOSE( CONTROL!$C$15, $D$11, 100%, $F$11)</f>
        <v>5.2152000000000003</v>
      </c>
      <c r="H127" s="4">
        <f>6.0962 * CHOOSE(CONTROL!$C$15, $D$11, 100%, $F$11)</f>
        <v>6.0961999999999996</v>
      </c>
      <c r="I127" s="8">
        <f>5.2269 * CHOOSE(CONTROL!$C$15, $D$11, 100%, $F$11)</f>
        <v>5.2268999999999997</v>
      </c>
      <c r="J127" s="4">
        <f>5.1116 * CHOOSE(CONTROL!$C$15, $D$11, 100%, $F$11)</f>
        <v>5.1116000000000001</v>
      </c>
      <c r="K127" s="4"/>
      <c r="L127" s="9">
        <v>29.306000000000001</v>
      </c>
      <c r="M127" s="9">
        <v>12.063700000000001</v>
      </c>
      <c r="N127" s="9">
        <v>4.9444999999999997</v>
      </c>
      <c r="O127" s="9">
        <v>0.37409999999999999</v>
      </c>
      <c r="P127" s="9">
        <v>1.2927</v>
      </c>
      <c r="Q127" s="9">
        <v>32.440300000000001</v>
      </c>
      <c r="R127" s="9"/>
      <c r="S127" s="11"/>
    </row>
    <row r="128" spans="1:19" ht="15.75">
      <c r="A128" s="13">
        <v>45383</v>
      </c>
      <c r="B128" s="8">
        <f>5.434 * CHOOSE(CONTROL!$C$15, $D$11, 100%, $F$11)</f>
        <v>5.4340000000000002</v>
      </c>
      <c r="C128" s="8">
        <f>5.4387 * CHOOSE(CONTROL!$C$15, $D$11, 100%, $F$11)</f>
        <v>5.4386999999999999</v>
      </c>
      <c r="D128" s="8">
        <f>5.465 * CHOOSE( CONTROL!$C$15, $D$11, 100%, $F$11)</f>
        <v>5.4649999999999999</v>
      </c>
      <c r="E128" s="12">
        <f>5.4558 * CHOOSE( CONTROL!$C$15, $D$11, 100%, $F$11)</f>
        <v>5.4558</v>
      </c>
      <c r="F128" s="4">
        <f>6.1332 * CHOOSE(CONTROL!$C$15, $D$11, 100%, $F$11)</f>
        <v>6.1332000000000004</v>
      </c>
      <c r="G128" s="8">
        <f>5.2943 * CHOOSE( CONTROL!$C$15, $D$11, 100%, $F$11)</f>
        <v>5.2942999999999998</v>
      </c>
      <c r="H128" s="4">
        <f>6.2251 * CHOOSE(CONTROL!$C$15, $D$11, 100%, $F$11)</f>
        <v>6.2251000000000003</v>
      </c>
      <c r="I128" s="8">
        <f>5.2964 * CHOOSE(CONTROL!$C$15, $D$11, 100%, $F$11)</f>
        <v>5.2964000000000002</v>
      </c>
      <c r="J128" s="4">
        <f>5.1893 * CHOOSE(CONTROL!$C$15, $D$11, 100%, $F$11)</f>
        <v>5.1893000000000002</v>
      </c>
      <c r="K128" s="4"/>
      <c r="L128" s="9">
        <v>30.092199999999998</v>
      </c>
      <c r="M128" s="9">
        <v>11.6745</v>
      </c>
      <c r="N128" s="9">
        <v>4.7850000000000001</v>
      </c>
      <c r="O128" s="9">
        <v>0.36199999999999999</v>
      </c>
      <c r="P128" s="9">
        <v>1.1791</v>
      </c>
      <c r="Q128" s="9">
        <v>31.393799999999999</v>
      </c>
      <c r="R128" s="9"/>
      <c r="S128" s="11"/>
    </row>
    <row r="129" spans="1:19" ht="15.75">
      <c r="A129" s="13">
        <v>45413</v>
      </c>
      <c r="B129" s="8">
        <f>CHOOSE( CONTROL!$C$32, 5.5843, 5.5794) * CHOOSE(CONTROL!$C$15, $D$11, 100%, $F$11)</f>
        <v>5.5842999999999998</v>
      </c>
      <c r="C129" s="8">
        <f>CHOOSE( CONTROL!$C$32, 5.5923, 5.5875) * CHOOSE(CONTROL!$C$15, $D$11, 100%, $F$11)</f>
        <v>5.5922999999999998</v>
      </c>
      <c r="D129" s="8">
        <f>CHOOSE( CONTROL!$C$32, 5.6137, 5.6088) * CHOOSE( CONTROL!$C$15, $D$11, 100%, $F$11)</f>
        <v>5.6136999999999997</v>
      </c>
      <c r="E129" s="12">
        <f>CHOOSE( CONTROL!$C$32, 5.6047, 5.5998) * CHOOSE( CONTROL!$C$15, $D$11, 100%, $F$11)</f>
        <v>5.6047000000000002</v>
      </c>
      <c r="F129" s="4">
        <f>CHOOSE( CONTROL!$C$32, 6.2821, 6.2772) * CHOOSE(CONTROL!$C$15, $D$11, 100%, $F$11)</f>
        <v>6.2820999999999998</v>
      </c>
      <c r="G129" s="8">
        <f>CHOOSE( CONTROL!$C$32, 5.4406, 5.4359) * CHOOSE( CONTROL!$C$15, $D$11, 100%, $F$11)</f>
        <v>5.4405999999999999</v>
      </c>
      <c r="H129" s="4">
        <f>CHOOSE( CONTROL!$C$32, 6.3705, 6.3658) * CHOOSE(CONTROL!$C$15, $D$11, 100%, $F$11)</f>
        <v>6.3704999999999998</v>
      </c>
      <c r="I129" s="8">
        <f>CHOOSE( CONTROL!$C$32, 5.4394, 5.4347) * CHOOSE(CONTROL!$C$15, $D$11, 100%, $F$11)</f>
        <v>5.4394</v>
      </c>
      <c r="J129" s="4">
        <f>CHOOSE( CONTROL!$C$32, 5.3322, 5.3276) * CHOOSE(CONTROL!$C$15, $D$11, 100%, $F$11)</f>
        <v>5.3322000000000003</v>
      </c>
      <c r="K129" s="4"/>
      <c r="L129" s="9">
        <v>30.7165</v>
      </c>
      <c r="M129" s="9">
        <v>12.063700000000001</v>
      </c>
      <c r="N129" s="9">
        <v>4.9444999999999997</v>
      </c>
      <c r="O129" s="9">
        <v>0.37409999999999999</v>
      </c>
      <c r="P129" s="9">
        <v>1.2183999999999999</v>
      </c>
      <c r="Q129" s="9">
        <v>32.440300000000001</v>
      </c>
      <c r="R129" s="9"/>
      <c r="S129" s="11"/>
    </row>
    <row r="130" spans="1:19" ht="15.75">
      <c r="A130" s="13">
        <v>45444</v>
      </c>
      <c r="B130" s="8">
        <f>CHOOSE( CONTROL!$C$32, 5.495, 5.4902) * CHOOSE(CONTROL!$C$15, $D$11, 100%, $F$11)</f>
        <v>5.4950000000000001</v>
      </c>
      <c r="C130" s="8">
        <f>CHOOSE( CONTROL!$C$32, 5.5031, 5.4983) * CHOOSE(CONTROL!$C$15, $D$11, 100%, $F$11)</f>
        <v>5.5030999999999999</v>
      </c>
      <c r="D130" s="8">
        <f>CHOOSE( CONTROL!$C$32, 5.5246, 5.5198) * CHOOSE( CONTROL!$C$15, $D$11, 100%, $F$11)</f>
        <v>5.5246000000000004</v>
      </c>
      <c r="E130" s="12">
        <f>CHOOSE( CONTROL!$C$32, 5.5156, 5.5108) * CHOOSE( CONTROL!$C$15, $D$11, 100%, $F$11)</f>
        <v>5.5156000000000001</v>
      </c>
      <c r="F130" s="4">
        <f>CHOOSE( CONTROL!$C$32, 6.1928, 6.188) * CHOOSE(CONTROL!$C$15, $D$11, 100%, $F$11)</f>
        <v>6.1928000000000001</v>
      </c>
      <c r="G130" s="8">
        <f>CHOOSE( CONTROL!$C$32, 5.3538, 5.3491) * CHOOSE( CONTROL!$C$15, $D$11, 100%, $F$11)</f>
        <v>5.3537999999999997</v>
      </c>
      <c r="H130" s="4">
        <f>CHOOSE( CONTROL!$C$32, 6.2833, 6.2786) * CHOOSE(CONTROL!$C$15, $D$11, 100%, $F$11)</f>
        <v>6.2832999999999997</v>
      </c>
      <c r="I130" s="8">
        <f>CHOOSE( CONTROL!$C$32, 5.3546, 5.35) * CHOOSE(CONTROL!$C$15, $D$11, 100%, $F$11)</f>
        <v>5.3545999999999996</v>
      </c>
      <c r="J130" s="4">
        <f>CHOOSE( CONTROL!$C$32, 5.2466, 5.2419) * CHOOSE(CONTROL!$C$15, $D$11, 100%, $F$11)</f>
        <v>5.2465999999999999</v>
      </c>
      <c r="K130" s="4"/>
      <c r="L130" s="9">
        <v>29.7257</v>
      </c>
      <c r="M130" s="9">
        <v>11.6745</v>
      </c>
      <c r="N130" s="9">
        <v>4.7850000000000001</v>
      </c>
      <c r="O130" s="9">
        <v>0.36199999999999999</v>
      </c>
      <c r="P130" s="9">
        <v>1.1791</v>
      </c>
      <c r="Q130" s="9">
        <v>31.393799999999999</v>
      </c>
      <c r="R130" s="9"/>
      <c r="S130" s="11"/>
    </row>
    <row r="131" spans="1:19" ht="15.75">
      <c r="A131" s="13">
        <v>45474</v>
      </c>
      <c r="B131" s="8">
        <f>CHOOSE( CONTROL!$C$32, 5.73, 5.7251) * CHOOSE(CONTROL!$C$15, $D$11, 100%, $F$11)</f>
        <v>5.73</v>
      </c>
      <c r="C131" s="8">
        <f>CHOOSE( CONTROL!$C$32, 5.7381, 5.7332) * CHOOSE(CONTROL!$C$15, $D$11, 100%, $F$11)</f>
        <v>5.7381000000000002</v>
      </c>
      <c r="D131" s="8">
        <f>CHOOSE( CONTROL!$C$32, 5.7598, 5.755) * CHOOSE( CONTROL!$C$15, $D$11, 100%, $F$11)</f>
        <v>5.7598000000000003</v>
      </c>
      <c r="E131" s="12">
        <f>CHOOSE( CONTROL!$C$32, 5.7507, 5.7459) * CHOOSE( CONTROL!$C$15, $D$11, 100%, $F$11)</f>
        <v>5.7507000000000001</v>
      </c>
      <c r="F131" s="4">
        <f>CHOOSE( CONTROL!$C$32, 6.4278, 6.423) * CHOOSE(CONTROL!$C$15, $D$11, 100%, $F$11)</f>
        <v>6.4278000000000004</v>
      </c>
      <c r="G131" s="8">
        <f>CHOOSE( CONTROL!$C$32, 5.5836, 5.5789) * CHOOSE( CONTROL!$C$15, $D$11, 100%, $F$11)</f>
        <v>5.5835999999999997</v>
      </c>
      <c r="H131" s="4">
        <f>CHOOSE( CONTROL!$C$32, 6.5128, 6.5081) * CHOOSE(CONTROL!$C$15, $D$11, 100%, $F$11)</f>
        <v>6.5128000000000004</v>
      </c>
      <c r="I131" s="8">
        <f>CHOOSE( CONTROL!$C$32, 5.5814, 5.5768) * CHOOSE(CONTROL!$C$15, $D$11, 100%, $F$11)</f>
        <v>5.5814000000000004</v>
      </c>
      <c r="J131" s="4">
        <f>CHOOSE( CONTROL!$C$32, 5.4721, 5.4675) * CHOOSE(CONTROL!$C$15, $D$11, 100%, $F$11)</f>
        <v>5.4721000000000002</v>
      </c>
      <c r="K131" s="4"/>
      <c r="L131" s="9">
        <v>30.7165</v>
      </c>
      <c r="M131" s="9">
        <v>12.063700000000001</v>
      </c>
      <c r="N131" s="9">
        <v>4.9444999999999997</v>
      </c>
      <c r="O131" s="9">
        <v>0.37409999999999999</v>
      </c>
      <c r="P131" s="9">
        <v>1.2183999999999999</v>
      </c>
      <c r="Q131" s="9">
        <v>32.440300000000001</v>
      </c>
      <c r="R131" s="9"/>
      <c r="S131" s="11"/>
    </row>
    <row r="132" spans="1:19" ht="15.75">
      <c r="A132" s="13">
        <v>45505</v>
      </c>
      <c r="B132" s="8">
        <f>CHOOSE( CONTROL!$C$32, 5.2904, 5.2856) * CHOOSE(CONTROL!$C$15, $D$11, 100%, $F$11)</f>
        <v>5.2904</v>
      </c>
      <c r="C132" s="8">
        <f>CHOOSE( CONTROL!$C$32, 5.2985, 5.2936) * CHOOSE(CONTROL!$C$15, $D$11, 100%, $F$11)</f>
        <v>5.2984999999999998</v>
      </c>
      <c r="D132" s="8">
        <f>CHOOSE( CONTROL!$C$32, 5.3203, 5.3154) * CHOOSE( CONTROL!$C$15, $D$11, 100%, $F$11)</f>
        <v>5.3202999999999996</v>
      </c>
      <c r="E132" s="12">
        <f>CHOOSE( CONTROL!$C$32, 5.3112, 5.3063) * CHOOSE( CONTROL!$C$15, $D$11, 100%, $F$11)</f>
        <v>5.3112000000000004</v>
      </c>
      <c r="F132" s="4">
        <f>CHOOSE( CONTROL!$C$32, 5.9882, 5.9834) * CHOOSE(CONTROL!$C$15, $D$11, 100%, $F$11)</f>
        <v>5.9882</v>
      </c>
      <c r="G132" s="8">
        <f>CHOOSE( CONTROL!$C$32, 5.1543, 5.1496) * CHOOSE( CONTROL!$C$15, $D$11, 100%, $F$11)</f>
        <v>5.1543000000000001</v>
      </c>
      <c r="H132" s="4">
        <f>CHOOSE( CONTROL!$C$32, 6.0835, 6.0787) * CHOOSE(CONTROL!$C$15, $D$11, 100%, $F$11)</f>
        <v>6.0834999999999999</v>
      </c>
      <c r="I132" s="8">
        <f>CHOOSE( CONTROL!$C$32, 5.1594, 5.1548) * CHOOSE(CONTROL!$C$15, $D$11, 100%, $F$11)</f>
        <v>5.1593999999999998</v>
      </c>
      <c r="J132" s="4">
        <f>CHOOSE( CONTROL!$C$32, 5.0501, 5.0454) * CHOOSE(CONTROL!$C$15, $D$11, 100%, $F$11)</f>
        <v>5.0500999999999996</v>
      </c>
      <c r="K132" s="4"/>
      <c r="L132" s="9">
        <v>30.7165</v>
      </c>
      <c r="M132" s="9">
        <v>12.063700000000001</v>
      </c>
      <c r="N132" s="9">
        <v>4.9444999999999997</v>
      </c>
      <c r="O132" s="9">
        <v>0.37409999999999999</v>
      </c>
      <c r="P132" s="9">
        <v>1.2183999999999999</v>
      </c>
      <c r="Q132" s="9">
        <v>32.440300000000001</v>
      </c>
      <c r="R132" s="9"/>
      <c r="S132" s="11"/>
    </row>
    <row r="133" spans="1:19" ht="15.75">
      <c r="A133" s="13">
        <v>45536</v>
      </c>
      <c r="B133" s="8">
        <f>CHOOSE( CONTROL!$C$32, 5.1803, 5.1755) * CHOOSE(CONTROL!$C$15, $D$11, 100%, $F$11)</f>
        <v>5.1802999999999999</v>
      </c>
      <c r="C133" s="8">
        <f>CHOOSE( CONTROL!$C$32, 5.1884, 5.1836) * CHOOSE(CONTROL!$C$15, $D$11, 100%, $F$11)</f>
        <v>5.1883999999999997</v>
      </c>
      <c r="D133" s="8">
        <f>CHOOSE( CONTROL!$C$32, 5.2102, 5.2053) * CHOOSE( CONTROL!$C$15, $D$11, 100%, $F$11)</f>
        <v>5.2102000000000004</v>
      </c>
      <c r="E133" s="12">
        <f>CHOOSE( CONTROL!$C$32, 5.2011, 5.1962) * CHOOSE( CONTROL!$C$15, $D$11, 100%, $F$11)</f>
        <v>5.2011000000000003</v>
      </c>
      <c r="F133" s="4">
        <f>CHOOSE( CONTROL!$C$32, 5.8781, 5.8733) * CHOOSE(CONTROL!$C$15, $D$11, 100%, $F$11)</f>
        <v>5.8780999999999999</v>
      </c>
      <c r="G133" s="8">
        <f>CHOOSE( CONTROL!$C$32, 5.0468, 5.0421) * CHOOSE( CONTROL!$C$15, $D$11, 100%, $F$11)</f>
        <v>5.0468000000000002</v>
      </c>
      <c r="H133" s="4">
        <f>CHOOSE( CONTROL!$C$32, 5.9759, 5.9712) * CHOOSE(CONTROL!$C$15, $D$11, 100%, $F$11)</f>
        <v>5.9759000000000002</v>
      </c>
      <c r="I133" s="8">
        <f>CHOOSE( CONTROL!$C$32, 5.0536, 5.049) * CHOOSE(CONTROL!$C$15, $D$11, 100%, $F$11)</f>
        <v>5.0536000000000003</v>
      </c>
      <c r="J133" s="4">
        <f>CHOOSE( CONTROL!$C$32, 4.9444, 4.9397) * CHOOSE(CONTROL!$C$15, $D$11, 100%, $F$11)</f>
        <v>4.9443999999999999</v>
      </c>
      <c r="K133" s="4"/>
      <c r="L133" s="9">
        <v>29.7257</v>
      </c>
      <c r="M133" s="9">
        <v>11.6745</v>
      </c>
      <c r="N133" s="9">
        <v>4.7850000000000001</v>
      </c>
      <c r="O133" s="9">
        <v>0.36199999999999999</v>
      </c>
      <c r="P133" s="9">
        <v>1.1791</v>
      </c>
      <c r="Q133" s="9">
        <v>31.393799999999999</v>
      </c>
      <c r="R133" s="9"/>
      <c r="S133" s="11"/>
    </row>
    <row r="134" spans="1:19" ht="15.75">
      <c r="A134" s="13">
        <v>45566</v>
      </c>
      <c r="B134" s="8">
        <f>5.4023 * CHOOSE(CONTROL!$C$15, $D$11, 100%, $F$11)</f>
        <v>5.4023000000000003</v>
      </c>
      <c r="C134" s="8">
        <f>5.4078 * CHOOSE(CONTROL!$C$15, $D$11, 100%, $F$11)</f>
        <v>5.4077999999999999</v>
      </c>
      <c r="D134" s="8">
        <f>5.4342 * CHOOSE( CONTROL!$C$15, $D$11, 100%, $F$11)</f>
        <v>5.4341999999999997</v>
      </c>
      <c r="E134" s="12">
        <f>5.4249 * CHOOSE( CONTROL!$C$15, $D$11, 100%, $F$11)</f>
        <v>5.4249000000000001</v>
      </c>
      <c r="F134" s="4">
        <f>6.1018 * CHOOSE(CONTROL!$C$15, $D$11, 100%, $F$11)</f>
        <v>6.1017999999999999</v>
      </c>
      <c r="G134" s="8">
        <f>5.2646 * CHOOSE( CONTROL!$C$15, $D$11, 100%, $F$11)</f>
        <v>5.2645999999999997</v>
      </c>
      <c r="H134" s="4">
        <f>6.1945 * CHOOSE(CONTROL!$C$15, $D$11, 100%, $F$11)</f>
        <v>6.1944999999999997</v>
      </c>
      <c r="I134" s="8">
        <f>5.2693 * CHOOSE(CONTROL!$C$15, $D$11, 100%, $F$11)</f>
        <v>5.2693000000000003</v>
      </c>
      <c r="J134" s="4">
        <f>5.1592 * CHOOSE(CONTROL!$C$15, $D$11, 100%, $F$11)</f>
        <v>5.1592000000000002</v>
      </c>
      <c r="K134" s="4"/>
      <c r="L134" s="9">
        <v>31.095300000000002</v>
      </c>
      <c r="M134" s="9">
        <v>12.063700000000001</v>
      </c>
      <c r="N134" s="9">
        <v>4.9444999999999997</v>
      </c>
      <c r="O134" s="9">
        <v>0.37409999999999999</v>
      </c>
      <c r="P134" s="9">
        <v>1.2183999999999999</v>
      </c>
      <c r="Q134" s="9">
        <v>32.440300000000001</v>
      </c>
      <c r="R134" s="9"/>
      <c r="S134" s="11"/>
    </row>
    <row r="135" spans="1:19" ht="15.75">
      <c r="A135" s="13">
        <v>45597</v>
      </c>
      <c r="B135" s="8">
        <f>5.8238 * CHOOSE(CONTROL!$C$15, $D$11, 100%, $F$11)</f>
        <v>5.8238000000000003</v>
      </c>
      <c r="C135" s="8">
        <f>5.829 * CHOOSE(CONTROL!$C$15, $D$11, 100%, $F$11)</f>
        <v>5.8289999999999997</v>
      </c>
      <c r="D135" s="8">
        <f>5.8182 * CHOOSE( CONTROL!$C$15, $D$11, 100%, $F$11)</f>
        <v>5.8182</v>
      </c>
      <c r="E135" s="12">
        <f>5.8216 * CHOOSE( CONTROL!$C$15, $D$11, 100%, $F$11)</f>
        <v>5.8216000000000001</v>
      </c>
      <c r="F135" s="4">
        <f>6.4727 * CHOOSE(CONTROL!$C$15, $D$11, 100%, $F$11)</f>
        <v>6.4726999999999997</v>
      </c>
      <c r="G135" s="8">
        <f>5.6812 * CHOOSE( CONTROL!$C$15, $D$11, 100%, $F$11)</f>
        <v>5.6811999999999996</v>
      </c>
      <c r="H135" s="4">
        <f>6.5567 * CHOOSE(CONTROL!$C$15, $D$11, 100%, $F$11)</f>
        <v>6.5567000000000002</v>
      </c>
      <c r="I135" s="8">
        <f>5.7001 * CHOOSE(CONTROL!$C$15, $D$11, 100%, $F$11)</f>
        <v>5.7000999999999999</v>
      </c>
      <c r="J135" s="4">
        <f>5.5642 * CHOOSE(CONTROL!$C$15, $D$11, 100%, $F$11)</f>
        <v>5.5641999999999996</v>
      </c>
      <c r="K135" s="4"/>
      <c r="L135" s="9">
        <v>28.360600000000002</v>
      </c>
      <c r="M135" s="9">
        <v>11.6745</v>
      </c>
      <c r="N135" s="9">
        <v>4.7850000000000001</v>
      </c>
      <c r="O135" s="9">
        <v>0.36199999999999999</v>
      </c>
      <c r="P135" s="9">
        <v>1.2509999999999999</v>
      </c>
      <c r="Q135" s="9">
        <v>31.393799999999999</v>
      </c>
      <c r="R135" s="9"/>
      <c r="S135" s="11"/>
    </row>
    <row r="136" spans="1:19" ht="15.75">
      <c r="A136" s="13">
        <v>45627</v>
      </c>
      <c r="B136" s="8">
        <f>5.8132 * CHOOSE(CONTROL!$C$15, $D$11, 100%, $F$11)</f>
        <v>5.8132000000000001</v>
      </c>
      <c r="C136" s="8">
        <f>5.8184 * CHOOSE(CONTROL!$C$15, $D$11, 100%, $F$11)</f>
        <v>5.8183999999999996</v>
      </c>
      <c r="D136" s="8">
        <f>5.809 * CHOOSE( CONTROL!$C$15, $D$11, 100%, $F$11)</f>
        <v>5.8090000000000002</v>
      </c>
      <c r="E136" s="12">
        <f>5.8119 * CHOOSE( CONTROL!$C$15, $D$11, 100%, $F$11)</f>
        <v>5.8118999999999996</v>
      </c>
      <c r="F136" s="4">
        <f>6.4621 * CHOOSE(CONTROL!$C$15, $D$11, 100%, $F$11)</f>
        <v>6.4621000000000004</v>
      </c>
      <c r="G136" s="8">
        <f>5.6719 * CHOOSE( CONTROL!$C$15, $D$11, 100%, $F$11)</f>
        <v>5.6718999999999999</v>
      </c>
      <c r="H136" s="4">
        <f>6.5464 * CHOOSE(CONTROL!$C$15, $D$11, 100%, $F$11)</f>
        <v>6.5464000000000002</v>
      </c>
      <c r="I136" s="8">
        <f>5.6943 * CHOOSE(CONTROL!$C$15, $D$11, 100%, $F$11)</f>
        <v>5.6943000000000001</v>
      </c>
      <c r="J136" s="4">
        <f>5.5541 * CHOOSE(CONTROL!$C$15, $D$11, 100%, $F$11)</f>
        <v>5.5541</v>
      </c>
      <c r="K136" s="4"/>
      <c r="L136" s="9">
        <v>29.306000000000001</v>
      </c>
      <c r="M136" s="9">
        <v>12.063700000000001</v>
      </c>
      <c r="N136" s="9">
        <v>4.9444999999999997</v>
      </c>
      <c r="O136" s="9">
        <v>0.37409999999999999</v>
      </c>
      <c r="P136" s="9">
        <v>1.2927</v>
      </c>
      <c r="Q136" s="9">
        <v>32.440300000000001</v>
      </c>
      <c r="R136" s="9"/>
      <c r="S136" s="11"/>
    </row>
    <row r="137" spans="1:19" ht="15.75">
      <c r="A137" s="13">
        <v>45658</v>
      </c>
      <c r="B137" s="8">
        <f>6.0294 * CHOOSE(CONTROL!$C$15, $D$11, 100%, $F$11)</f>
        <v>6.0293999999999999</v>
      </c>
      <c r="C137" s="8">
        <f>6.0346 * CHOOSE(CONTROL!$C$15, $D$11, 100%, $F$11)</f>
        <v>6.0346000000000002</v>
      </c>
      <c r="D137" s="8">
        <f>6.0211 * CHOOSE( CONTROL!$C$15, $D$11, 100%, $F$11)</f>
        <v>6.0210999999999997</v>
      </c>
      <c r="E137" s="12">
        <f>6.0255 * CHOOSE( CONTROL!$C$15, $D$11, 100%, $F$11)</f>
        <v>6.0255000000000001</v>
      </c>
      <c r="F137" s="4">
        <f>6.6783 * CHOOSE(CONTROL!$C$15, $D$11, 100%, $F$11)</f>
        <v>6.6783000000000001</v>
      </c>
      <c r="G137" s="8">
        <f>5.8767 * CHOOSE( CONTROL!$C$15, $D$11, 100%, $F$11)</f>
        <v>5.8766999999999996</v>
      </c>
      <c r="H137" s="4">
        <f>6.7575 * CHOOSE(CONTROL!$C$15, $D$11, 100%, $F$11)</f>
        <v>6.7575000000000003</v>
      </c>
      <c r="I137" s="8">
        <f>5.8782 * CHOOSE(CONTROL!$C$15, $D$11, 100%, $F$11)</f>
        <v>5.8781999999999996</v>
      </c>
      <c r="J137" s="4">
        <f>5.7617 * CHOOSE(CONTROL!$C$15, $D$11, 100%, $F$11)</f>
        <v>5.7617000000000003</v>
      </c>
      <c r="K137" s="4"/>
      <c r="L137" s="9">
        <v>29.306000000000001</v>
      </c>
      <c r="M137" s="9">
        <v>12.063700000000001</v>
      </c>
      <c r="N137" s="9">
        <v>4.9444999999999997</v>
      </c>
      <c r="O137" s="9">
        <v>0.37409999999999999</v>
      </c>
      <c r="P137" s="9">
        <v>1.2927</v>
      </c>
      <c r="Q137" s="9">
        <v>32.254300000000001</v>
      </c>
      <c r="R137" s="9"/>
      <c r="S137" s="11"/>
    </row>
    <row r="138" spans="1:19" ht="15.75">
      <c r="A138" s="13">
        <v>45689</v>
      </c>
      <c r="B138" s="8">
        <f>5.6415 * CHOOSE(CONTROL!$C$15, $D$11, 100%, $F$11)</f>
        <v>5.6414999999999997</v>
      </c>
      <c r="C138" s="8">
        <f>5.6467 * CHOOSE(CONTROL!$C$15, $D$11, 100%, $F$11)</f>
        <v>5.6467000000000001</v>
      </c>
      <c r="D138" s="8">
        <f>5.6331 * CHOOSE( CONTROL!$C$15, $D$11, 100%, $F$11)</f>
        <v>5.6330999999999998</v>
      </c>
      <c r="E138" s="12">
        <f>5.6375 * CHOOSE( CONTROL!$C$15, $D$11, 100%, $F$11)</f>
        <v>5.6375000000000002</v>
      </c>
      <c r="F138" s="4">
        <f>6.2904 * CHOOSE(CONTROL!$C$15, $D$11, 100%, $F$11)</f>
        <v>6.2904</v>
      </c>
      <c r="G138" s="8">
        <f>5.4978 * CHOOSE( CONTROL!$C$15, $D$11, 100%, $F$11)</f>
        <v>5.4977999999999998</v>
      </c>
      <c r="H138" s="4">
        <f>6.3786 * CHOOSE(CONTROL!$C$15, $D$11, 100%, $F$11)</f>
        <v>6.3785999999999996</v>
      </c>
      <c r="I138" s="8">
        <f>5.5056 * CHOOSE(CONTROL!$C$15, $D$11, 100%, $F$11)</f>
        <v>5.5056000000000003</v>
      </c>
      <c r="J138" s="4">
        <f>5.3892 * CHOOSE(CONTROL!$C$15, $D$11, 100%, $F$11)</f>
        <v>5.3891999999999998</v>
      </c>
      <c r="K138" s="4"/>
      <c r="L138" s="9">
        <v>26.469899999999999</v>
      </c>
      <c r="M138" s="9">
        <v>10.8962</v>
      </c>
      <c r="N138" s="9">
        <v>4.4660000000000002</v>
      </c>
      <c r="O138" s="9">
        <v>0.33789999999999998</v>
      </c>
      <c r="P138" s="9">
        <v>1.1676</v>
      </c>
      <c r="Q138" s="9">
        <v>29.132899999999999</v>
      </c>
      <c r="R138" s="9"/>
      <c r="S138" s="11"/>
    </row>
    <row r="139" spans="1:19" ht="15.75">
      <c r="A139" s="13">
        <v>45717</v>
      </c>
      <c r="B139" s="8">
        <f>5.522 * CHOOSE(CONTROL!$C$15, $D$11, 100%, $F$11)</f>
        <v>5.5220000000000002</v>
      </c>
      <c r="C139" s="8">
        <f>5.5272 * CHOOSE(CONTROL!$C$15, $D$11, 100%, $F$11)</f>
        <v>5.5271999999999997</v>
      </c>
      <c r="D139" s="8">
        <f>5.5133 * CHOOSE( CONTROL!$C$15, $D$11, 100%, $F$11)</f>
        <v>5.5133000000000001</v>
      </c>
      <c r="E139" s="12">
        <f>5.5178 * CHOOSE( CONTROL!$C$15, $D$11, 100%, $F$11)</f>
        <v>5.5178000000000003</v>
      </c>
      <c r="F139" s="4">
        <f>6.1709 * CHOOSE(CONTROL!$C$15, $D$11, 100%, $F$11)</f>
        <v>6.1708999999999996</v>
      </c>
      <c r="G139" s="8">
        <f>5.3809 * CHOOSE( CONTROL!$C$15, $D$11, 100%, $F$11)</f>
        <v>5.3808999999999996</v>
      </c>
      <c r="H139" s="4">
        <f>6.2619 * CHOOSE(CONTROL!$C$15, $D$11, 100%, $F$11)</f>
        <v>6.2618999999999998</v>
      </c>
      <c r="I139" s="8">
        <f>5.3898 * CHOOSE(CONTROL!$C$15, $D$11, 100%, $F$11)</f>
        <v>5.3898000000000001</v>
      </c>
      <c r="J139" s="4">
        <f>5.2745 * CHOOSE(CONTROL!$C$15, $D$11, 100%, $F$11)</f>
        <v>5.2744999999999997</v>
      </c>
      <c r="K139" s="4"/>
      <c r="L139" s="9">
        <v>29.306000000000001</v>
      </c>
      <c r="M139" s="9">
        <v>12.063700000000001</v>
      </c>
      <c r="N139" s="9">
        <v>4.9444999999999997</v>
      </c>
      <c r="O139" s="9">
        <v>0.37409999999999999</v>
      </c>
      <c r="P139" s="9">
        <v>1.2927</v>
      </c>
      <c r="Q139" s="9">
        <v>32.254300000000001</v>
      </c>
      <c r="R139" s="9"/>
      <c r="S139" s="11"/>
    </row>
    <row r="140" spans="1:19" ht="15.75">
      <c r="A140" s="13">
        <v>45748</v>
      </c>
      <c r="B140" s="8">
        <f>5.6062 * CHOOSE(CONTROL!$C$15, $D$11, 100%, $F$11)</f>
        <v>5.6062000000000003</v>
      </c>
      <c r="C140" s="8">
        <f>5.6109 * CHOOSE(CONTROL!$C$15, $D$11, 100%, $F$11)</f>
        <v>5.6109</v>
      </c>
      <c r="D140" s="8">
        <f>5.6372 * CHOOSE( CONTROL!$C$15, $D$11, 100%, $F$11)</f>
        <v>5.6372</v>
      </c>
      <c r="E140" s="12">
        <f>5.628 * CHOOSE( CONTROL!$C$15, $D$11, 100%, $F$11)</f>
        <v>5.6280000000000001</v>
      </c>
      <c r="F140" s="4">
        <f>6.3054 * CHOOSE(CONTROL!$C$15, $D$11, 100%, $F$11)</f>
        <v>6.3053999999999997</v>
      </c>
      <c r="G140" s="8">
        <f>5.4625 * CHOOSE( CONTROL!$C$15, $D$11, 100%, $F$11)</f>
        <v>5.4625000000000004</v>
      </c>
      <c r="H140" s="4">
        <f>6.3933 * CHOOSE(CONTROL!$C$15, $D$11, 100%, $F$11)</f>
        <v>6.3933</v>
      </c>
      <c r="I140" s="8">
        <f>5.4618 * CHOOSE(CONTROL!$C$15, $D$11, 100%, $F$11)</f>
        <v>5.4618000000000002</v>
      </c>
      <c r="J140" s="4">
        <f>5.3546 * CHOOSE(CONTROL!$C$15, $D$11, 100%, $F$11)</f>
        <v>5.3545999999999996</v>
      </c>
      <c r="K140" s="4"/>
      <c r="L140" s="9">
        <v>30.092199999999998</v>
      </c>
      <c r="M140" s="9">
        <v>11.6745</v>
      </c>
      <c r="N140" s="9">
        <v>4.7850000000000001</v>
      </c>
      <c r="O140" s="9">
        <v>0.36199999999999999</v>
      </c>
      <c r="P140" s="9">
        <v>1.1791</v>
      </c>
      <c r="Q140" s="9">
        <v>31.213799999999999</v>
      </c>
      <c r="R140" s="9"/>
      <c r="S140" s="11"/>
    </row>
    <row r="141" spans="1:19" ht="15.75">
      <c r="A141" s="13">
        <v>45778</v>
      </c>
      <c r="B141" s="8">
        <f>CHOOSE( CONTROL!$C$32, 5.761, 5.7562) * CHOOSE(CONTROL!$C$15, $D$11, 100%, $F$11)</f>
        <v>5.7610000000000001</v>
      </c>
      <c r="C141" s="8">
        <f>CHOOSE( CONTROL!$C$32, 5.7691, 5.7643) * CHOOSE(CONTROL!$C$15, $D$11, 100%, $F$11)</f>
        <v>5.7690999999999999</v>
      </c>
      <c r="D141" s="8">
        <f>CHOOSE( CONTROL!$C$32, 5.7904, 5.7856) * CHOOSE( CONTROL!$C$15, $D$11, 100%, $F$11)</f>
        <v>5.7904</v>
      </c>
      <c r="E141" s="12">
        <f>CHOOSE( CONTROL!$C$32, 5.7814, 5.7766) * CHOOSE( CONTROL!$C$15, $D$11, 100%, $F$11)</f>
        <v>5.7813999999999997</v>
      </c>
      <c r="F141" s="4">
        <f>CHOOSE( CONTROL!$C$32, 6.4589, 6.454) * CHOOSE(CONTROL!$C$15, $D$11, 100%, $F$11)</f>
        <v>6.4588999999999999</v>
      </c>
      <c r="G141" s="8">
        <f>CHOOSE( CONTROL!$C$32, 5.6133, 5.6086) * CHOOSE( CONTROL!$C$15, $D$11, 100%, $F$11)</f>
        <v>5.6132999999999997</v>
      </c>
      <c r="H141" s="4">
        <f>CHOOSE( CONTROL!$C$32, 6.5432, 6.5384) * CHOOSE(CONTROL!$C$15, $D$11, 100%, $F$11)</f>
        <v>6.5431999999999997</v>
      </c>
      <c r="I141" s="8">
        <f>CHOOSE( CONTROL!$C$32, 5.6092, 5.6046) * CHOOSE(CONTROL!$C$15, $D$11, 100%, $F$11)</f>
        <v>5.6092000000000004</v>
      </c>
      <c r="J141" s="4">
        <f>CHOOSE( CONTROL!$C$32, 5.502, 5.4973) * CHOOSE(CONTROL!$C$15, $D$11, 100%, $F$11)</f>
        <v>5.5019999999999998</v>
      </c>
      <c r="K141" s="4"/>
      <c r="L141" s="9">
        <v>30.7165</v>
      </c>
      <c r="M141" s="9">
        <v>12.063700000000001</v>
      </c>
      <c r="N141" s="9">
        <v>4.9444999999999997</v>
      </c>
      <c r="O141" s="9">
        <v>0.37409999999999999</v>
      </c>
      <c r="P141" s="9">
        <v>1.2183999999999999</v>
      </c>
      <c r="Q141" s="9">
        <v>32.254300000000001</v>
      </c>
      <c r="R141" s="9"/>
      <c r="S141" s="11"/>
    </row>
    <row r="142" spans="1:19" ht="15.75">
      <c r="A142" s="13">
        <v>45809</v>
      </c>
      <c r="B142" s="8">
        <f>CHOOSE( CONTROL!$C$32, 5.669, 5.6642) * CHOOSE(CONTROL!$C$15, $D$11, 100%, $F$11)</f>
        <v>5.6689999999999996</v>
      </c>
      <c r="C142" s="8">
        <f>CHOOSE( CONTROL!$C$32, 5.6771, 5.6722) * CHOOSE(CONTROL!$C$15, $D$11, 100%, $F$11)</f>
        <v>5.6771000000000003</v>
      </c>
      <c r="D142" s="8">
        <f>CHOOSE( CONTROL!$C$32, 5.6986, 5.6937) * CHOOSE( CONTROL!$C$15, $D$11, 100%, $F$11)</f>
        <v>5.6985999999999999</v>
      </c>
      <c r="E142" s="12">
        <f>CHOOSE( CONTROL!$C$32, 5.6896, 5.6847) * CHOOSE( CONTROL!$C$15, $D$11, 100%, $F$11)</f>
        <v>5.6896000000000004</v>
      </c>
      <c r="F142" s="4">
        <f>CHOOSE( CONTROL!$C$32, 6.3668, 6.362) * CHOOSE(CONTROL!$C$15, $D$11, 100%, $F$11)</f>
        <v>6.3667999999999996</v>
      </c>
      <c r="G142" s="8">
        <f>CHOOSE( CONTROL!$C$32, 5.5237, 5.519) * CHOOSE( CONTROL!$C$15, $D$11, 100%, $F$11)</f>
        <v>5.5236999999999998</v>
      </c>
      <c r="H142" s="4">
        <f>CHOOSE( CONTROL!$C$32, 6.4532, 6.4485) * CHOOSE(CONTROL!$C$15, $D$11, 100%, $F$11)</f>
        <v>6.4531999999999998</v>
      </c>
      <c r="I142" s="8">
        <f>CHOOSE( CONTROL!$C$32, 5.5217, 5.5171) * CHOOSE(CONTROL!$C$15, $D$11, 100%, $F$11)</f>
        <v>5.5217000000000001</v>
      </c>
      <c r="J142" s="4">
        <f>CHOOSE( CONTROL!$C$32, 5.4136, 5.4089) * CHOOSE(CONTROL!$C$15, $D$11, 100%, $F$11)</f>
        <v>5.4135999999999997</v>
      </c>
      <c r="K142" s="4"/>
      <c r="L142" s="9">
        <v>29.7257</v>
      </c>
      <c r="M142" s="9">
        <v>11.6745</v>
      </c>
      <c r="N142" s="9">
        <v>4.7850000000000001</v>
      </c>
      <c r="O142" s="9">
        <v>0.36199999999999999</v>
      </c>
      <c r="P142" s="9">
        <v>1.1791</v>
      </c>
      <c r="Q142" s="9">
        <v>31.213799999999999</v>
      </c>
      <c r="R142" s="9"/>
      <c r="S142" s="11"/>
    </row>
    <row r="143" spans="1:19" ht="15.75">
      <c r="A143" s="13">
        <v>45839</v>
      </c>
      <c r="B143" s="8">
        <f>CHOOSE( CONTROL!$C$32, 5.9114, 5.9066) * CHOOSE(CONTROL!$C$15, $D$11, 100%, $F$11)</f>
        <v>5.9114000000000004</v>
      </c>
      <c r="C143" s="8">
        <f>CHOOSE( CONTROL!$C$32, 5.9195, 5.9147) * CHOOSE(CONTROL!$C$15, $D$11, 100%, $F$11)</f>
        <v>5.9195000000000002</v>
      </c>
      <c r="D143" s="8">
        <f>CHOOSE( CONTROL!$C$32, 5.9412, 5.9364) * CHOOSE( CONTROL!$C$15, $D$11, 100%, $F$11)</f>
        <v>5.9412000000000003</v>
      </c>
      <c r="E143" s="12">
        <f>CHOOSE( CONTROL!$C$32, 5.9321, 5.9273) * CHOOSE( CONTROL!$C$15, $D$11, 100%, $F$11)</f>
        <v>5.9321000000000002</v>
      </c>
      <c r="F143" s="4">
        <f>CHOOSE( CONTROL!$C$32, 6.6092, 6.6044) * CHOOSE(CONTROL!$C$15, $D$11, 100%, $F$11)</f>
        <v>6.6092000000000004</v>
      </c>
      <c r="G143" s="8">
        <f>CHOOSE( CONTROL!$C$32, 5.7608, 5.7561) * CHOOSE( CONTROL!$C$15, $D$11, 100%, $F$11)</f>
        <v>5.7607999999999997</v>
      </c>
      <c r="H143" s="4">
        <f>CHOOSE( CONTROL!$C$32, 6.69, 6.6853) * CHOOSE(CONTROL!$C$15, $D$11, 100%, $F$11)</f>
        <v>6.69</v>
      </c>
      <c r="I143" s="8">
        <f>CHOOSE( CONTROL!$C$32, 5.7557, 5.751) * CHOOSE(CONTROL!$C$15, $D$11, 100%, $F$11)</f>
        <v>5.7557</v>
      </c>
      <c r="J143" s="4">
        <f>CHOOSE( CONTROL!$C$32, 5.6463, 5.6417) * CHOOSE(CONTROL!$C$15, $D$11, 100%, $F$11)</f>
        <v>5.6463000000000001</v>
      </c>
      <c r="K143" s="4"/>
      <c r="L143" s="9">
        <v>30.7165</v>
      </c>
      <c r="M143" s="9">
        <v>12.063700000000001</v>
      </c>
      <c r="N143" s="9">
        <v>4.9444999999999997</v>
      </c>
      <c r="O143" s="9">
        <v>0.37409999999999999</v>
      </c>
      <c r="P143" s="9">
        <v>1.2183999999999999</v>
      </c>
      <c r="Q143" s="9">
        <v>32.254300000000001</v>
      </c>
      <c r="R143" s="9"/>
      <c r="S143" s="11"/>
    </row>
    <row r="144" spans="1:19" ht="15.75">
      <c r="A144" s="13">
        <v>45870</v>
      </c>
      <c r="B144" s="8">
        <f>CHOOSE( CONTROL!$C$32, 5.4578, 5.453) * CHOOSE(CONTROL!$C$15, $D$11, 100%, $F$11)</f>
        <v>5.4577999999999998</v>
      </c>
      <c r="C144" s="8">
        <f>CHOOSE( CONTROL!$C$32, 5.4659, 5.4611) * CHOOSE(CONTROL!$C$15, $D$11, 100%, $F$11)</f>
        <v>5.4659000000000004</v>
      </c>
      <c r="D144" s="8">
        <f>CHOOSE( CONTROL!$C$32, 5.4877, 5.4829) * CHOOSE( CONTROL!$C$15, $D$11, 100%, $F$11)</f>
        <v>5.4877000000000002</v>
      </c>
      <c r="E144" s="12">
        <f>CHOOSE( CONTROL!$C$32, 5.4786, 5.4738) * CHOOSE( CONTROL!$C$15, $D$11, 100%, $F$11)</f>
        <v>5.4786000000000001</v>
      </c>
      <c r="F144" s="4">
        <f>CHOOSE( CONTROL!$C$32, 6.1556, 6.1508) * CHOOSE(CONTROL!$C$15, $D$11, 100%, $F$11)</f>
        <v>6.1555999999999997</v>
      </c>
      <c r="G144" s="8">
        <f>CHOOSE( CONTROL!$C$32, 5.3179, 5.3131) * CHOOSE( CONTROL!$C$15, $D$11, 100%, $F$11)</f>
        <v>5.3178999999999998</v>
      </c>
      <c r="H144" s="4">
        <f>CHOOSE( CONTROL!$C$32, 6.247, 6.2423) * CHOOSE(CONTROL!$C$15, $D$11, 100%, $F$11)</f>
        <v>6.2469999999999999</v>
      </c>
      <c r="I144" s="8">
        <f>CHOOSE( CONTROL!$C$32, 5.3203, 5.3156) * CHOOSE(CONTROL!$C$15, $D$11, 100%, $F$11)</f>
        <v>5.3202999999999996</v>
      </c>
      <c r="J144" s="4">
        <f>CHOOSE( CONTROL!$C$32, 5.2108, 5.2062) * CHOOSE(CONTROL!$C$15, $D$11, 100%, $F$11)</f>
        <v>5.2107999999999999</v>
      </c>
      <c r="K144" s="4"/>
      <c r="L144" s="9">
        <v>30.7165</v>
      </c>
      <c r="M144" s="9">
        <v>12.063700000000001</v>
      </c>
      <c r="N144" s="9">
        <v>4.9444999999999997</v>
      </c>
      <c r="O144" s="9">
        <v>0.37409999999999999</v>
      </c>
      <c r="P144" s="9">
        <v>1.2183999999999999</v>
      </c>
      <c r="Q144" s="9">
        <v>32.254300000000001</v>
      </c>
      <c r="R144" s="9"/>
      <c r="S144" s="11"/>
    </row>
    <row r="145" spans="1:19" ht="15.75">
      <c r="A145" s="13">
        <v>45901</v>
      </c>
      <c r="B145" s="8">
        <f>CHOOSE( CONTROL!$C$32, 5.3442, 5.3394) * CHOOSE(CONTROL!$C$15, $D$11, 100%, $F$11)</f>
        <v>5.3441999999999998</v>
      </c>
      <c r="C145" s="8">
        <f>CHOOSE( CONTROL!$C$32, 5.3523, 5.3475) * CHOOSE(CONTROL!$C$15, $D$11, 100%, $F$11)</f>
        <v>5.3522999999999996</v>
      </c>
      <c r="D145" s="8">
        <f>CHOOSE( CONTROL!$C$32, 5.3741, 5.3693) * CHOOSE( CONTROL!$C$15, $D$11, 100%, $F$11)</f>
        <v>5.3741000000000003</v>
      </c>
      <c r="E145" s="12">
        <f>CHOOSE( CONTROL!$C$32, 5.365, 5.3602) * CHOOSE( CONTROL!$C$15, $D$11, 100%, $F$11)</f>
        <v>5.3650000000000002</v>
      </c>
      <c r="F145" s="4">
        <f>CHOOSE( CONTROL!$C$32, 6.042, 6.0372) * CHOOSE(CONTROL!$C$15, $D$11, 100%, $F$11)</f>
        <v>6.0419999999999998</v>
      </c>
      <c r="G145" s="8">
        <f>CHOOSE( CONTROL!$C$32, 5.2069, 5.2022) * CHOOSE( CONTROL!$C$15, $D$11, 100%, $F$11)</f>
        <v>5.2069000000000001</v>
      </c>
      <c r="H145" s="4">
        <f>CHOOSE( CONTROL!$C$32, 6.136, 6.1313) * CHOOSE(CONTROL!$C$15, $D$11, 100%, $F$11)</f>
        <v>6.1360000000000001</v>
      </c>
      <c r="I145" s="8">
        <f>CHOOSE( CONTROL!$C$32, 5.2111, 5.2064) * CHOOSE(CONTROL!$C$15, $D$11, 100%, $F$11)</f>
        <v>5.2111000000000001</v>
      </c>
      <c r="J145" s="4">
        <f>CHOOSE( CONTROL!$C$32, 5.1018, 5.0971) * CHOOSE(CONTROL!$C$15, $D$11, 100%, $F$11)</f>
        <v>5.1017999999999999</v>
      </c>
      <c r="K145" s="4"/>
      <c r="L145" s="9">
        <v>29.7257</v>
      </c>
      <c r="M145" s="9">
        <v>11.6745</v>
      </c>
      <c r="N145" s="9">
        <v>4.7850000000000001</v>
      </c>
      <c r="O145" s="9">
        <v>0.36199999999999999</v>
      </c>
      <c r="P145" s="9">
        <v>1.1791</v>
      </c>
      <c r="Q145" s="9">
        <v>31.213799999999999</v>
      </c>
      <c r="R145" s="9"/>
      <c r="S145" s="11"/>
    </row>
    <row r="146" spans="1:19" ht="15.75">
      <c r="A146" s="13">
        <v>45931</v>
      </c>
      <c r="B146" s="8">
        <f>5.5735 * CHOOSE(CONTROL!$C$15, $D$11, 100%, $F$11)</f>
        <v>5.5735000000000001</v>
      </c>
      <c r="C146" s="8">
        <f>5.579 * CHOOSE(CONTROL!$C$15, $D$11, 100%, $F$11)</f>
        <v>5.5789999999999997</v>
      </c>
      <c r="D146" s="8">
        <f>5.6054 * CHOOSE( CONTROL!$C$15, $D$11, 100%, $F$11)</f>
        <v>5.6054000000000004</v>
      </c>
      <c r="E146" s="12">
        <f>5.5961 * CHOOSE( CONTROL!$C$15, $D$11, 100%, $F$11)</f>
        <v>5.5960999999999999</v>
      </c>
      <c r="F146" s="4">
        <f>6.2731 * CHOOSE(CONTROL!$C$15, $D$11, 100%, $F$11)</f>
        <v>6.2731000000000003</v>
      </c>
      <c r="G146" s="8">
        <f>5.4318 * CHOOSE( CONTROL!$C$15, $D$11, 100%, $F$11)</f>
        <v>5.4318</v>
      </c>
      <c r="H146" s="4">
        <f>6.3617 * CHOOSE(CONTROL!$C$15, $D$11, 100%, $F$11)</f>
        <v>6.3616999999999999</v>
      </c>
      <c r="I146" s="8">
        <f>5.4337 * CHOOSE(CONTROL!$C$15, $D$11, 100%, $F$11)</f>
        <v>5.4337</v>
      </c>
      <c r="J146" s="4">
        <f>5.3236 * CHOOSE(CONTROL!$C$15, $D$11, 100%, $F$11)</f>
        <v>5.3235999999999999</v>
      </c>
      <c r="K146" s="4"/>
      <c r="L146" s="9">
        <v>31.095300000000002</v>
      </c>
      <c r="M146" s="9">
        <v>12.063700000000001</v>
      </c>
      <c r="N146" s="9">
        <v>4.9444999999999997</v>
      </c>
      <c r="O146" s="9">
        <v>0.37409999999999999</v>
      </c>
      <c r="P146" s="9">
        <v>1.2183999999999999</v>
      </c>
      <c r="Q146" s="9">
        <v>32.254300000000001</v>
      </c>
      <c r="R146" s="9"/>
      <c r="S146" s="11"/>
    </row>
    <row r="147" spans="1:19" ht="15.75">
      <c r="A147" s="13">
        <v>45962</v>
      </c>
      <c r="B147" s="8">
        <f>6.0084 * CHOOSE(CONTROL!$C$15, $D$11, 100%, $F$11)</f>
        <v>6.0084</v>
      </c>
      <c r="C147" s="8">
        <f>6.0136 * CHOOSE(CONTROL!$C$15, $D$11, 100%, $F$11)</f>
        <v>6.0136000000000003</v>
      </c>
      <c r="D147" s="8">
        <f>6.0029 * CHOOSE( CONTROL!$C$15, $D$11, 100%, $F$11)</f>
        <v>6.0029000000000003</v>
      </c>
      <c r="E147" s="12">
        <f>6.0063 * CHOOSE( CONTROL!$C$15, $D$11, 100%, $F$11)</f>
        <v>6.0063000000000004</v>
      </c>
      <c r="F147" s="4">
        <f>6.6573 * CHOOSE(CONTROL!$C$15, $D$11, 100%, $F$11)</f>
        <v>6.6573000000000002</v>
      </c>
      <c r="G147" s="8">
        <f>5.8615 * CHOOSE( CONTROL!$C$15, $D$11, 100%, $F$11)</f>
        <v>5.8615000000000004</v>
      </c>
      <c r="H147" s="4">
        <f>6.737 * CHOOSE(CONTROL!$C$15, $D$11, 100%, $F$11)</f>
        <v>6.7370000000000001</v>
      </c>
      <c r="I147" s="8">
        <f>5.8775 * CHOOSE(CONTROL!$C$15, $D$11, 100%, $F$11)</f>
        <v>5.8775000000000004</v>
      </c>
      <c r="J147" s="4">
        <f>5.7415 * CHOOSE(CONTROL!$C$15, $D$11, 100%, $F$11)</f>
        <v>5.7415000000000003</v>
      </c>
      <c r="K147" s="4"/>
      <c r="L147" s="9">
        <v>28.360600000000002</v>
      </c>
      <c r="M147" s="9">
        <v>11.6745</v>
      </c>
      <c r="N147" s="9">
        <v>4.7850000000000001</v>
      </c>
      <c r="O147" s="9">
        <v>0.36199999999999999</v>
      </c>
      <c r="P147" s="9">
        <v>1.2509999999999999</v>
      </c>
      <c r="Q147" s="9">
        <v>31.213799999999999</v>
      </c>
      <c r="R147" s="9"/>
      <c r="S147" s="11"/>
    </row>
    <row r="148" spans="1:19" ht="15.75">
      <c r="A148" s="13">
        <v>45992</v>
      </c>
      <c r="B148" s="8">
        <f>5.9976 * CHOOSE(CONTROL!$C$15, $D$11, 100%, $F$11)</f>
        <v>5.9976000000000003</v>
      </c>
      <c r="C148" s="8">
        <f>6.0027 * CHOOSE(CONTROL!$C$15, $D$11, 100%, $F$11)</f>
        <v>6.0026999999999999</v>
      </c>
      <c r="D148" s="8">
        <f>5.9933 * CHOOSE( CONTROL!$C$15, $D$11, 100%, $F$11)</f>
        <v>5.9932999999999996</v>
      </c>
      <c r="E148" s="12">
        <f>5.9962 * CHOOSE( CONTROL!$C$15, $D$11, 100%, $F$11)</f>
        <v>5.9962</v>
      </c>
      <c r="F148" s="4">
        <f>6.6465 * CHOOSE(CONTROL!$C$15, $D$11, 100%, $F$11)</f>
        <v>6.6464999999999996</v>
      </c>
      <c r="G148" s="8">
        <f>5.8519 * CHOOSE( CONTROL!$C$15, $D$11, 100%, $F$11)</f>
        <v>5.8518999999999997</v>
      </c>
      <c r="H148" s="4">
        <f>6.7264 * CHOOSE(CONTROL!$C$15, $D$11, 100%, $F$11)</f>
        <v>6.7263999999999999</v>
      </c>
      <c r="I148" s="8">
        <f>5.8713 * CHOOSE(CONTROL!$C$15, $D$11, 100%, $F$11)</f>
        <v>5.8712999999999997</v>
      </c>
      <c r="J148" s="4">
        <f>5.7311 * CHOOSE(CONTROL!$C$15, $D$11, 100%, $F$11)</f>
        <v>5.7310999999999996</v>
      </c>
      <c r="K148" s="4"/>
      <c r="L148" s="9">
        <v>29.306000000000001</v>
      </c>
      <c r="M148" s="9">
        <v>12.063700000000001</v>
      </c>
      <c r="N148" s="9">
        <v>4.9444999999999997</v>
      </c>
      <c r="O148" s="9">
        <v>0.37409999999999999</v>
      </c>
      <c r="P148" s="9">
        <v>1.2927</v>
      </c>
      <c r="Q148" s="9">
        <v>32.254300000000001</v>
      </c>
      <c r="R148" s="9"/>
      <c r="S148" s="11"/>
    </row>
    <row r="149" spans="1:19" ht="15.75">
      <c r="A149" s="13">
        <v>46023</v>
      </c>
      <c r="B149" s="8">
        <f>6.2198 * CHOOSE(CONTROL!$C$15, $D$11, 100%, $F$11)</f>
        <v>6.2198000000000002</v>
      </c>
      <c r="C149" s="8">
        <f>6.225 * CHOOSE(CONTROL!$C$15, $D$11, 100%, $F$11)</f>
        <v>6.2249999999999996</v>
      </c>
      <c r="D149" s="8">
        <f>6.2115 * CHOOSE( CONTROL!$C$15, $D$11, 100%, $F$11)</f>
        <v>6.2115</v>
      </c>
      <c r="E149" s="12">
        <f>6.2159 * CHOOSE( CONTROL!$C$15, $D$11, 100%, $F$11)</f>
        <v>6.2159000000000004</v>
      </c>
      <c r="F149" s="4">
        <f>6.8687 * CHOOSE(CONTROL!$C$15, $D$11, 100%, $F$11)</f>
        <v>6.8686999999999996</v>
      </c>
      <c r="G149" s="8">
        <f>6.0627 * CHOOSE( CONTROL!$C$15, $D$11, 100%, $F$11)</f>
        <v>6.0627000000000004</v>
      </c>
      <c r="H149" s="4">
        <f>6.9435 * CHOOSE(CONTROL!$C$15, $D$11, 100%, $F$11)</f>
        <v>6.9435000000000002</v>
      </c>
      <c r="I149" s="8">
        <f>6.0611 * CHOOSE(CONTROL!$C$15, $D$11, 100%, $F$11)</f>
        <v>6.0610999999999997</v>
      </c>
      <c r="J149" s="4">
        <f>5.9445 * CHOOSE(CONTROL!$C$15, $D$11, 100%, $F$11)</f>
        <v>5.9444999999999997</v>
      </c>
      <c r="K149" s="4"/>
      <c r="L149" s="9">
        <v>29.306000000000001</v>
      </c>
      <c r="M149" s="9">
        <v>12.063700000000001</v>
      </c>
      <c r="N149" s="9">
        <v>4.9444999999999997</v>
      </c>
      <c r="O149" s="9">
        <v>0.37409999999999999</v>
      </c>
      <c r="P149" s="9">
        <v>1.2927</v>
      </c>
      <c r="Q149" s="9">
        <v>32.070099999999996</v>
      </c>
      <c r="R149" s="9"/>
      <c r="S149" s="11"/>
    </row>
    <row r="150" spans="1:19" ht="15.75">
      <c r="A150" s="13">
        <v>46054</v>
      </c>
      <c r="B150" s="8">
        <f>5.8195 * CHOOSE(CONTROL!$C$15, $D$11, 100%, $F$11)</f>
        <v>5.8194999999999997</v>
      </c>
      <c r="C150" s="8">
        <f>5.8247 * CHOOSE(CONTROL!$C$15, $D$11, 100%, $F$11)</f>
        <v>5.8247</v>
      </c>
      <c r="D150" s="8">
        <f>5.8112 * CHOOSE( CONTROL!$C$15, $D$11, 100%, $F$11)</f>
        <v>5.8112000000000004</v>
      </c>
      <c r="E150" s="12">
        <f>5.8156 * CHOOSE( CONTROL!$C$15, $D$11, 100%, $F$11)</f>
        <v>5.8155999999999999</v>
      </c>
      <c r="F150" s="4">
        <f>6.4684 * CHOOSE(CONTROL!$C$15, $D$11, 100%, $F$11)</f>
        <v>6.4683999999999999</v>
      </c>
      <c r="G150" s="8">
        <f>5.6717 * CHOOSE( CONTROL!$C$15, $D$11, 100%, $F$11)</f>
        <v>5.6717000000000004</v>
      </c>
      <c r="H150" s="4">
        <f>6.5525 * CHOOSE(CONTROL!$C$15, $D$11, 100%, $F$11)</f>
        <v>6.5525000000000002</v>
      </c>
      <c r="I150" s="8">
        <f>5.6766 * CHOOSE(CONTROL!$C$15, $D$11, 100%, $F$11)</f>
        <v>5.6765999999999996</v>
      </c>
      <c r="J150" s="4">
        <f>5.5602 * CHOOSE(CONTROL!$C$15, $D$11, 100%, $F$11)</f>
        <v>5.5602</v>
      </c>
      <c r="K150" s="4"/>
      <c r="L150" s="9">
        <v>26.469899999999999</v>
      </c>
      <c r="M150" s="9">
        <v>10.8962</v>
      </c>
      <c r="N150" s="9">
        <v>4.4660000000000002</v>
      </c>
      <c r="O150" s="9">
        <v>0.33789999999999998</v>
      </c>
      <c r="P150" s="9">
        <v>1.1676</v>
      </c>
      <c r="Q150" s="9">
        <v>28.9666</v>
      </c>
      <c r="R150" s="9"/>
      <c r="S150" s="11"/>
    </row>
    <row r="151" spans="1:19" ht="15.75">
      <c r="A151" s="13">
        <v>46082</v>
      </c>
      <c r="B151" s="8">
        <f>5.6963 * CHOOSE(CONTROL!$C$15, $D$11, 100%, $F$11)</f>
        <v>5.6962999999999999</v>
      </c>
      <c r="C151" s="8">
        <f>5.7014 * CHOOSE(CONTROL!$C$15, $D$11, 100%, $F$11)</f>
        <v>5.7013999999999996</v>
      </c>
      <c r="D151" s="8">
        <f>5.6876 * CHOOSE( CONTROL!$C$15, $D$11, 100%, $F$11)</f>
        <v>5.6875999999999998</v>
      </c>
      <c r="E151" s="12">
        <f>5.6921 * CHOOSE( CONTROL!$C$15, $D$11, 100%, $F$11)</f>
        <v>5.6920999999999999</v>
      </c>
      <c r="F151" s="4">
        <f>6.3452 * CHOOSE(CONTROL!$C$15, $D$11, 100%, $F$11)</f>
        <v>6.3452000000000002</v>
      </c>
      <c r="G151" s="8">
        <f>5.5511 * CHOOSE( CONTROL!$C$15, $D$11, 100%, $F$11)</f>
        <v>5.5510999999999999</v>
      </c>
      <c r="H151" s="4">
        <f>6.4321 * CHOOSE(CONTROL!$C$15, $D$11, 100%, $F$11)</f>
        <v>6.4321000000000002</v>
      </c>
      <c r="I151" s="8">
        <f>5.5572 * CHOOSE(CONTROL!$C$15, $D$11, 100%, $F$11)</f>
        <v>5.5571999999999999</v>
      </c>
      <c r="J151" s="4">
        <f>5.4418 * CHOOSE(CONTROL!$C$15, $D$11, 100%, $F$11)</f>
        <v>5.4417999999999997</v>
      </c>
      <c r="K151" s="4"/>
      <c r="L151" s="9">
        <v>29.306000000000001</v>
      </c>
      <c r="M151" s="9">
        <v>12.063700000000001</v>
      </c>
      <c r="N151" s="9">
        <v>4.9444999999999997</v>
      </c>
      <c r="O151" s="9">
        <v>0.37409999999999999</v>
      </c>
      <c r="P151" s="9">
        <v>1.2927</v>
      </c>
      <c r="Q151" s="9">
        <v>32.070099999999996</v>
      </c>
      <c r="R151" s="9"/>
      <c r="S151" s="11"/>
    </row>
    <row r="152" spans="1:19" ht="15.75">
      <c r="A152" s="13">
        <v>46113</v>
      </c>
      <c r="B152" s="8">
        <f>5.7832 * CHOOSE(CONTROL!$C$15, $D$11, 100%, $F$11)</f>
        <v>5.7831999999999999</v>
      </c>
      <c r="C152" s="8">
        <f>5.7878 * CHOOSE(CONTROL!$C$15, $D$11, 100%, $F$11)</f>
        <v>5.7877999999999998</v>
      </c>
      <c r="D152" s="8">
        <f>5.8141 * CHOOSE( CONTROL!$C$15, $D$11, 100%, $F$11)</f>
        <v>5.8140999999999998</v>
      </c>
      <c r="E152" s="12">
        <f>5.8049 * CHOOSE( CONTROL!$C$15, $D$11, 100%, $F$11)</f>
        <v>5.8048999999999999</v>
      </c>
      <c r="F152" s="4">
        <f>6.4823 * CHOOSE(CONTROL!$C$15, $D$11, 100%, $F$11)</f>
        <v>6.4823000000000004</v>
      </c>
      <c r="G152" s="8">
        <f>5.6353 * CHOOSE( CONTROL!$C$15, $D$11, 100%, $F$11)</f>
        <v>5.6353</v>
      </c>
      <c r="H152" s="4">
        <f>6.5661 * CHOOSE(CONTROL!$C$15, $D$11, 100%, $F$11)</f>
        <v>6.5660999999999996</v>
      </c>
      <c r="I152" s="8">
        <f>5.6318 * CHOOSE(CONTROL!$C$15, $D$11, 100%, $F$11)</f>
        <v>5.6318000000000001</v>
      </c>
      <c r="J152" s="4">
        <f>5.5245 * CHOOSE(CONTROL!$C$15, $D$11, 100%, $F$11)</f>
        <v>5.5244999999999997</v>
      </c>
      <c r="K152" s="4"/>
      <c r="L152" s="9">
        <v>30.092199999999998</v>
      </c>
      <c r="M152" s="9">
        <v>11.6745</v>
      </c>
      <c r="N152" s="9">
        <v>4.7850000000000001</v>
      </c>
      <c r="O152" s="9">
        <v>0.36199999999999999</v>
      </c>
      <c r="P152" s="9">
        <v>1.1791</v>
      </c>
      <c r="Q152" s="9">
        <v>31.035599999999999</v>
      </c>
      <c r="R152" s="9"/>
      <c r="S152" s="11"/>
    </row>
    <row r="153" spans="1:19" ht="15.75">
      <c r="A153" s="13">
        <v>46143</v>
      </c>
      <c r="B153" s="8">
        <f>CHOOSE( CONTROL!$C$32, 5.9427, 5.9379) * CHOOSE(CONTROL!$C$15, $D$11, 100%, $F$11)</f>
        <v>5.9427000000000003</v>
      </c>
      <c r="C153" s="8">
        <f>CHOOSE( CONTROL!$C$32, 5.9508, 5.9459) * CHOOSE(CONTROL!$C$15, $D$11, 100%, $F$11)</f>
        <v>5.9508000000000001</v>
      </c>
      <c r="D153" s="8">
        <f>CHOOSE( CONTROL!$C$32, 5.9721, 5.9673) * CHOOSE( CONTROL!$C$15, $D$11, 100%, $F$11)</f>
        <v>5.9721000000000002</v>
      </c>
      <c r="E153" s="12">
        <f>CHOOSE( CONTROL!$C$32, 5.9631, 5.9583) * CHOOSE( CONTROL!$C$15, $D$11, 100%, $F$11)</f>
        <v>5.9630999999999998</v>
      </c>
      <c r="F153" s="4">
        <f>CHOOSE( CONTROL!$C$32, 6.6405, 6.6357) * CHOOSE(CONTROL!$C$15, $D$11, 100%, $F$11)</f>
        <v>6.6405000000000003</v>
      </c>
      <c r="G153" s="8">
        <f>CHOOSE( CONTROL!$C$32, 5.7907, 5.786) * CHOOSE( CONTROL!$C$15, $D$11, 100%, $F$11)</f>
        <v>5.7907000000000002</v>
      </c>
      <c r="H153" s="4">
        <f>CHOOSE( CONTROL!$C$32, 6.7206, 6.7158) * CHOOSE(CONTROL!$C$15, $D$11, 100%, $F$11)</f>
        <v>6.7206000000000001</v>
      </c>
      <c r="I153" s="8">
        <f>CHOOSE( CONTROL!$C$32, 5.7837, 5.779) * CHOOSE(CONTROL!$C$15, $D$11, 100%, $F$11)</f>
        <v>5.7836999999999996</v>
      </c>
      <c r="J153" s="4">
        <f>CHOOSE( CONTROL!$C$32, 5.6764, 5.6717) * CHOOSE(CONTROL!$C$15, $D$11, 100%, $F$11)</f>
        <v>5.6764000000000001</v>
      </c>
      <c r="K153" s="4"/>
      <c r="L153" s="9">
        <v>30.7165</v>
      </c>
      <c r="M153" s="9">
        <v>12.063700000000001</v>
      </c>
      <c r="N153" s="9">
        <v>4.9444999999999997</v>
      </c>
      <c r="O153" s="9">
        <v>0.37409999999999999</v>
      </c>
      <c r="P153" s="9">
        <v>1.2183999999999999</v>
      </c>
      <c r="Q153" s="9">
        <v>32.070099999999996</v>
      </c>
      <c r="R153" s="9"/>
      <c r="S153" s="11"/>
    </row>
    <row r="154" spans="1:19" ht="15.75">
      <c r="A154" s="13">
        <v>46174</v>
      </c>
      <c r="B154" s="8">
        <f>CHOOSE( CONTROL!$C$32, 5.8477, 5.8429) * CHOOSE(CONTROL!$C$15, $D$11, 100%, $F$11)</f>
        <v>5.8476999999999997</v>
      </c>
      <c r="C154" s="8">
        <f>CHOOSE( CONTROL!$C$32, 5.8558, 5.851) * CHOOSE(CONTROL!$C$15, $D$11, 100%, $F$11)</f>
        <v>5.8558000000000003</v>
      </c>
      <c r="D154" s="8">
        <f>CHOOSE( CONTROL!$C$32, 5.8773, 5.8725) * CHOOSE( CONTROL!$C$15, $D$11, 100%, $F$11)</f>
        <v>5.8773</v>
      </c>
      <c r="E154" s="12">
        <f>CHOOSE( CONTROL!$C$32, 5.8683, 5.8635) * CHOOSE( CONTROL!$C$15, $D$11, 100%, $F$11)</f>
        <v>5.8682999999999996</v>
      </c>
      <c r="F154" s="4">
        <f>CHOOSE( CONTROL!$C$32, 6.5455, 6.5407) * CHOOSE(CONTROL!$C$15, $D$11, 100%, $F$11)</f>
        <v>6.5454999999999997</v>
      </c>
      <c r="G154" s="8">
        <f>CHOOSE( CONTROL!$C$32, 5.6982, 5.6935) * CHOOSE( CONTROL!$C$15, $D$11, 100%, $F$11)</f>
        <v>5.6981999999999999</v>
      </c>
      <c r="H154" s="4">
        <f>CHOOSE( CONTROL!$C$32, 6.6278, 6.6231) * CHOOSE(CONTROL!$C$15, $D$11, 100%, $F$11)</f>
        <v>6.6277999999999997</v>
      </c>
      <c r="I154" s="8">
        <f>CHOOSE( CONTROL!$C$32, 5.6934, 5.6887) * CHOOSE(CONTROL!$C$15, $D$11, 100%, $F$11)</f>
        <v>5.6933999999999996</v>
      </c>
      <c r="J154" s="4">
        <f>CHOOSE( CONTROL!$C$32, 5.5852, 5.5805) * CHOOSE(CONTROL!$C$15, $D$11, 100%, $F$11)</f>
        <v>5.5852000000000004</v>
      </c>
      <c r="K154" s="4"/>
      <c r="L154" s="9">
        <v>29.7257</v>
      </c>
      <c r="M154" s="9">
        <v>11.6745</v>
      </c>
      <c r="N154" s="9">
        <v>4.7850000000000001</v>
      </c>
      <c r="O154" s="9">
        <v>0.36199999999999999</v>
      </c>
      <c r="P154" s="9">
        <v>1.1791</v>
      </c>
      <c r="Q154" s="9">
        <v>31.035599999999999</v>
      </c>
      <c r="R154" s="9"/>
      <c r="S154" s="11"/>
    </row>
    <row r="155" spans="1:19" ht="15.75">
      <c r="A155" s="13">
        <v>46204</v>
      </c>
      <c r="B155" s="8">
        <f>CHOOSE( CONTROL!$C$32, 6.0978, 6.093) * CHOOSE(CONTROL!$C$15, $D$11, 100%, $F$11)</f>
        <v>6.0978000000000003</v>
      </c>
      <c r="C155" s="8">
        <f>CHOOSE( CONTROL!$C$32, 6.1059, 6.1011) * CHOOSE(CONTROL!$C$15, $D$11, 100%, $F$11)</f>
        <v>6.1059000000000001</v>
      </c>
      <c r="D155" s="8">
        <f>CHOOSE( CONTROL!$C$32, 6.1277, 6.1228) * CHOOSE( CONTROL!$C$15, $D$11, 100%, $F$11)</f>
        <v>6.1276999999999999</v>
      </c>
      <c r="E155" s="12">
        <f>CHOOSE( CONTROL!$C$32, 6.1186, 6.1137) * CHOOSE( CONTROL!$C$15, $D$11, 100%, $F$11)</f>
        <v>6.1185999999999998</v>
      </c>
      <c r="F155" s="4">
        <f>CHOOSE( CONTROL!$C$32, 6.7956, 6.7908) * CHOOSE(CONTROL!$C$15, $D$11, 100%, $F$11)</f>
        <v>6.7956000000000003</v>
      </c>
      <c r="G155" s="8">
        <f>CHOOSE( CONTROL!$C$32, 5.9429, 5.9382) * CHOOSE( CONTROL!$C$15, $D$11, 100%, $F$11)</f>
        <v>5.9428999999999998</v>
      </c>
      <c r="H155" s="4">
        <f>CHOOSE( CONTROL!$C$32, 6.8721, 6.8674) * CHOOSE(CONTROL!$C$15, $D$11, 100%, $F$11)</f>
        <v>6.8720999999999997</v>
      </c>
      <c r="I155" s="8">
        <f>CHOOSE( CONTROL!$C$32, 5.9348, 5.9301) * CHOOSE(CONTROL!$C$15, $D$11, 100%, $F$11)</f>
        <v>5.9348000000000001</v>
      </c>
      <c r="J155" s="4">
        <f>CHOOSE( CONTROL!$C$32, 5.8253, 5.8207) * CHOOSE(CONTROL!$C$15, $D$11, 100%, $F$11)</f>
        <v>5.8253000000000004</v>
      </c>
      <c r="K155" s="4"/>
      <c r="L155" s="9">
        <v>30.7165</v>
      </c>
      <c r="M155" s="9">
        <v>12.063700000000001</v>
      </c>
      <c r="N155" s="9">
        <v>4.9444999999999997</v>
      </c>
      <c r="O155" s="9">
        <v>0.37409999999999999</v>
      </c>
      <c r="P155" s="9">
        <v>1.2183999999999999</v>
      </c>
      <c r="Q155" s="9">
        <v>32.070099999999996</v>
      </c>
      <c r="R155" s="9"/>
      <c r="S155" s="11"/>
    </row>
    <row r="156" spans="1:19" ht="15.75">
      <c r="A156" s="13">
        <v>46235</v>
      </c>
      <c r="B156" s="8">
        <f>CHOOSE( CONTROL!$C$32, 5.6298, 5.625) * CHOOSE(CONTROL!$C$15, $D$11, 100%, $F$11)</f>
        <v>5.6298000000000004</v>
      </c>
      <c r="C156" s="8">
        <f>CHOOSE( CONTROL!$C$32, 5.6379, 5.6331) * CHOOSE(CONTROL!$C$15, $D$11, 100%, $F$11)</f>
        <v>5.6379000000000001</v>
      </c>
      <c r="D156" s="8">
        <f>CHOOSE( CONTROL!$C$32, 5.6597, 5.6549) * CHOOSE( CONTROL!$C$15, $D$11, 100%, $F$11)</f>
        <v>5.6597</v>
      </c>
      <c r="E156" s="12">
        <f>CHOOSE( CONTROL!$C$32, 5.6506, 5.6458) * CHOOSE( CONTROL!$C$15, $D$11, 100%, $F$11)</f>
        <v>5.6505999999999998</v>
      </c>
      <c r="F156" s="4">
        <f>CHOOSE( CONTROL!$C$32, 6.3277, 6.3228) * CHOOSE(CONTROL!$C$15, $D$11, 100%, $F$11)</f>
        <v>6.3277000000000001</v>
      </c>
      <c r="G156" s="8">
        <f>CHOOSE( CONTROL!$C$32, 5.4859, 5.4812) * CHOOSE( CONTROL!$C$15, $D$11, 100%, $F$11)</f>
        <v>5.4859</v>
      </c>
      <c r="H156" s="4">
        <f>CHOOSE( CONTROL!$C$32, 6.415, 6.4103) * CHOOSE(CONTROL!$C$15, $D$11, 100%, $F$11)</f>
        <v>6.415</v>
      </c>
      <c r="I156" s="8">
        <f>CHOOSE( CONTROL!$C$32, 5.4855, 5.4809) * CHOOSE(CONTROL!$C$15, $D$11, 100%, $F$11)</f>
        <v>5.4855</v>
      </c>
      <c r="J156" s="4">
        <f>CHOOSE( CONTROL!$C$32, 5.376, 5.3713) * CHOOSE(CONTROL!$C$15, $D$11, 100%, $F$11)</f>
        <v>5.3760000000000003</v>
      </c>
      <c r="K156" s="4"/>
      <c r="L156" s="9">
        <v>30.7165</v>
      </c>
      <c r="M156" s="9">
        <v>12.063700000000001</v>
      </c>
      <c r="N156" s="9">
        <v>4.9444999999999997</v>
      </c>
      <c r="O156" s="9">
        <v>0.37409999999999999</v>
      </c>
      <c r="P156" s="9">
        <v>1.2183999999999999</v>
      </c>
      <c r="Q156" s="9">
        <v>32.070099999999996</v>
      </c>
      <c r="R156" s="9"/>
      <c r="S156" s="11"/>
    </row>
    <row r="157" spans="1:19" ht="15.75">
      <c r="A157" s="13">
        <v>46266</v>
      </c>
      <c r="B157" s="8">
        <f>CHOOSE( CONTROL!$C$32, 5.5127, 5.5078) * CHOOSE(CONTROL!$C$15, $D$11, 100%, $F$11)</f>
        <v>5.5126999999999997</v>
      </c>
      <c r="C157" s="8">
        <f>CHOOSE( CONTROL!$C$32, 5.5207, 5.5159) * CHOOSE(CONTROL!$C$15, $D$11, 100%, $F$11)</f>
        <v>5.5206999999999997</v>
      </c>
      <c r="D157" s="8">
        <f>CHOOSE( CONTROL!$C$32, 5.5425, 5.5377) * CHOOSE( CONTROL!$C$15, $D$11, 100%, $F$11)</f>
        <v>5.5425000000000004</v>
      </c>
      <c r="E157" s="12">
        <f>CHOOSE( CONTROL!$C$32, 5.5334, 5.5286) * CHOOSE( CONTROL!$C$15, $D$11, 100%, $F$11)</f>
        <v>5.5334000000000003</v>
      </c>
      <c r="F157" s="4">
        <f>CHOOSE( CONTROL!$C$32, 6.2105, 6.2056) * CHOOSE(CONTROL!$C$15, $D$11, 100%, $F$11)</f>
        <v>6.2104999999999997</v>
      </c>
      <c r="G157" s="8">
        <f>CHOOSE( CONTROL!$C$32, 5.3714, 5.3667) * CHOOSE( CONTROL!$C$15, $D$11, 100%, $F$11)</f>
        <v>5.3714000000000004</v>
      </c>
      <c r="H157" s="4">
        <f>CHOOSE( CONTROL!$C$32, 6.3005, 6.2958) * CHOOSE(CONTROL!$C$15, $D$11, 100%, $F$11)</f>
        <v>6.3005000000000004</v>
      </c>
      <c r="I157" s="8">
        <f>CHOOSE( CONTROL!$C$32, 5.3729, 5.3682) * CHOOSE(CONTROL!$C$15, $D$11, 100%, $F$11)</f>
        <v>5.3728999999999996</v>
      </c>
      <c r="J157" s="4">
        <f>CHOOSE( CONTROL!$C$32, 5.2635, 5.2588) * CHOOSE(CONTROL!$C$15, $D$11, 100%, $F$11)</f>
        <v>5.2634999999999996</v>
      </c>
      <c r="K157" s="4"/>
      <c r="L157" s="9">
        <v>29.7257</v>
      </c>
      <c r="M157" s="9">
        <v>11.6745</v>
      </c>
      <c r="N157" s="9">
        <v>4.7850000000000001</v>
      </c>
      <c r="O157" s="9">
        <v>0.36199999999999999</v>
      </c>
      <c r="P157" s="9">
        <v>1.1791</v>
      </c>
      <c r="Q157" s="9">
        <v>31.035599999999999</v>
      </c>
      <c r="R157" s="9"/>
      <c r="S157" s="11"/>
    </row>
    <row r="158" spans="1:19" ht="15.75">
      <c r="A158" s="13">
        <v>46296</v>
      </c>
      <c r="B158" s="8">
        <f>5.7494 * CHOOSE(CONTROL!$C$15, $D$11, 100%, $F$11)</f>
        <v>5.7493999999999996</v>
      </c>
      <c r="C158" s="8">
        <f>5.7549 * CHOOSE(CONTROL!$C$15, $D$11, 100%, $F$11)</f>
        <v>5.7549000000000001</v>
      </c>
      <c r="D158" s="8">
        <f>5.7813 * CHOOSE( CONTROL!$C$15, $D$11, 100%, $F$11)</f>
        <v>5.7812999999999999</v>
      </c>
      <c r="E158" s="12">
        <f>5.772 * CHOOSE( CONTROL!$C$15, $D$11, 100%, $F$11)</f>
        <v>5.7720000000000002</v>
      </c>
      <c r="F158" s="4">
        <f>6.449 * CHOOSE(CONTROL!$C$15, $D$11, 100%, $F$11)</f>
        <v>6.4489999999999998</v>
      </c>
      <c r="G158" s="8">
        <f>5.6036 * CHOOSE( CONTROL!$C$15, $D$11, 100%, $F$11)</f>
        <v>5.6036000000000001</v>
      </c>
      <c r="H158" s="4">
        <f>6.5335 * CHOOSE(CONTROL!$C$15, $D$11, 100%, $F$11)</f>
        <v>6.5335000000000001</v>
      </c>
      <c r="I158" s="8">
        <f>5.6027 * CHOOSE(CONTROL!$C$15, $D$11, 100%, $F$11)</f>
        <v>5.6026999999999996</v>
      </c>
      <c r="J158" s="4">
        <f>5.4925 * CHOOSE(CONTROL!$C$15, $D$11, 100%, $F$11)</f>
        <v>5.4924999999999997</v>
      </c>
      <c r="K158" s="4"/>
      <c r="L158" s="9">
        <v>31.095300000000002</v>
      </c>
      <c r="M158" s="9">
        <v>12.063700000000001</v>
      </c>
      <c r="N158" s="9">
        <v>4.9444999999999997</v>
      </c>
      <c r="O158" s="9">
        <v>0.37409999999999999</v>
      </c>
      <c r="P158" s="9">
        <v>1.2183999999999999</v>
      </c>
      <c r="Q158" s="9">
        <v>32.070099999999996</v>
      </c>
      <c r="R158" s="9"/>
      <c r="S158" s="11"/>
    </row>
    <row r="159" spans="1:19" ht="15.75">
      <c r="A159" s="13">
        <v>46327</v>
      </c>
      <c r="B159" s="8">
        <f>6.1981 * CHOOSE(CONTROL!$C$15, $D$11, 100%, $F$11)</f>
        <v>6.1981000000000002</v>
      </c>
      <c r="C159" s="8">
        <f>6.2033 * CHOOSE(CONTROL!$C$15, $D$11, 100%, $F$11)</f>
        <v>6.2032999999999996</v>
      </c>
      <c r="D159" s="8">
        <f>6.1926 * CHOOSE( CONTROL!$C$15, $D$11, 100%, $F$11)</f>
        <v>6.1925999999999997</v>
      </c>
      <c r="E159" s="12">
        <f>6.196 * CHOOSE( CONTROL!$C$15, $D$11, 100%, $F$11)</f>
        <v>6.1959999999999997</v>
      </c>
      <c r="F159" s="4">
        <f>6.847 * CHOOSE(CONTROL!$C$15, $D$11, 100%, $F$11)</f>
        <v>6.8470000000000004</v>
      </c>
      <c r="G159" s="8">
        <f>6.0468 * CHOOSE( CONTROL!$C$15, $D$11, 100%, $F$11)</f>
        <v>6.0468000000000002</v>
      </c>
      <c r="H159" s="4">
        <f>6.9223 * CHOOSE(CONTROL!$C$15, $D$11, 100%, $F$11)</f>
        <v>6.9222999999999999</v>
      </c>
      <c r="I159" s="8">
        <f>6.0597 * CHOOSE(CONTROL!$C$15, $D$11, 100%, $F$11)</f>
        <v>6.0597000000000003</v>
      </c>
      <c r="J159" s="4">
        <f>5.9237 * CHOOSE(CONTROL!$C$15, $D$11, 100%, $F$11)</f>
        <v>5.9237000000000002</v>
      </c>
      <c r="K159" s="4"/>
      <c r="L159" s="9">
        <v>28.360600000000002</v>
      </c>
      <c r="M159" s="9">
        <v>11.6745</v>
      </c>
      <c r="N159" s="9">
        <v>4.7850000000000001</v>
      </c>
      <c r="O159" s="9">
        <v>0.36199999999999999</v>
      </c>
      <c r="P159" s="9">
        <v>1.2509999999999999</v>
      </c>
      <c r="Q159" s="9">
        <v>31.035599999999999</v>
      </c>
      <c r="R159" s="9"/>
      <c r="S159" s="11"/>
    </row>
    <row r="160" spans="1:19" ht="15.75">
      <c r="A160" s="13">
        <v>46357</v>
      </c>
      <c r="B160" s="8">
        <f>6.1869 * CHOOSE(CONTROL!$C$15, $D$11, 100%, $F$11)</f>
        <v>6.1868999999999996</v>
      </c>
      <c r="C160" s="8">
        <f>6.1921 * CHOOSE(CONTROL!$C$15, $D$11, 100%, $F$11)</f>
        <v>6.1920999999999999</v>
      </c>
      <c r="D160" s="8">
        <f>6.1827 * CHOOSE( CONTROL!$C$15, $D$11, 100%, $F$11)</f>
        <v>6.1826999999999996</v>
      </c>
      <c r="E160" s="12">
        <f>6.1856 * CHOOSE( CONTROL!$C$15, $D$11, 100%, $F$11)</f>
        <v>6.1856</v>
      </c>
      <c r="F160" s="4">
        <f>6.8358 * CHOOSE(CONTROL!$C$15, $D$11, 100%, $F$11)</f>
        <v>6.8357999999999999</v>
      </c>
      <c r="G160" s="8">
        <f>6.0368 * CHOOSE( CONTROL!$C$15, $D$11, 100%, $F$11)</f>
        <v>6.0368000000000004</v>
      </c>
      <c r="H160" s="4">
        <f>6.9113 * CHOOSE(CONTROL!$C$15, $D$11, 100%, $F$11)</f>
        <v>6.9112999999999998</v>
      </c>
      <c r="I160" s="8">
        <f>6.0532 * CHOOSE(CONTROL!$C$15, $D$11, 100%, $F$11)</f>
        <v>6.0532000000000004</v>
      </c>
      <c r="J160" s="4">
        <f>5.9129 * CHOOSE(CONTROL!$C$15, $D$11, 100%, $F$11)</f>
        <v>5.9128999999999996</v>
      </c>
      <c r="K160" s="4"/>
      <c r="L160" s="9">
        <v>29.306000000000001</v>
      </c>
      <c r="M160" s="9">
        <v>12.063700000000001</v>
      </c>
      <c r="N160" s="9">
        <v>4.9444999999999997</v>
      </c>
      <c r="O160" s="9">
        <v>0.37409999999999999</v>
      </c>
      <c r="P160" s="9">
        <v>1.2927</v>
      </c>
      <c r="Q160" s="9">
        <v>32.070099999999996</v>
      </c>
      <c r="R160" s="9"/>
      <c r="S160" s="11"/>
    </row>
    <row r="161" spans="1:19" ht="15.75">
      <c r="A161" s="13">
        <v>46388</v>
      </c>
      <c r="B161" s="8">
        <f>6.4154 * CHOOSE(CONTROL!$C$15, $D$11, 100%, $F$11)</f>
        <v>6.4154</v>
      </c>
      <c r="C161" s="8">
        <f>6.4206 * CHOOSE(CONTROL!$C$15, $D$11, 100%, $F$11)</f>
        <v>6.4206000000000003</v>
      </c>
      <c r="D161" s="8">
        <f>6.4071 * CHOOSE( CONTROL!$C$15, $D$11, 100%, $F$11)</f>
        <v>6.4070999999999998</v>
      </c>
      <c r="E161" s="12">
        <f>6.4115 * CHOOSE( CONTROL!$C$15, $D$11, 100%, $F$11)</f>
        <v>6.4115000000000002</v>
      </c>
      <c r="F161" s="4">
        <f>7.0643 * CHOOSE(CONTROL!$C$15, $D$11, 100%, $F$11)</f>
        <v>7.0643000000000002</v>
      </c>
      <c r="G161" s="8">
        <f>6.2537 * CHOOSE( CONTROL!$C$15, $D$11, 100%, $F$11)</f>
        <v>6.2537000000000003</v>
      </c>
      <c r="H161" s="4">
        <f>7.1345 * CHOOSE(CONTROL!$C$15, $D$11, 100%, $F$11)</f>
        <v>7.1345000000000001</v>
      </c>
      <c r="I161" s="8">
        <f>6.249 * CHOOSE(CONTROL!$C$15, $D$11, 100%, $F$11)</f>
        <v>6.2489999999999997</v>
      </c>
      <c r="J161" s="4">
        <f>6.1323 * CHOOSE(CONTROL!$C$15, $D$11, 100%, $F$11)</f>
        <v>6.1322999999999999</v>
      </c>
      <c r="K161" s="4"/>
      <c r="L161" s="9">
        <v>29.306000000000001</v>
      </c>
      <c r="M161" s="9">
        <v>12.063700000000001</v>
      </c>
      <c r="N161" s="9">
        <v>4.9444999999999997</v>
      </c>
      <c r="O161" s="9">
        <v>0.37409999999999999</v>
      </c>
      <c r="P161" s="9">
        <v>1.2927</v>
      </c>
      <c r="Q161" s="9">
        <v>31.885999999999999</v>
      </c>
      <c r="R161" s="9"/>
      <c r="S161" s="11"/>
    </row>
    <row r="162" spans="1:19" ht="15.75">
      <c r="A162" s="13">
        <v>46419</v>
      </c>
      <c r="B162" s="8">
        <f>6.0025 * CHOOSE(CONTROL!$C$15, $D$11, 100%, $F$11)</f>
        <v>6.0025000000000004</v>
      </c>
      <c r="C162" s="8">
        <f>6.0077 * CHOOSE(CONTROL!$C$15, $D$11, 100%, $F$11)</f>
        <v>6.0076999999999998</v>
      </c>
      <c r="D162" s="8">
        <f>5.9942 * CHOOSE( CONTROL!$C$15, $D$11, 100%, $F$11)</f>
        <v>5.9942000000000002</v>
      </c>
      <c r="E162" s="12">
        <f>5.9986 * CHOOSE( CONTROL!$C$15, $D$11, 100%, $F$11)</f>
        <v>5.9985999999999997</v>
      </c>
      <c r="F162" s="4">
        <f>6.6514 * CHOOSE(CONTROL!$C$15, $D$11, 100%, $F$11)</f>
        <v>6.6513999999999998</v>
      </c>
      <c r="G162" s="8">
        <f>5.8504 * CHOOSE( CONTROL!$C$15, $D$11, 100%, $F$11)</f>
        <v>5.8503999999999996</v>
      </c>
      <c r="H162" s="4">
        <f>6.7312 * CHOOSE(CONTROL!$C$15, $D$11, 100%, $F$11)</f>
        <v>6.7312000000000003</v>
      </c>
      <c r="I162" s="8">
        <f>5.8524 * CHOOSE(CONTROL!$C$15, $D$11, 100%, $F$11)</f>
        <v>5.8524000000000003</v>
      </c>
      <c r="J162" s="4">
        <f>5.7358 * CHOOSE(CONTROL!$C$15, $D$11, 100%, $F$11)</f>
        <v>5.7358000000000002</v>
      </c>
      <c r="K162" s="4"/>
      <c r="L162" s="9">
        <v>26.469899999999999</v>
      </c>
      <c r="M162" s="9">
        <v>10.8962</v>
      </c>
      <c r="N162" s="9">
        <v>4.4660000000000002</v>
      </c>
      <c r="O162" s="9">
        <v>0.33789999999999998</v>
      </c>
      <c r="P162" s="9">
        <v>1.1676</v>
      </c>
      <c r="Q162" s="9">
        <v>28.8002</v>
      </c>
      <c r="R162" s="9"/>
      <c r="S162" s="11"/>
    </row>
    <row r="163" spans="1:19" ht="15.75">
      <c r="A163" s="13">
        <v>46447</v>
      </c>
      <c r="B163" s="8">
        <f>5.8753 * CHOOSE(CONTROL!$C$15, $D$11, 100%, $F$11)</f>
        <v>5.8753000000000002</v>
      </c>
      <c r="C163" s="8">
        <f>5.8805 * CHOOSE(CONTROL!$C$15, $D$11, 100%, $F$11)</f>
        <v>5.8804999999999996</v>
      </c>
      <c r="D163" s="8">
        <f>5.8667 * CHOOSE( CONTROL!$C$15, $D$11, 100%, $F$11)</f>
        <v>5.8666999999999998</v>
      </c>
      <c r="E163" s="12">
        <f>5.8712 * CHOOSE( CONTROL!$C$15, $D$11, 100%, $F$11)</f>
        <v>5.8712</v>
      </c>
      <c r="F163" s="4">
        <f>6.5242 * CHOOSE(CONTROL!$C$15, $D$11, 100%, $F$11)</f>
        <v>6.5242000000000004</v>
      </c>
      <c r="G163" s="8">
        <f>5.726 * CHOOSE( CONTROL!$C$15, $D$11, 100%, $F$11)</f>
        <v>5.726</v>
      </c>
      <c r="H163" s="4">
        <f>6.607 * CHOOSE(CONTROL!$C$15, $D$11, 100%, $F$11)</f>
        <v>6.6070000000000002</v>
      </c>
      <c r="I163" s="8">
        <f>5.7292 * CHOOSE(CONTROL!$C$15, $D$11, 100%, $F$11)</f>
        <v>5.7291999999999996</v>
      </c>
      <c r="J163" s="4">
        <f>5.6137 * CHOOSE(CONTROL!$C$15, $D$11, 100%, $F$11)</f>
        <v>5.6136999999999997</v>
      </c>
      <c r="K163" s="4"/>
      <c r="L163" s="9">
        <v>29.306000000000001</v>
      </c>
      <c r="M163" s="9">
        <v>12.063700000000001</v>
      </c>
      <c r="N163" s="9">
        <v>4.9444999999999997</v>
      </c>
      <c r="O163" s="9">
        <v>0.37409999999999999</v>
      </c>
      <c r="P163" s="9">
        <v>1.2927</v>
      </c>
      <c r="Q163" s="9">
        <v>31.885999999999999</v>
      </c>
      <c r="R163" s="9"/>
      <c r="S163" s="11"/>
    </row>
    <row r="164" spans="1:19" ht="15.75">
      <c r="A164" s="13">
        <v>46478</v>
      </c>
      <c r="B164" s="8">
        <f>5.965 * CHOOSE(CONTROL!$C$15, $D$11, 100%, $F$11)</f>
        <v>5.9649999999999999</v>
      </c>
      <c r="C164" s="8">
        <f>5.9696 * CHOOSE(CONTROL!$C$15, $D$11, 100%, $F$11)</f>
        <v>5.9695999999999998</v>
      </c>
      <c r="D164" s="8">
        <f>5.9959 * CHOOSE( CONTROL!$C$15, $D$11, 100%, $F$11)</f>
        <v>5.9958999999999998</v>
      </c>
      <c r="E164" s="12">
        <f>5.9867 * CHOOSE( CONTROL!$C$15, $D$11, 100%, $F$11)</f>
        <v>5.9866999999999999</v>
      </c>
      <c r="F164" s="4">
        <f>6.6641 * CHOOSE(CONTROL!$C$15, $D$11, 100%, $F$11)</f>
        <v>6.6641000000000004</v>
      </c>
      <c r="G164" s="8">
        <f>5.8128 * CHOOSE( CONTROL!$C$15, $D$11, 100%, $F$11)</f>
        <v>5.8128000000000002</v>
      </c>
      <c r="H164" s="4">
        <f>6.7436 * CHOOSE(CONTROL!$C$15, $D$11, 100%, $F$11)</f>
        <v>6.7435999999999998</v>
      </c>
      <c r="I164" s="8">
        <f>5.8064 * CHOOSE(CONTROL!$C$15, $D$11, 100%, $F$11)</f>
        <v>5.8064</v>
      </c>
      <c r="J164" s="4">
        <f>5.699 * CHOOSE(CONTROL!$C$15, $D$11, 100%, $F$11)</f>
        <v>5.6989999999999998</v>
      </c>
      <c r="K164" s="4"/>
      <c r="L164" s="9">
        <v>30.092199999999998</v>
      </c>
      <c r="M164" s="9">
        <v>11.6745</v>
      </c>
      <c r="N164" s="9">
        <v>4.7850000000000001</v>
      </c>
      <c r="O164" s="9">
        <v>0.36199999999999999</v>
      </c>
      <c r="P164" s="9">
        <v>1.1791</v>
      </c>
      <c r="Q164" s="9">
        <v>30.857399999999998</v>
      </c>
      <c r="R164" s="9"/>
      <c r="S164" s="11"/>
    </row>
    <row r="165" spans="1:19" ht="15.75">
      <c r="A165" s="13">
        <v>46508</v>
      </c>
      <c r="B165" s="8">
        <f>CHOOSE( CONTROL!$C$32, 6.1293, 6.1245) * CHOOSE(CONTROL!$C$15, $D$11, 100%, $F$11)</f>
        <v>6.1292999999999997</v>
      </c>
      <c r="C165" s="8">
        <f>CHOOSE( CONTROL!$C$32, 6.1374, 6.1326) * CHOOSE(CONTROL!$C$15, $D$11, 100%, $F$11)</f>
        <v>6.1374000000000004</v>
      </c>
      <c r="D165" s="8">
        <f>CHOOSE( CONTROL!$C$32, 6.1587, 6.1539) * CHOOSE( CONTROL!$C$15, $D$11, 100%, $F$11)</f>
        <v>6.1586999999999996</v>
      </c>
      <c r="E165" s="12">
        <f>CHOOSE( CONTROL!$C$32, 6.1497, 6.1449) * CHOOSE( CONTROL!$C$15, $D$11, 100%, $F$11)</f>
        <v>6.1497000000000002</v>
      </c>
      <c r="F165" s="4">
        <f>CHOOSE( CONTROL!$C$32, 6.8271, 6.8223) * CHOOSE(CONTROL!$C$15, $D$11, 100%, $F$11)</f>
        <v>6.8270999999999997</v>
      </c>
      <c r="G165" s="8">
        <f>CHOOSE( CONTROL!$C$32, 5.973, 5.9683) * CHOOSE( CONTROL!$C$15, $D$11, 100%, $F$11)</f>
        <v>5.9729999999999999</v>
      </c>
      <c r="H165" s="4">
        <f>CHOOSE( CONTROL!$C$32, 6.9028, 6.8981) * CHOOSE(CONTROL!$C$15, $D$11, 100%, $F$11)</f>
        <v>6.9028</v>
      </c>
      <c r="I165" s="8">
        <f>CHOOSE( CONTROL!$C$32, 5.963, 5.9583) * CHOOSE(CONTROL!$C$15, $D$11, 100%, $F$11)</f>
        <v>5.9630000000000001</v>
      </c>
      <c r="J165" s="4">
        <f>CHOOSE( CONTROL!$C$32, 5.8555, 5.8509) * CHOOSE(CONTROL!$C$15, $D$11, 100%, $F$11)</f>
        <v>5.8555000000000001</v>
      </c>
      <c r="K165" s="4"/>
      <c r="L165" s="9">
        <v>30.7165</v>
      </c>
      <c r="M165" s="9">
        <v>12.063700000000001</v>
      </c>
      <c r="N165" s="9">
        <v>4.9444999999999997</v>
      </c>
      <c r="O165" s="9">
        <v>0.37409999999999999</v>
      </c>
      <c r="P165" s="9">
        <v>1.2183999999999999</v>
      </c>
      <c r="Q165" s="9">
        <v>31.885999999999999</v>
      </c>
      <c r="R165" s="9"/>
      <c r="S165" s="11"/>
    </row>
    <row r="166" spans="1:19" ht="15.75">
      <c r="A166" s="13">
        <v>46539</v>
      </c>
      <c r="B166" s="8">
        <f>CHOOSE( CONTROL!$C$32, 6.0313, 6.0265) * CHOOSE(CONTROL!$C$15, $D$11, 100%, $F$11)</f>
        <v>6.0312999999999999</v>
      </c>
      <c r="C166" s="8">
        <f>CHOOSE( CONTROL!$C$32, 6.0394, 6.0346) * CHOOSE(CONTROL!$C$15, $D$11, 100%, $F$11)</f>
        <v>6.0393999999999997</v>
      </c>
      <c r="D166" s="8">
        <f>CHOOSE( CONTROL!$C$32, 6.0609, 6.0561) * CHOOSE( CONTROL!$C$15, $D$11, 100%, $F$11)</f>
        <v>6.0609000000000002</v>
      </c>
      <c r="E166" s="12">
        <f>CHOOSE( CONTROL!$C$32, 6.0519, 6.0471) * CHOOSE( CONTROL!$C$15, $D$11, 100%, $F$11)</f>
        <v>6.0518999999999998</v>
      </c>
      <c r="F166" s="4">
        <f>CHOOSE( CONTROL!$C$32, 6.7291, 6.7243) * CHOOSE(CONTROL!$C$15, $D$11, 100%, $F$11)</f>
        <v>6.7290999999999999</v>
      </c>
      <c r="G166" s="8">
        <f>CHOOSE( CONTROL!$C$32, 5.8776, 5.8729) * CHOOSE( CONTROL!$C$15, $D$11, 100%, $F$11)</f>
        <v>5.8776000000000002</v>
      </c>
      <c r="H166" s="4">
        <f>CHOOSE( CONTROL!$C$32, 6.8071, 6.8024) * CHOOSE(CONTROL!$C$15, $D$11, 100%, $F$11)</f>
        <v>6.8071000000000002</v>
      </c>
      <c r="I166" s="8">
        <f>CHOOSE( CONTROL!$C$32, 5.8698, 5.8651) * CHOOSE(CONTROL!$C$15, $D$11, 100%, $F$11)</f>
        <v>5.8697999999999997</v>
      </c>
      <c r="J166" s="4">
        <f>CHOOSE( CONTROL!$C$32, 5.7615, 5.7568) * CHOOSE(CONTROL!$C$15, $D$11, 100%, $F$11)</f>
        <v>5.7614999999999998</v>
      </c>
      <c r="K166" s="4"/>
      <c r="L166" s="9">
        <v>29.7257</v>
      </c>
      <c r="M166" s="9">
        <v>11.6745</v>
      </c>
      <c r="N166" s="9">
        <v>4.7850000000000001</v>
      </c>
      <c r="O166" s="9">
        <v>0.36199999999999999</v>
      </c>
      <c r="P166" s="9">
        <v>1.1791</v>
      </c>
      <c r="Q166" s="9">
        <v>30.857399999999998</v>
      </c>
      <c r="R166" s="9"/>
      <c r="S166" s="11"/>
    </row>
    <row r="167" spans="1:19" ht="15.75">
      <c r="A167" s="13">
        <v>46569</v>
      </c>
      <c r="B167" s="8">
        <f>CHOOSE( CONTROL!$C$32, 6.2893, 6.2845) * CHOOSE(CONTROL!$C$15, $D$11, 100%, $F$11)</f>
        <v>6.2892999999999999</v>
      </c>
      <c r="C167" s="8">
        <f>CHOOSE( CONTROL!$C$32, 6.2974, 6.2926) * CHOOSE(CONTROL!$C$15, $D$11, 100%, $F$11)</f>
        <v>6.2973999999999997</v>
      </c>
      <c r="D167" s="8">
        <f>CHOOSE( CONTROL!$C$32, 6.3192, 6.3143) * CHOOSE( CONTROL!$C$15, $D$11, 100%, $F$11)</f>
        <v>6.3192000000000004</v>
      </c>
      <c r="E167" s="12">
        <f>CHOOSE( CONTROL!$C$32, 6.3101, 6.3052) * CHOOSE( CONTROL!$C$15, $D$11, 100%, $F$11)</f>
        <v>6.3101000000000003</v>
      </c>
      <c r="F167" s="4">
        <f>CHOOSE( CONTROL!$C$32, 6.9872, 6.9823) * CHOOSE(CONTROL!$C$15, $D$11, 100%, $F$11)</f>
        <v>6.9871999999999996</v>
      </c>
      <c r="G167" s="8">
        <f>CHOOSE( CONTROL!$C$32, 6.1299, 6.1252) * CHOOSE( CONTROL!$C$15, $D$11, 100%, $F$11)</f>
        <v>6.1299000000000001</v>
      </c>
      <c r="H167" s="4">
        <f>CHOOSE( CONTROL!$C$32, 7.0591, 7.0544) * CHOOSE(CONTROL!$C$15, $D$11, 100%, $F$11)</f>
        <v>7.0590999999999999</v>
      </c>
      <c r="I167" s="8">
        <f>CHOOSE( CONTROL!$C$32, 6.1187, 6.1141) * CHOOSE(CONTROL!$C$15, $D$11, 100%, $F$11)</f>
        <v>6.1186999999999996</v>
      </c>
      <c r="J167" s="4">
        <f>CHOOSE( CONTROL!$C$32, 6.0092, 6.0045) * CHOOSE(CONTROL!$C$15, $D$11, 100%, $F$11)</f>
        <v>6.0091999999999999</v>
      </c>
      <c r="K167" s="4"/>
      <c r="L167" s="9">
        <v>30.7165</v>
      </c>
      <c r="M167" s="9">
        <v>12.063700000000001</v>
      </c>
      <c r="N167" s="9">
        <v>4.9444999999999997</v>
      </c>
      <c r="O167" s="9">
        <v>0.37409999999999999</v>
      </c>
      <c r="P167" s="9">
        <v>1.2183999999999999</v>
      </c>
      <c r="Q167" s="9">
        <v>31.885999999999999</v>
      </c>
      <c r="R167" s="9"/>
      <c r="S167" s="11"/>
    </row>
    <row r="168" spans="1:19" ht="15.75">
      <c r="A168" s="13">
        <v>46600</v>
      </c>
      <c r="B168" s="8">
        <f>CHOOSE( CONTROL!$C$32, 5.8066, 5.8017) * CHOOSE(CONTROL!$C$15, $D$11, 100%, $F$11)</f>
        <v>5.8066000000000004</v>
      </c>
      <c r="C168" s="8">
        <f>CHOOSE( CONTROL!$C$32, 5.8147, 5.8098) * CHOOSE(CONTROL!$C$15, $D$11, 100%, $F$11)</f>
        <v>5.8147000000000002</v>
      </c>
      <c r="D168" s="8">
        <f>CHOOSE( CONTROL!$C$32, 5.8365, 5.8316) * CHOOSE( CONTROL!$C$15, $D$11, 100%, $F$11)</f>
        <v>5.8365</v>
      </c>
      <c r="E168" s="12">
        <f>CHOOSE( CONTROL!$C$32, 5.8274, 5.8225) * CHOOSE( CONTROL!$C$15, $D$11, 100%, $F$11)</f>
        <v>5.8273999999999999</v>
      </c>
      <c r="F168" s="4">
        <f>CHOOSE( CONTROL!$C$32, 6.5044, 6.4996) * CHOOSE(CONTROL!$C$15, $D$11, 100%, $F$11)</f>
        <v>6.5044000000000004</v>
      </c>
      <c r="G168" s="8">
        <f>CHOOSE( CONTROL!$C$32, 5.6585, 5.6538) * CHOOSE( CONTROL!$C$15, $D$11, 100%, $F$11)</f>
        <v>5.6585000000000001</v>
      </c>
      <c r="H168" s="4">
        <f>CHOOSE( CONTROL!$C$32, 6.5876, 6.5829) * CHOOSE(CONTROL!$C$15, $D$11, 100%, $F$11)</f>
        <v>6.5876000000000001</v>
      </c>
      <c r="I168" s="8">
        <f>CHOOSE( CONTROL!$C$32, 5.6553, 5.6506) * CHOOSE(CONTROL!$C$15, $D$11, 100%, $F$11)</f>
        <v>5.6553000000000004</v>
      </c>
      <c r="J168" s="4">
        <f>CHOOSE( CONTROL!$C$32, 5.5457, 5.541) * CHOOSE(CONTROL!$C$15, $D$11, 100%, $F$11)</f>
        <v>5.5457000000000001</v>
      </c>
      <c r="K168" s="4"/>
      <c r="L168" s="9">
        <v>30.7165</v>
      </c>
      <c r="M168" s="9">
        <v>12.063700000000001</v>
      </c>
      <c r="N168" s="9">
        <v>4.9444999999999997</v>
      </c>
      <c r="O168" s="9">
        <v>0.37409999999999999</v>
      </c>
      <c r="P168" s="9">
        <v>1.2183999999999999</v>
      </c>
      <c r="Q168" s="9">
        <v>31.885999999999999</v>
      </c>
      <c r="R168" s="9"/>
      <c r="S168" s="11"/>
    </row>
    <row r="169" spans="1:19" ht="15.75">
      <c r="A169" s="13">
        <v>46631</v>
      </c>
      <c r="B169" s="8">
        <f>CHOOSE( CONTROL!$C$32, 5.6857, 5.6809) * CHOOSE(CONTROL!$C$15, $D$11, 100%, $F$11)</f>
        <v>5.6856999999999998</v>
      </c>
      <c r="C169" s="8">
        <f>CHOOSE( CONTROL!$C$32, 5.6938, 5.6889) * CHOOSE(CONTROL!$C$15, $D$11, 100%, $F$11)</f>
        <v>5.6938000000000004</v>
      </c>
      <c r="D169" s="8">
        <f>CHOOSE( CONTROL!$C$32, 5.7156, 5.7107) * CHOOSE( CONTROL!$C$15, $D$11, 100%, $F$11)</f>
        <v>5.7156000000000002</v>
      </c>
      <c r="E169" s="12">
        <f>CHOOSE( CONTROL!$C$32, 5.7065, 5.7016) * CHOOSE( CONTROL!$C$15, $D$11, 100%, $F$11)</f>
        <v>5.7065000000000001</v>
      </c>
      <c r="F169" s="4">
        <f>CHOOSE( CONTROL!$C$32, 6.3835, 6.3787) * CHOOSE(CONTROL!$C$15, $D$11, 100%, $F$11)</f>
        <v>6.3834999999999997</v>
      </c>
      <c r="G169" s="8">
        <f>CHOOSE( CONTROL!$C$32, 5.5404, 5.5357) * CHOOSE( CONTROL!$C$15, $D$11, 100%, $F$11)</f>
        <v>5.5404</v>
      </c>
      <c r="H169" s="4">
        <f>CHOOSE( CONTROL!$C$32, 6.4695, 6.4648) * CHOOSE(CONTROL!$C$15, $D$11, 100%, $F$11)</f>
        <v>6.4695</v>
      </c>
      <c r="I169" s="8">
        <f>CHOOSE( CONTROL!$C$32, 5.5391, 5.5344) * CHOOSE(CONTROL!$C$15, $D$11, 100%, $F$11)</f>
        <v>5.5391000000000004</v>
      </c>
      <c r="J169" s="4">
        <f>CHOOSE( CONTROL!$C$32, 5.4296, 5.425) * CHOOSE(CONTROL!$C$15, $D$11, 100%, $F$11)</f>
        <v>5.4295999999999998</v>
      </c>
      <c r="K169" s="4"/>
      <c r="L169" s="9">
        <v>29.7257</v>
      </c>
      <c r="M169" s="9">
        <v>11.6745</v>
      </c>
      <c r="N169" s="9">
        <v>4.7850000000000001</v>
      </c>
      <c r="O169" s="9">
        <v>0.36199999999999999</v>
      </c>
      <c r="P169" s="9">
        <v>1.1791</v>
      </c>
      <c r="Q169" s="9">
        <v>30.857399999999998</v>
      </c>
      <c r="R169" s="9"/>
      <c r="S169" s="11"/>
    </row>
    <row r="170" spans="1:19" ht="15.75">
      <c r="A170" s="13">
        <v>46661</v>
      </c>
      <c r="B170" s="8">
        <f>5.9301 * CHOOSE(CONTROL!$C$15, $D$11, 100%, $F$11)</f>
        <v>5.9301000000000004</v>
      </c>
      <c r="C170" s="8">
        <f>5.9356 * CHOOSE(CONTROL!$C$15, $D$11, 100%, $F$11)</f>
        <v>5.9356</v>
      </c>
      <c r="D170" s="8">
        <f>5.962 * CHOOSE( CONTROL!$C$15, $D$11, 100%, $F$11)</f>
        <v>5.9619999999999997</v>
      </c>
      <c r="E170" s="12">
        <f>5.9527 * CHOOSE( CONTROL!$C$15, $D$11, 100%, $F$11)</f>
        <v>5.9527000000000001</v>
      </c>
      <c r="F170" s="4">
        <f>6.6297 * CHOOSE(CONTROL!$C$15, $D$11, 100%, $F$11)</f>
        <v>6.6296999999999997</v>
      </c>
      <c r="G170" s="8">
        <f>5.7801 * CHOOSE( CONTROL!$C$15, $D$11, 100%, $F$11)</f>
        <v>5.7801</v>
      </c>
      <c r="H170" s="4">
        <f>6.71 * CHOOSE(CONTROL!$C$15, $D$11, 100%, $F$11)</f>
        <v>6.71</v>
      </c>
      <c r="I170" s="8">
        <f>5.7763 * CHOOSE(CONTROL!$C$15, $D$11, 100%, $F$11)</f>
        <v>5.7763</v>
      </c>
      <c r="J170" s="4">
        <f>5.666 * CHOOSE(CONTROL!$C$15, $D$11, 100%, $F$11)</f>
        <v>5.6660000000000004</v>
      </c>
      <c r="K170" s="4"/>
      <c r="L170" s="9">
        <v>31.095300000000002</v>
      </c>
      <c r="M170" s="9">
        <v>12.063700000000001</v>
      </c>
      <c r="N170" s="9">
        <v>4.9444999999999997</v>
      </c>
      <c r="O170" s="9">
        <v>0.37409999999999999</v>
      </c>
      <c r="P170" s="9">
        <v>1.2183999999999999</v>
      </c>
      <c r="Q170" s="9">
        <v>31.885999999999999</v>
      </c>
      <c r="R170" s="9"/>
      <c r="S170" s="11"/>
    </row>
    <row r="171" spans="1:19" ht="15.75">
      <c r="A171" s="13">
        <v>46692</v>
      </c>
      <c r="B171" s="8">
        <f>6.3931 * CHOOSE(CONTROL!$C$15, $D$11, 100%, $F$11)</f>
        <v>6.3930999999999996</v>
      </c>
      <c r="C171" s="8">
        <f>6.3982 * CHOOSE(CONTROL!$C$15, $D$11, 100%, $F$11)</f>
        <v>6.3982000000000001</v>
      </c>
      <c r="D171" s="8">
        <f>6.3875 * CHOOSE( CONTROL!$C$15, $D$11, 100%, $F$11)</f>
        <v>6.3875000000000002</v>
      </c>
      <c r="E171" s="12">
        <f>6.3909 * CHOOSE( CONTROL!$C$15, $D$11, 100%, $F$11)</f>
        <v>6.3909000000000002</v>
      </c>
      <c r="F171" s="4">
        <f>7.042 * CHOOSE(CONTROL!$C$15, $D$11, 100%, $F$11)</f>
        <v>7.0419999999999998</v>
      </c>
      <c r="G171" s="8">
        <f>6.2372 * CHOOSE( CONTROL!$C$15, $D$11, 100%, $F$11)</f>
        <v>6.2371999999999996</v>
      </c>
      <c r="H171" s="4">
        <f>7.1127 * CHOOSE(CONTROL!$C$15, $D$11, 100%, $F$11)</f>
        <v>7.1127000000000002</v>
      </c>
      <c r="I171" s="8">
        <f>6.2469 * CHOOSE(CONTROL!$C$15, $D$11, 100%, $F$11)</f>
        <v>6.2469000000000001</v>
      </c>
      <c r="J171" s="4">
        <f>6.1108 * CHOOSE(CONTROL!$C$15, $D$11, 100%, $F$11)</f>
        <v>6.1108000000000002</v>
      </c>
      <c r="K171" s="4"/>
      <c r="L171" s="9">
        <v>28.360600000000002</v>
      </c>
      <c r="M171" s="9">
        <v>11.6745</v>
      </c>
      <c r="N171" s="9">
        <v>4.7850000000000001</v>
      </c>
      <c r="O171" s="9">
        <v>0.36199999999999999</v>
      </c>
      <c r="P171" s="9">
        <v>1.2509999999999999</v>
      </c>
      <c r="Q171" s="9">
        <v>30.857399999999998</v>
      </c>
      <c r="R171" s="9"/>
      <c r="S171" s="11"/>
    </row>
    <row r="172" spans="1:19" ht="15.75">
      <c r="A172" s="13">
        <v>46722</v>
      </c>
      <c r="B172" s="8">
        <f>6.3815 * CHOOSE(CONTROL!$C$15, $D$11, 100%, $F$11)</f>
        <v>6.3815</v>
      </c>
      <c r="C172" s="8">
        <f>6.3867 * CHOOSE(CONTROL!$C$15, $D$11, 100%, $F$11)</f>
        <v>6.3867000000000003</v>
      </c>
      <c r="D172" s="8">
        <f>6.3773 * CHOOSE( CONTROL!$C$15, $D$11, 100%, $F$11)</f>
        <v>6.3773</v>
      </c>
      <c r="E172" s="12">
        <f>6.3802 * CHOOSE( CONTROL!$C$15, $D$11, 100%, $F$11)</f>
        <v>6.3802000000000003</v>
      </c>
      <c r="F172" s="4">
        <f>7.0304 * CHOOSE(CONTROL!$C$15, $D$11, 100%, $F$11)</f>
        <v>7.0304000000000002</v>
      </c>
      <c r="G172" s="8">
        <f>6.2269 * CHOOSE( CONTROL!$C$15, $D$11, 100%, $F$11)</f>
        <v>6.2268999999999997</v>
      </c>
      <c r="H172" s="4">
        <f>7.1014 * CHOOSE(CONTROL!$C$15, $D$11, 100%, $F$11)</f>
        <v>7.1013999999999999</v>
      </c>
      <c r="I172" s="8">
        <f>6.2401 * CHOOSE(CONTROL!$C$15, $D$11, 100%, $F$11)</f>
        <v>6.2401</v>
      </c>
      <c r="J172" s="4">
        <f>6.0997 * CHOOSE(CONTROL!$C$15, $D$11, 100%, $F$11)</f>
        <v>6.0997000000000003</v>
      </c>
      <c r="K172" s="4"/>
      <c r="L172" s="9">
        <v>29.306000000000001</v>
      </c>
      <c r="M172" s="9">
        <v>12.063700000000001</v>
      </c>
      <c r="N172" s="9">
        <v>4.9444999999999997</v>
      </c>
      <c r="O172" s="9">
        <v>0.37409999999999999</v>
      </c>
      <c r="P172" s="9">
        <v>1.2927</v>
      </c>
      <c r="Q172" s="9">
        <v>31.885999999999999</v>
      </c>
      <c r="R172" s="9"/>
      <c r="S172" s="11"/>
    </row>
    <row r="173" spans="1:19" ht="15.75">
      <c r="A173" s="13">
        <v>46753</v>
      </c>
      <c r="B173" s="8">
        <f>6.6164 * CHOOSE(CONTROL!$C$15, $D$11, 100%, $F$11)</f>
        <v>6.6163999999999996</v>
      </c>
      <c r="C173" s="8">
        <f>6.6215 * CHOOSE(CONTROL!$C$15, $D$11, 100%, $F$11)</f>
        <v>6.6215000000000002</v>
      </c>
      <c r="D173" s="8">
        <f>6.608 * CHOOSE( CONTROL!$C$15, $D$11, 100%, $F$11)</f>
        <v>6.6079999999999997</v>
      </c>
      <c r="E173" s="12">
        <f>6.6124 * CHOOSE( CONTROL!$C$15, $D$11, 100%, $F$11)</f>
        <v>6.6124000000000001</v>
      </c>
      <c r="F173" s="4">
        <f>7.2653 * CHOOSE(CONTROL!$C$15, $D$11, 100%, $F$11)</f>
        <v>7.2652999999999999</v>
      </c>
      <c r="G173" s="8">
        <f>6.45 * CHOOSE( CONTROL!$C$15, $D$11, 100%, $F$11)</f>
        <v>6.45</v>
      </c>
      <c r="H173" s="4">
        <f>7.3308 * CHOOSE(CONTROL!$C$15, $D$11, 100%, $F$11)</f>
        <v>7.3308</v>
      </c>
      <c r="I173" s="8">
        <f>6.442 * CHOOSE(CONTROL!$C$15, $D$11, 100%, $F$11)</f>
        <v>6.4420000000000002</v>
      </c>
      <c r="J173" s="4">
        <f>6.3252 * CHOOSE(CONTROL!$C$15, $D$11, 100%, $F$11)</f>
        <v>6.3251999999999997</v>
      </c>
      <c r="K173" s="4"/>
      <c r="L173" s="9">
        <v>29.306000000000001</v>
      </c>
      <c r="M173" s="9">
        <v>12.063700000000001</v>
      </c>
      <c r="N173" s="9">
        <v>4.9444999999999997</v>
      </c>
      <c r="O173" s="9">
        <v>0.37409999999999999</v>
      </c>
      <c r="P173" s="9">
        <v>1.2927</v>
      </c>
      <c r="Q173" s="9">
        <v>31.701799999999999</v>
      </c>
      <c r="R173" s="9"/>
      <c r="S173" s="11"/>
    </row>
    <row r="174" spans="1:19" ht="15.75">
      <c r="A174" s="13">
        <v>46784</v>
      </c>
      <c r="B174" s="8">
        <f>6.1904 * CHOOSE(CONTROL!$C$15, $D$11, 100%, $F$11)</f>
        <v>6.1904000000000003</v>
      </c>
      <c r="C174" s="8">
        <f>6.1956 * CHOOSE(CONTROL!$C$15, $D$11, 100%, $F$11)</f>
        <v>6.1955999999999998</v>
      </c>
      <c r="D174" s="8">
        <f>6.1821 * CHOOSE( CONTROL!$C$15, $D$11, 100%, $F$11)</f>
        <v>6.1821000000000002</v>
      </c>
      <c r="E174" s="12">
        <f>6.1865 * CHOOSE( CONTROL!$C$15, $D$11, 100%, $F$11)</f>
        <v>6.1864999999999997</v>
      </c>
      <c r="F174" s="4">
        <f>6.8393 * CHOOSE(CONTROL!$C$15, $D$11, 100%, $F$11)</f>
        <v>6.8392999999999997</v>
      </c>
      <c r="G174" s="8">
        <f>6.034 * CHOOSE( CONTROL!$C$15, $D$11, 100%, $F$11)</f>
        <v>6.0339999999999998</v>
      </c>
      <c r="H174" s="4">
        <f>6.9148 * CHOOSE(CONTROL!$C$15, $D$11, 100%, $F$11)</f>
        <v>6.9147999999999996</v>
      </c>
      <c r="I174" s="8">
        <f>6.0329 * CHOOSE(CONTROL!$C$15, $D$11, 100%, $F$11)</f>
        <v>6.0328999999999997</v>
      </c>
      <c r="J174" s="4">
        <f>5.9163 * CHOOSE(CONTROL!$C$15, $D$11, 100%, $F$11)</f>
        <v>5.9162999999999997</v>
      </c>
      <c r="K174" s="4"/>
      <c r="L174" s="9">
        <v>27.415299999999998</v>
      </c>
      <c r="M174" s="9">
        <v>11.285299999999999</v>
      </c>
      <c r="N174" s="9">
        <v>4.6254999999999997</v>
      </c>
      <c r="O174" s="9">
        <v>0.34989999999999999</v>
      </c>
      <c r="P174" s="9">
        <v>1.2093</v>
      </c>
      <c r="Q174" s="9">
        <v>29.656600000000001</v>
      </c>
      <c r="R174" s="9"/>
      <c r="S174" s="11"/>
    </row>
    <row r="175" spans="1:19" ht="15.75">
      <c r="A175" s="13">
        <v>46813</v>
      </c>
      <c r="B175" s="8">
        <f>6.0593 * CHOOSE(CONTROL!$C$15, $D$11, 100%, $F$11)</f>
        <v>6.0593000000000004</v>
      </c>
      <c r="C175" s="8">
        <f>6.0645 * CHOOSE(CONTROL!$C$15, $D$11, 100%, $F$11)</f>
        <v>6.0644999999999998</v>
      </c>
      <c r="D175" s="8">
        <f>6.0506 * CHOOSE( CONTROL!$C$15, $D$11, 100%, $F$11)</f>
        <v>6.0506000000000002</v>
      </c>
      <c r="E175" s="12">
        <f>6.0551 * CHOOSE( CONTROL!$C$15, $D$11, 100%, $F$11)</f>
        <v>6.0551000000000004</v>
      </c>
      <c r="F175" s="4">
        <f>6.7082 * CHOOSE(CONTROL!$C$15, $D$11, 100%, $F$11)</f>
        <v>6.7081999999999997</v>
      </c>
      <c r="G175" s="8">
        <f>5.9056 * CHOOSE( CONTROL!$C$15, $D$11, 100%, $F$11)</f>
        <v>5.9055999999999997</v>
      </c>
      <c r="H175" s="4">
        <f>6.7867 * CHOOSE(CONTROL!$C$15, $D$11, 100%, $F$11)</f>
        <v>6.7866999999999997</v>
      </c>
      <c r="I175" s="8">
        <f>5.9059 * CHOOSE(CONTROL!$C$15, $D$11, 100%, $F$11)</f>
        <v>5.9058999999999999</v>
      </c>
      <c r="J175" s="4">
        <f>5.7903 * CHOOSE(CONTROL!$C$15, $D$11, 100%, $F$11)</f>
        <v>5.7903000000000002</v>
      </c>
      <c r="K175" s="4"/>
      <c r="L175" s="9">
        <v>29.306000000000001</v>
      </c>
      <c r="M175" s="9">
        <v>12.063700000000001</v>
      </c>
      <c r="N175" s="9">
        <v>4.9444999999999997</v>
      </c>
      <c r="O175" s="9">
        <v>0.37409999999999999</v>
      </c>
      <c r="P175" s="9">
        <v>1.2927</v>
      </c>
      <c r="Q175" s="9">
        <v>31.701799999999999</v>
      </c>
      <c r="R175" s="9"/>
      <c r="S175" s="11"/>
    </row>
    <row r="176" spans="1:19" ht="15.75">
      <c r="A176" s="13">
        <v>46844</v>
      </c>
      <c r="B176" s="8">
        <f>6.1517 * CHOOSE(CONTROL!$C$15, $D$11, 100%, $F$11)</f>
        <v>6.1516999999999999</v>
      </c>
      <c r="C176" s="8">
        <f>6.1563 * CHOOSE(CONTROL!$C$15, $D$11, 100%, $F$11)</f>
        <v>6.1562999999999999</v>
      </c>
      <c r="D176" s="8">
        <f>6.1826 * CHOOSE( CONTROL!$C$15, $D$11, 100%, $F$11)</f>
        <v>6.1825999999999999</v>
      </c>
      <c r="E176" s="12">
        <f>6.1734 * CHOOSE( CONTROL!$C$15, $D$11, 100%, $F$11)</f>
        <v>6.1734</v>
      </c>
      <c r="F176" s="4">
        <f>6.8509 * CHOOSE(CONTROL!$C$15, $D$11, 100%, $F$11)</f>
        <v>6.8509000000000002</v>
      </c>
      <c r="G176" s="8">
        <f>5.9952 * CHOOSE( CONTROL!$C$15, $D$11, 100%, $F$11)</f>
        <v>5.9951999999999996</v>
      </c>
      <c r="H176" s="4">
        <f>6.926 * CHOOSE(CONTROL!$C$15, $D$11, 100%, $F$11)</f>
        <v>6.9260000000000002</v>
      </c>
      <c r="I176" s="8">
        <f>5.9858 * CHOOSE(CONTROL!$C$15, $D$11, 100%, $F$11)</f>
        <v>5.9858000000000002</v>
      </c>
      <c r="J176" s="4">
        <f>5.8783 * CHOOSE(CONTROL!$C$15, $D$11, 100%, $F$11)</f>
        <v>5.8783000000000003</v>
      </c>
      <c r="K176" s="4"/>
      <c r="L176" s="9">
        <v>30.092199999999998</v>
      </c>
      <c r="M176" s="9">
        <v>11.6745</v>
      </c>
      <c r="N176" s="9">
        <v>4.7850000000000001</v>
      </c>
      <c r="O176" s="9">
        <v>0.36199999999999999</v>
      </c>
      <c r="P176" s="9">
        <v>1.1791</v>
      </c>
      <c r="Q176" s="9">
        <v>30.679200000000002</v>
      </c>
      <c r="R176" s="9"/>
      <c r="S176" s="11"/>
    </row>
    <row r="177" spans="1:19" ht="15.75">
      <c r="A177" s="13">
        <v>46874</v>
      </c>
      <c r="B177" s="8">
        <f>CHOOSE( CONTROL!$C$32, 6.321, 6.3162) * CHOOSE(CONTROL!$C$15, $D$11, 100%, $F$11)</f>
        <v>6.3209999999999997</v>
      </c>
      <c r="C177" s="8">
        <f>CHOOSE( CONTROL!$C$32, 6.3291, 6.3243) * CHOOSE(CONTROL!$C$15, $D$11, 100%, $F$11)</f>
        <v>6.3291000000000004</v>
      </c>
      <c r="D177" s="8">
        <f>CHOOSE( CONTROL!$C$32, 6.3504, 6.3456) * CHOOSE( CONTROL!$C$15, $D$11, 100%, $F$11)</f>
        <v>6.3503999999999996</v>
      </c>
      <c r="E177" s="12">
        <f>CHOOSE( CONTROL!$C$32, 6.3414, 6.3366) * CHOOSE( CONTROL!$C$15, $D$11, 100%, $F$11)</f>
        <v>6.3414000000000001</v>
      </c>
      <c r="F177" s="4">
        <f>CHOOSE( CONTROL!$C$32, 7.0188, 7.014) * CHOOSE(CONTROL!$C$15, $D$11, 100%, $F$11)</f>
        <v>7.0187999999999997</v>
      </c>
      <c r="G177" s="8">
        <f>CHOOSE( CONTROL!$C$32, 6.1602, 6.1555) * CHOOSE( CONTROL!$C$15, $D$11, 100%, $F$11)</f>
        <v>6.1601999999999997</v>
      </c>
      <c r="H177" s="4">
        <f>CHOOSE( CONTROL!$C$32, 7.0901, 7.0854) * CHOOSE(CONTROL!$C$15, $D$11, 100%, $F$11)</f>
        <v>7.0900999999999996</v>
      </c>
      <c r="I177" s="8">
        <f>CHOOSE( CONTROL!$C$32, 6.1471, 6.1425) * CHOOSE(CONTROL!$C$15, $D$11, 100%, $F$11)</f>
        <v>6.1471</v>
      </c>
      <c r="J177" s="4">
        <f>CHOOSE( CONTROL!$C$32, 6.0396, 6.035) * CHOOSE(CONTROL!$C$15, $D$11, 100%, $F$11)</f>
        <v>6.0396000000000001</v>
      </c>
      <c r="K177" s="4"/>
      <c r="L177" s="9">
        <v>30.7165</v>
      </c>
      <c r="M177" s="9">
        <v>12.063700000000001</v>
      </c>
      <c r="N177" s="9">
        <v>4.9444999999999997</v>
      </c>
      <c r="O177" s="9">
        <v>0.37409999999999999</v>
      </c>
      <c r="P177" s="9">
        <v>1.2183999999999999</v>
      </c>
      <c r="Q177" s="9">
        <v>31.701799999999999</v>
      </c>
      <c r="R177" s="9"/>
      <c r="S177" s="11"/>
    </row>
    <row r="178" spans="1:19" ht="15.75">
      <c r="A178" s="13">
        <v>46905</v>
      </c>
      <c r="B178" s="8">
        <f>CHOOSE( CONTROL!$C$32, 6.22, 6.2151) * CHOOSE(CONTROL!$C$15, $D$11, 100%, $F$11)</f>
        <v>6.22</v>
      </c>
      <c r="C178" s="8">
        <f>CHOOSE( CONTROL!$C$32, 6.2281, 6.2232) * CHOOSE(CONTROL!$C$15, $D$11, 100%, $F$11)</f>
        <v>6.2281000000000004</v>
      </c>
      <c r="D178" s="8">
        <f>CHOOSE( CONTROL!$C$32, 6.2496, 6.2447) * CHOOSE( CONTROL!$C$15, $D$11, 100%, $F$11)</f>
        <v>6.2496</v>
      </c>
      <c r="E178" s="12">
        <f>CHOOSE( CONTROL!$C$32, 6.2406, 6.2357) * CHOOSE( CONTROL!$C$15, $D$11, 100%, $F$11)</f>
        <v>6.2405999999999997</v>
      </c>
      <c r="F178" s="4">
        <f>CHOOSE( CONTROL!$C$32, 6.9178, 6.913) * CHOOSE(CONTROL!$C$15, $D$11, 100%, $F$11)</f>
        <v>6.9177999999999997</v>
      </c>
      <c r="G178" s="8">
        <f>CHOOSE( CONTROL!$C$32, 6.0618, 6.0571) * CHOOSE( CONTROL!$C$15, $D$11, 100%, $F$11)</f>
        <v>6.0617999999999999</v>
      </c>
      <c r="H178" s="4">
        <f>CHOOSE( CONTROL!$C$32, 6.9914, 6.9867) * CHOOSE(CONTROL!$C$15, $D$11, 100%, $F$11)</f>
        <v>6.9913999999999996</v>
      </c>
      <c r="I178" s="8">
        <f>CHOOSE( CONTROL!$C$32, 6.051, 6.0463) * CHOOSE(CONTROL!$C$15, $D$11, 100%, $F$11)</f>
        <v>6.0510000000000002</v>
      </c>
      <c r="J178" s="4">
        <f>CHOOSE( CONTROL!$C$32, 5.9426, 5.9379) * CHOOSE(CONTROL!$C$15, $D$11, 100%, $F$11)</f>
        <v>5.9425999999999997</v>
      </c>
      <c r="K178" s="4"/>
      <c r="L178" s="9">
        <v>29.7257</v>
      </c>
      <c r="M178" s="9">
        <v>11.6745</v>
      </c>
      <c r="N178" s="9">
        <v>4.7850000000000001</v>
      </c>
      <c r="O178" s="9">
        <v>0.36199999999999999</v>
      </c>
      <c r="P178" s="9">
        <v>1.1791</v>
      </c>
      <c r="Q178" s="9">
        <v>30.679200000000002</v>
      </c>
      <c r="R178" s="9"/>
      <c r="S178" s="11"/>
    </row>
    <row r="179" spans="1:19" ht="15.75">
      <c r="A179" s="13">
        <v>46935</v>
      </c>
      <c r="B179" s="8">
        <f>CHOOSE( CONTROL!$C$32, 6.4861, 6.4813) * CHOOSE(CONTROL!$C$15, $D$11, 100%, $F$11)</f>
        <v>6.4861000000000004</v>
      </c>
      <c r="C179" s="8">
        <f>CHOOSE( CONTROL!$C$32, 6.4942, 6.4894) * CHOOSE(CONTROL!$C$15, $D$11, 100%, $F$11)</f>
        <v>6.4942000000000002</v>
      </c>
      <c r="D179" s="8">
        <f>CHOOSE( CONTROL!$C$32, 6.5159, 6.5111) * CHOOSE( CONTROL!$C$15, $D$11, 100%, $F$11)</f>
        <v>6.5159000000000002</v>
      </c>
      <c r="E179" s="12">
        <f>CHOOSE( CONTROL!$C$32, 6.5068, 6.502) * CHOOSE( CONTROL!$C$15, $D$11, 100%, $F$11)</f>
        <v>6.5068000000000001</v>
      </c>
      <c r="F179" s="4">
        <f>CHOOSE( CONTROL!$C$32, 7.1839, 7.1791) * CHOOSE(CONTROL!$C$15, $D$11, 100%, $F$11)</f>
        <v>7.1839000000000004</v>
      </c>
      <c r="G179" s="8">
        <f>CHOOSE( CONTROL!$C$32, 6.3221, 6.3174) * CHOOSE( CONTROL!$C$15, $D$11, 100%, $F$11)</f>
        <v>6.3220999999999998</v>
      </c>
      <c r="H179" s="4">
        <f>CHOOSE( CONTROL!$C$32, 7.2513, 7.2466) * CHOOSE(CONTROL!$C$15, $D$11, 100%, $F$11)</f>
        <v>7.2512999999999996</v>
      </c>
      <c r="I179" s="8">
        <f>CHOOSE( CONTROL!$C$32, 6.3077, 6.3031) * CHOOSE(CONTROL!$C$15, $D$11, 100%, $F$11)</f>
        <v>6.3076999999999996</v>
      </c>
      <c r="J179" s="4">
        <f>CHOOSE( CONTROL!$C$32, 6.1981, 6.1934) * CHOOSE(CONTROL!$C$15, $D$11, 100%, $F$11)</f>
        <v>6.1981000000000002</v>
      </c>
      <c r="K179" s="4"/>
      <c r="L179" s="9">
        <v>30.7165</v>
      </c>
      <c r="M179" s="9">
        <v>12.063700000000001</v>
      </c>
      <c r="N179" s="9">
        <v>4.9444999999999997</v>
      </c>
      <c r="O179" s="9">
        <v>0.37409999999999999</v>
      </c>
      <c r="P179" s="9">
        <v>1.2183999999999999</v>
      </c>
      <c r="Q179" s="9">
        <v>31.701799999999999</v>
      </c>
      <c r="R179" s="9"/>
      <c r="S179" s="11"/>
    </row>
    <row r="180" spans="1:19" ht="15.75">
      <c r="A180" s="13">
        <v>46966</v>
      </c>
      <c r="B180" s="8">
        <f>CHOOSE( CONTROL!$C$32, 5.9881, 5.9833) * CHOOSE(CONTROL!$C$15, $D$11, 100%, $F$11)</f>
        <v>5.9881000000000002</v>
      </c>
      <c r="C180" s="8">
        <f>CHOOSE( CONTROL!$C$32, 5.9962, 5.9914) * CHOOSE(CONTROL!$C$15, $D$11, 100%, $F$11)</f>
        <v>5.9962</v>
      </c>
      <c r="D180" s="8">
        <f>CHOOSE( CONTROL!$C$32, 6.018, 6.0132) * CHOOSE( CONTROL!$C$15, $D$11, 100%, $F$11)</f>
        <v>6.0179999999999998</v>
      </c>
      <c r="E180" s="12">
        <f>CHOOSE( CONTROL!$C$32, 6.0089, 6.0041) * CHOOSE( CONTROL!$C$15, $D$11, 100%, $F$11)</f>
        <v>6.0088999999999997</v>
      </c>
      <c r="F180" s="4">
        <f>CHOOSE( CONTROL!$C$32, 6.686, 6.6811) * CHOOSE(CONTROL!$C$15, $D$11, 100%, $F$11)</f>
        <v>6.6859999999999999</v>
      </c>
      <c r="G180" s="8">
        <f>CHOOSE( CONTROL!$C$32, 5.8358, 5.8311) * CHOOSE( CONTROL!$C$15, $D$11, 100%, $F$11)</f>
        <v>5.8357999999999999</v>
      </c>
      <c r="H180" s="4">
        <f>CHOOSE( CONTROL!$C$32, 6.765, 6.7602) * CHOOSE(CONTROL!$C$15, $D$11, 100%, $F$11)</f>
        <v>6.7649999999999997</v>
      </c>
      <c r="I180" s="8">
        <f>CHOOSE( CONTROL!$C$32, 5.8297, 5.825) * CHOOSE(CONTROL!$C$15, $D$11, 100%, $F$11)</f>
        <v>5.8296999999999999</v>
      </c>
      <c r="J180" s="4">
        <f>CHOOSE( CONTROL!$C$32, 5.72, 5.7154) * CHOOSE(CONTROL!$C$15, $D$11, 100%, $F$11)</f>
        <v>5.72</v>
      </c>
      <c r="K180" s="4"/>
      <c r="L180" s="9">
        <v>30.7165</v>
      </c>
      <c r="M180" s="9">
        <v>12.063700000000001</v>
      </c>
      <c r="N180" s="9">
        <v>4.9444999999999997</v>
      </c>
      <c r="O180" s="9">
        <v>0.37409999999999999</v>
      </c>
      <c r="P180" s="9">
        <v>1.2183999999999999</v>
      </c>
      <c r="Q180" s="9">
        <v>31.701799999999999</v>
      </c>
      <c r="R180" s="9"/>
      <c r="S180" s="11"/>
    </row>
    <row r="181" spans="1:19" ht="15.75">
      <c r="A181" s="13">
        <v>46997</v>
      </c>
      <c r="B181" s="8">
        <f>CHOOSE( CONTROL!$C$32, 5.8635, 5.8586) * CHOOSE(CONTROL!$C$15, $D$11, 100%, $F$11)</f>
        <v>5.8635000000000002</v>
      </c>
      <c r="C181" s="8">
        <f>CHOOSE( CONTROL!$C$32, 5.8715, 5.8667) * CHOOSE(CONTROL!$C$15, $D$11, 100%, $F$11)</f>
        <v>5.8715000000000002</v>
      </c>
      <c r="D181" s="8">
        <f>CHOOSE( CONTROL!$C$32, 5.8933, 5.8885) * CHOOSE( CONTROL!$C$15, $D$11, 100%, $F$11)</f>
        <v>5.8933</v>
      </c>
      <c r="E181" s="12">
        <f>CHOOSE( CONTROL!$C$32, 5.8842, 5.8794) * CHOOSE( CONTROL!$C$15, $D$11, 100%, $F$11)</f>
        <v>5.8841999999999999</v>
      </c>
      <c r="F181" s="4">
        <f>CHOOSE( CONTROL!$C$32, 6.5613, 6.5564) * CHOOSE(CONTROL!$C$15, $D$11, 100%, $F$11)</f>
        <v>6.5613000000000001</v>
      </c>
      <c r="G181" s="8">
        <f>CHOOSE( CONTROL!$C$32, 5.714, 5.7093) * CHOOSE( CONTROL!$C$15, $D$11, 100%, $F$11)</f>
        <v>5.7140000000000004</v>
      </c>
      <c r="H181" s="4">
        <f>CHOOSE( CONTROL!$C$32, 6.6432, 6.6385) * CHOOSE(CONTROL!$C$15, $D$11, 100%, $F$11)</f>
        <v>6.6432000000000002</v>
      </c>
      <c r="I181" s="8">
        <f>CHOOSE( CONTROL!$C$32, 5.7098, 5.7052) * CHOOSE(CONTROL!$C$15, $D$11, 100%, $F$11)</f>
        <v>5.7098000000000004</v>
      </c>
      <c r="J181" s="4">
        <f>CHOOSE( CONTROL!$C$32, 5.6003, 5.5956) * CHOOSE(CONTROL!$C$15, $D$11, 100%, $F$11)</f>
        <v>5.6002999999999998</v>
      </c>
      <c r="K181" s="4"/>
      <c r="L181" s="9">
        <v>29.7257</v>
      </c>
      <c r="M181" s="9">
        <v>11.6745</v>
      </c>
      <c r="N181" s="9">
        <v>4.7850000000000001</v>
      </c>
      <c r="O181" s="9">
        <v>0.36199999999999999</v>
      </c>
      <c r="P181" s="9">
        <v>1.1791</v>
      </c>
      <c r="Q181" s="9">
        <v>30.679200000000002</v>
      </c>
      <c r="R181" s="9"/>
      <c r="S181" s="11"/>
    </row>
    <row r="182" spans="1:19" ht="15.75">
      <c r="A182" s="13">
        <v>47027</v>
      </c>
      <c r="B182" s="8">
        <f>6.1158 * CHOOSE(CONTROL!$C$15, $D$11, 100%, $F$11)</f>
        <v>6.1158000000000001</v>
      </c>
      <c r="C182" s="8">
        <f>6.1212 * CHOOSE(CONTROL!$C$15, $D$11, 100%, $F$11)</f>
        <v>6.1212</v>
      </c>
      <c r="D182" s="8">
        <f>6.1477 * CHOOSE( CONTROL!$C$15, $D$11, 100%, $F$11)</f>
        <v>6.1477000000000004</v>
      </c>
      <c r="E182" s="12">
        <f>6.1384 * CHOOSE( CONTROL!$C$15, $D$11, 100%, $F$11)</f>
        <v>6.1383999999999999</v>
      </c>
      <c r="F182" s="4">
        <f>6.8153 * CHOOSE(CONTROL!$C$15, $D$11, 100%, $F$11)</f>
        <v>6.8152999999999997</v>
      </c>
      <c r="G182" s="8">
        <f>5.9614 * CHOOSE( CONTROL!$C$15, $D$11, 100%, $F$11)</f>
        <v>5.9614000000000003</v>
      </c>
      <c r="H182" s="4">
        <f>6.8913 * CHOOSE(CONTROL!$C$15, $D$11, 100%, $F$11)</f>
        <v>6.8913000000000002</v>
      </c>
      <c r="I182" s="8">
        <f>5.9546 * CHOOSE(CONTROL!$C$15, $D$11, 100%, $F$11)</f>
        <v>5.9546000000000001</v>
      </c>
      <c r="J182" s="4">
        <f>5.8442 * CHOOSE(CONTROL!$C$15, $D$11, 100%, $F$11)</f>
        <v>5.8441999999999998</v>
      </c>
      <c r="K182" s="4"/>
      <c r="L182" s="9">
        <v>31.095300000000002</v>
      </c>
      <c r="M182" s="9">
        <v>12.063700000000001</v>
      </c>
      <c r="N182" s="9">
        <v>4.9444999999999997</v>
      </c>
      <c r="O182" s="9">
        <v>0.37409999999999999</v>
      </c>
      <c r="P182" s="9">
        <v>1.2183999999999999</v>
      </c>
      <c r="Q182" s="9">
        <v>31.701799999999999</v>
      </c>
      <c r="R182" s="9"/>
      <c r="S182" s="11"/>
    </row>
    <row r="183" spans="1:19" ht="15.75">
      <c r="A183" s="13">
        <v>47058</v>
      </c>
      <c r="B183" s="8">
        <f>6.5933 * CHOOSE(CONTROL!$C$15, $D$11, 100%, $F$11)</f>
        <v>6.5933000000000002</v>
      </c>
      <c r="C183" s="8">
        <f>6.5985 * CHOOSE(CONTROL!$C$15, $D$11, 100%, $F$11)</f>
        <v>6.5984999999999996</v>
      </c>
      <c r="D183" s="8">
        <f>6.5877 * CHOOSE( CONTROL!$C$15, $D$11, 100%, $F$11)</f>
        <v>6.5876999999999999</v>
      </c>
      <c r="E183" s="12">
        <f>6.5911 * CHOOSE( CONTROL!$C$15, $D$11, 100%, $F$11)</f>
        <v>6.5911</v>
      </c>
      <c r="F183" s="4">
        <f>7.2422 * CHOOSE(CONTROL!$C$15, $D$11, 100%, $F$11)</f>
        <v>7.2422000000000004</v>
      </c>
      <c r="G183" s="8">
        <f>6.4327 * CHOOSE( CONTROL!$C$15, $D$11, 100%, $F$11)</f>
        <v>6.4326999999999996</v>
      </c>
      <c r="H183" s="4">
        <f>7.3082 * CHOOSE(CONTROL!$C$15, $D$11, 100%, $F$11)</f>
        <v>7.3082000000000003</v>
      </c>
      <c r="I183" s="8">
        <f>6.4393 * CHOOSE(CONTROL!$C$15, $D$11, 100%, $F$11)</f>
        <v>6.4393000000000002</v>
      </c>
      <c r="J183" s="4">
        <f>6.303 * CHOOSE(CONTROL!$C$15, $D$11, 100%, $F$11)</f>
        <v>6.3029999999999999</v>
      </c>
      <c r="K183" s="4"/>
      <c r="L183" s="9">
        <v>28.360600000000002</v>
      </c>
      <c r="M183" s="9">
        <v>11.6745</v>
      </c>
      <c r="N183" s="9">
        <v>4.7850000000000001</v>
      </c>
      <c r="O183" s="9">
        <v>0.36199999999999999</v>
      </c>
      <c r="P183" s="9">
        <v>1.2509999999999999</v>
      </c>
      <c r="Q183" s="9">
        <v>30.679200000000002</v>
      </c>
      <c r="R183" s="9"/>
      <c r="S183" s="11"/>
    </row>
    <row r="184" spans="1:19" ht="15.75">
      <c r="A184" s="13">
        <v>47088</v>
      </c>
      <c r="B184" s="8">
        <f>6.5814 * CHOOSE(CONTROL!$C$15, $D$11, 100%, $F$11)</f>
        <v>6.5814000000000004</v>
      </c>
      <c r="C184" s="8">
        <f>6.5865 * CHOOSE(CONTROL!$C$15, $D$11, 100%, $F$11)</f>
        <v>6.5865</v>
      </c>
      <c r="D184" s="8">
        <f>6.5771 * CHOOSE( CONTROL!$C$15, $D$11, 100%, $F$11)</f>
        <v>6.5770999999999997</v>
      </c>
      <c r="E184" s="12">
        <f>6.58 * CHOOSE( CONTROL!$C$15, $D$11, 100%, $F$11)</f>
        <v>6.58</v>
      </c>
      <c r="F184" s="4">
        <f>7.2303 * CHOOSE(CONTROL!$C$15, $D$11, 100%, $F$11)</f>
        <v>7.2302999999999997</v>
      </c>
      <c r="G184" s="8">
        <f>6.4221 * CHOOSE( CONTROL!$C$15, $D$11, 100%, $F$11)</f>
        <v>6.4221000000000004</v>
      </c>
      <c r="H184" s="4">
        <f>7.2966 * CHOOSE(CONTROL!$C$15, $D$11, 100%, $F$11)</f>
        <v>7.2965999999999998</v>
      </c>
      <c r="I184" s="8">
        <f>6.4321 * CHOOSE(CONTROL!$C$15, $D$11, 100%, $F$11)</f>
        <v>6.4321000000000002</v>
      </c>
      <c r="J184" s="4">
        <f>6.2916 * CHOOSE(CONTROL!$C$15, $D$11, 100%, $F$11)</f>
        <v>6.2915999999999999</v>
      </c>
      <c r="K184" s="4"/>
      <c r="L184" s="9">
        <v>29.306000000000001</v>
      </c>
      <c r="M184" s="9">
        <v>12.063700000000001</v>
      </c>
      <c r="N184" s="9">
        <v>4.9444999999999997</v>
      </c>
      <c r="O184" s="9">
        <v>0.37409999999999999</v>
      </c>
      <c r="P184" s="9">
        <v>1.2927</v>
      </c>
      <c r="Q184" s="9">
        <v>31.701799999999999</v>
      </c>
      <c r="R184" s="9"/>
      <c r="S184" s="11"/>
    </row>
    <row r="185" spans="1:19" ht="15.75">
      <c r="A185" s="13">
        <v>47119</v>
      </c>
      <c r="B185" s="8">
        <f>6.8228 * CHOOSE(CONTROL!$C$15, $D$11, 100%, $F$11)</f>
        <v>6.8228</v>
      </c>
      <c r="C185" s="8">
        <f>6.828 * CHOOSE(CONTROL!$C$15, $D$11, 100%, $F$11)</f>
        <v>6.8280000000000003</v>
      </c>
      <c r="D185" s="8">
        <f>6.8144 * CHOOSE( CONTROL!$C$15, $D$11, 100%, $F$11)</f>
        <v>6.8144</v>
      </c>
      <c r="E185" s="12">
        <f>6.8188 * CHOOSE( CONTROL!$C$15, $D$11, 100%, $F$11)</f>
        <v>6.8188000000000004</v>
      </c>
      <c r="F185" s="4">
        <f>7.4717 * CHOOSE(CONTROL!$C$15, $D$11, 100%, $F$11)</f>
        <v>7.4717000000000002</v>
      </c>
      <c r="G185" s="8">
        <f>6.6516 * CHOOSE( CONTROL!$C$15, $D$11, 100%, $F$11)</f>
        <v>6.6516000000000002</v>
      </c>
      <c r="H185" s="4">
        <f>7.5324 * CHOOSE(CONTROL!$C$15, $D$11, 100%, $F$11)</f>
        <v>7.5324</v>
      </c>
      <c r="I185" s="8">
        <f>6.6403 * CHOOSE(CONTROL!$C$15, $D$11, 100%, $F$11)</f>
        <v>6.6402999999999999</v>
      </c>
      <c r="J185" s="4">
        <f>6.5234 * CHOOSE(CONTROL!$C$15, $D$11, 100%, $F$11)</f>
        <v>6.5233999999999996</v>
      </c>
      <c r="K185" s="4"/>
      <c r="L185" s="9">
        <v>29.306000000000001</v>
      </c>
      <c r="M185" s="9">
        <v>12.063700000000001</v>
      </c>
      <c r="N185" s="9">
        <v>4.9444999999999997</v>
      </c>
      <c r="O185" s="9">
        <v>0.37409999999999999</v>
      </c>
      <c r="P185" s="9">
        <v>1.2927</v>
      </c>
      <c r="Q185" s="9">
        <v>31.517700000000001</v>
      </c>
      <c r="R185" s="9"/>
      <c r="S185" s="11"/>
    </row>
    <row r="186" spans="1:19" ht="15.75">
      <c r="A186" s="13">
        <v>47150</v>
      </c>
      <c r="B186" s="8">
        <f>6.3835 * CHOOSE(CONTROL!$C$15, $D$11, 100%, $F$11)</f>
        <v>6.3834999999999997</v>
      </c>
      <c r="C186" s="8">
        <f>6.3887 * CHOOSE(CONTROL!$C$15, $D$11, 100%, $F$11)</f>
        <v>6.3887</v>
      </c>
      <c r="D186" s="8">
        <f>6.3752 * CHOOSE( CONTROL!$C$15, $D$11, 100%, $F$11)</f>
        <v>6.3752000000000004</v>
      </c>
      <c r="E186" s="12">
        <f>6.3796 * CHOOSE( CONTROL!$C$15, $D$11, 100%, $F$11)</f>
        <v>6.3795999999999999</v>
      </c>
      <c r="F186" s="4">
        <f>7.0324 * CHOOSE(CONTROL!$C$15, $D$11, 100%, $F$11)</f>
        <v>7.0324</v>
      </c>
      <c r="G186" s="8">
        <f>6.2226 * CHOOSE( CONTROL!$C$15, $D$11, 100%, $F$11)</f>
        <v>6.2225999999999999</v>
      </c>
      <c r="H186" s="4">
        <f>7.1034 * CHOOSE(CONTROL!$C$15, $D$11, 100%, $F$11)</f>
        <v>7.1033999999999997</v>
      </c>
      <c r="I186" s="8">
        <f>6.2184 * CHOOSE(CONTROL!$C$15, $D$11, 100%, $F$11)</f>
        <v>6.2183999999999999</v>
      </c>
      <c r="J186" s="4">
        <f>6.1016 * CHOOSE(CONTROL!$C$15, $D$11, 100%, $F$11)</f>
        <v>6.1016000000000004</v>
      </c>
      <c r="K186" s="4"/>
      <c r="L186" s="9">
        <v>26.469899999999999</v>
      </c>
      <c r="M186" s="9">
        <v>10.8962</v>
      </c>
      <c r="N186" s="9">
        <v>4.4660000000000002</v>
      </c>
      <c r="O186" s="9">
        <v>0.33789999999999998</v>
      </c>
      <c r="P186" s="9">
        <v>1.1676</v>
      </c>
      <c r="Q186" s="9">
        <v>28.467600000000001</v>
      </c>
      <c r="R186" s="9"/>
      <c r="S186" s="11"/>
    </row>
    <row r="187" spans="1:19" ht="15.75">
      <c r="A187" s="13">
        <v>47178</v>
      </c>
      <c r="B187" s="8">
        <f>6.2482 * CHOOSE(CONTROL!$C$15, $D$11, 100%, $F$11)</f>
        <v>6.2481999999999998</v>
      </c>
      <c r="C187" s="8">
        <f>6.2534 * CHOOSE(CONTROL!$C$15, $D$11, 100%, $F$11)</f>
        <v>6.2534000000000001</v>
      </c>
      <c r="D187" s="8">
        <f>6.2396 * CHOOSE( CONTROL!$C$15, $D$11, 100%, $F$11)</f>
        <v>6.2396000000000003</v>
      </c>
      <c r="E187" s="12">
        <f>6.2441 * CHOOSE( CONTROL!$C$15, $D$11, 100%, $F$11)</f>
        <v>6.2441000000000004</v>
      </c>
      <c r="F187" s="4">
        <f>6.8971 * CHOOSE(CONTROL!$C$15, $D$11, 100%, $F$11)</f>
        <v>6.8971</v>
      </c>
      <c r="G187" s="8">
        <f>6.0902 * CHOOSE( CONTROL!$C$15, $D$11, 100%, $F$11)</f>
        <v>6.0902000000000003</v>
      </c>
      <c r="H187" s="4">
        <f>6.9712 * CHOOSE(CONTROL!$C$15, $D$11, 100%, $F$11)</f>
        <v>6.9711999999999996</v>
      </c>
      <c r="I187" s="8">
        <f>6.0874 * CHOOSE(CONTROL!$C$15, $D$11, 100%, $F$11)</f>
        <v>6.0873999999999997</v>
      </c>
      <c r="J187" s="4">
        <f>5.9718 * CHOOSE(CONTROL!$C$15, $D$11, 100%, $F$11)</f>
        <v>5.9718</v>
      </c>
      <c r="K187" s="4"/>
      <c r="L187" s="9">
        <v>29.306000000000001</v>
      </c>
      <c r="M187" s="9">
        <v>12.063700000000001</v>
      </c>
      <c r="N187" s="9">
        <v>4.9444999999999997</v>
      </c>
      <c r="O187" s="9">
        <v>0.37409999999999999</v>
      </c>
      <c r="P187" s="9">
        <v>1.2927</v>
      </c>
      <c r="Q187" s="9">
        <v>31.517700000000001</v>
      </c>
      <c r="R187" s="9"/>
      <c r="S187" s="11"/>
    </row>
    <row r="188" spans="1:19" ht="15.75">
      <c r="A188" s="13">
        <v>47209</v>
      </c>
      <c r="B188" s="8">
        <f>6.3435 * CHOOSE(CONTROL!$C$15, $D$11, 100%, $F$11)</f>
        <v>6.3434999999999997</v>
      </c>
      <c r="C188" s="8">
        <f>6.3482 * CHOOSE(CONTROL!$C$15, $D$11, 100%, $F$11)</f>
        <v>6.3482000000000003</v>
      </c>
      <c r="D188" s="8">
        <f>6.3745 * CHOOSE( CONTROL!$C$15, $D$11, 100%, $F$11)</f>
        <v>6.3745000000000003</v>
      </c>
      <c r="E188" s="12">
        <f>6.3653 * CHOOSE( CONTROL!$C$15, $D$11, 100%, $F$11)</f>
        <v>6.3653000000000004</v>
      </c>
      <c r="F188" s="4">
        <f>7.0427 * CHOOSE(CONTROL!$C$15, $D$11, 100%, $F$11)</f>
        <v>7.0427</v>
      </c>
      <c r="G188" s="8">
        <f>6.1826 * CHOOSE( CONTROL!$C$15, $D$11, 100%, $F$11)</f>
        <v>6.1825999999999999</v>
      </c>
      <c r="H188" s="4">
        <f>7.1134 * CHOOSE(CONTROL!$C$15, $D$11, 100%, $F$11)</f>
        <v>7.1134000000000004</v>
      </c>
      <c r="I188" s="8">
        <f>6.1701 * CHOOSE(CONTROL!$C$15, $D$11, 100%, $F$11)</f>
        <v>6.1700999999999997</v>
      </c>
      <c r="J188" s="4">
        <f>6.0625 * CHOOSE(CONTROL!$C$15, $D$11, 100%, $F$11)</f>
        <v>6.0625</v>
      </c>
      <c r="K188" s="4"/>
      <c r="L188" s="9">
        <v>30.092199999999998</v>
      </c>
      <c r="M188" s="9">
        <v>11.6745</v>
      </c>
      <c r="N188" s="9">
        <v>4.7850000000000001</v>
      </c>
      <c r="O188" s="9">
        <v>0.36199999999999999</v>
      </c>
      <c r="P188" s="9">
        <v>1.1791</v>
      </c>
      <c r="Q188" s="9">
        <v>30.501000000000001</v>
      </c>
      <c r="R188" s="9"/>
      <c r="S188" s="11"/>
    </row>
    <row r="189" spans="1:19" ht="15.75">
      <c r="A189" s="13">
        <v>47239</v>
      </c>
      <c r="B189" s="8">
        <f>CHOOSE( CONTROL!$C$32, 6.518, 6.5132) * CHOOSE(CONTROL!$C$15, $D$11, 100%, $F$11)</f>
        <v>6.5179999999999998</v>
      </c>
      <c r="C189" s="8">
        <f>CHOOSE( CONTROL!$C$32, 6.5261, 6.5212) * CHOOSE(CONTROL!$C$15, $D$11, 100%, $F$11)</f>
        <v>6.5260999999999996</v>
      </c>
      <c r="D189" s="8">
        <f>CHOOSE( CONTROL!$C$32, 6.5474, 6.5426) * CHOOSE( CONTROL!$C$15, $D$11, 100%, $F$11)</f>
        <v>6.5473999999999997</v>
      </c>
      <c r="E189" s="12">
        <f>CHOOSE( CONTROL!$C$32, 6.5384, 6.5336) * CHOOSE( CONTROL!$C$15, $D$11, 100%, $F$11)</f>
        <v>6.5384000000000002</v>
      </c>
      <c r="F189" s="4">
        <f>CHOOSE( CONTROL!$C$32, 7.2158, 7.211) * CHOOSE(CONTROL!$C$15, $D$11, 100%, $F$11)</f>
        <v>7.2157999999999998</v>
      </c>
      <c r="G189" s="8">
        <f>CHOOSE( CONTROL!$C$32, 6.3526, 6.3479) * CHOOSE( CONTROL!$C$15, $D$11, 100%, $F$11)</f>
        <v>6.3525999999999998</v>
      </c>
      <c r="H189" s="4">
        <f>CHOOSE( CONTROL!$C$32, 7.2825, 7.2777) * CHOOSE(CONTROL!$C$15, $D$11, 100%, $F$11)</f>
        <v>7.2824999999999998</v>
      </c>
      <c r="I189" s="8">
        <f>CHOOSE( CONTROL!$C$32, 6.3363, 6.3317) * CHOOSE(CONTROL!$C$15, $D$11, 100%, $F$11)</f>
        <v>6.3362999999999996</v>
      </c>
      <c r="J189" s="4">
        <f>CHOOSE( CONTROL!$C$32, 6.2287, 6.2241) * CHOOSE(CONTROL!$C$15, $D$11, 100%, $F$11)</f>
        <v>6.2286999999999999</v>
      </c>
      <c r="K189" s="4"/>
      <c r="L189" s="9">
        <v>30.7165</v>
      </c>
      <c r="M189" s="9">
        <v>12.063700000000001</v>
      </c>
      <c r="N189" s="9">
        <v>4.9444999999999997</v>
      </c>
      <c r="O189" s="9">
        <v>0.37409999999999999</v>
      </c>
      <c r="P189" s="9">
        <v>1.2183999999999999</v>
      </c>
      <c r="Q189" s="9">
        <v>31.517700000000001</v>
      </c>
      <c r="R189" s="9"/>
      <c r="S189" s="11"/>
    </row>
    <row r="190" spans="1:19" ht="15.75">
      <c r="A190" s="13">
        <v>47270</v>
      </c>
      <c r="B190" s="8">
        <f>CHOOSE( CONTROL!$C$32, 6.4138, 6.4089) * CHOOSE(CONTROL!$C$15, $D$11, 100%, $F$11)</f>
        <v>6.4138000000000002</v>
      </c>
      <c r="C190" s="8">
        <f>CHOOSE( CONTROL!$C$32, 6.4218, 6.417) * CHOOSE(CONTROL!$C$15, $D$11, 100%, $F$11)</f>
        <v>6.4218000000000002</v>
      </c>
      <c r="D190" s="8">
        <f>CHOOSE( CONTROL!$C$32, 6.4434, 6.4385) * CHOOSE( CONTROL!$C$15, $D$11, 100%, $F$11)</f>
        <v>6.4433999999999996</v>
      </c>
      <c r="E190" s="12">
        <f>CHOOSE( CONTROL!$C$32, 6.4344, 6.4295) * CHOOSE( CONTROL!$C$15, $D$11, 100%, $F$11)</f>
        <v>6.4344000000000001</v>
      </c>
      <c r="F190" s="4">
        <f>CHOOSE( CONTROL!$C$32, 7.1116, 7.1067) * CHOOSE(CONTROL!$C$15, $D$11, 100%, $F$11)</f>
        <v>7.1116000000000001</v>
      </c>
      <c r="G190" s="8">
        <f>CHOOSE( CONTROL!$C$32, 6.2511, 6.2464) * CHOOSE( CONTROL!$C$15, $D$11, 100%, $F$11)</f>
        <v>6.2511000000000001</v>
      </c>
      <c r="H190" s="4">
        <f>CHOOSE( CONTROL!$C$32, 7.1807, 7.1759) * CHOOSE(CONTROL!$C$15, $D$11, 100%, $F$11)</f>
        <v>7.1806999999999999</v>
      </c>
      <c r="I190" s="8">
        <f>CHOOSE( CONTROL!$C$32, 6.2371, 6.2325) * CHOOSE(CONTROL!$C$15, $D$11, 100%, $F$11)</f>
        <v>6.2370999999999999</v>
      </c>
      <c r="J190" s="4">
        <f>CHOOSE( CONTROL!$C$32, 6.1286, 6.124) * CHOOSE(CONTROL!$C$15, $D$11, 100%, $F$11)</f>
        <v>6.1285999999999996</v>
      </c>
      <c r="K190" s="4"/>
      <c r="L190" s="9">
        <v>29.7257</v>
      </c>
      <c r="M190" s="9">
        <v>11.6745</v>
      </c>
      <c r="N190" s="9">
        <v>4.7850000000000001</v>
      </c>
      <c r="O190" s="9">
        <v>0.36199999999999999</v>
      </c>
      <c r="P190" s="9">
        <v>1.1791</v>
      </c>
      <c r="Q190" s="9">
        <v>30.501000000000001</v>
      </c>
      <c r="R190" s="9"/>
      <c r="S190" s="11"/>
    </row>
    <row r="191" spans="1:19" ht="15.75">
      <c r="A191" s="13">
        <v>47300</v>
      </c>
      <c r="B191" s="8">
        <f>CHOOSE( CONTROL!$C$32, 6.6882, 6.6834) * CHOOSE(CONTROL!$C$15, $D$11, 100%, $F$11)</f>
        <v>6.6882000000000001</v>
      </c>
      <c r="C191" s="8">
        <f>CHOOSE( CONTROL!$C$32, 6.6963, 6.6915) * CHOOSE(CONTROL!$C$15, $D$11, 100%, $F$11)</f>
        <v>6.6962999999999999</v>
      </c>
      <c r="D191" s="8">
        <f>CHOOSE( CONTROL!$C$32, 6.7181, 6.7132) * CHOOSE( CONTROL!$C$15, $D$11, 100%, $F$11)</f>
        <v>6.7180999999999997</v>
      </c>
      <c r="E191" s="12">
        <f>CHOOSE( CONTROL!$C$32, 6.709, 6.7041) * CHOOSE( CONTROL!$C$15, $D$11, 100%, $F$11)</f>
        <v>6.7089999999999996</v>
      </c>
      <c r="F191" s="4">
        <f>CHOOSE( CONTROL!$C$32, 7.386, 7.3812) * CHOOSE(CONTROL!$C$15, $D$11, 100%, $F$11)</f>
        <v>7.3860000000000001</v>
      </c>
      <c r="G191" s="8">
        <f>CHOOSE( CONTROL!$C$32, 6.5195, 6.5148) * CHOOSE( CONTROL!$C$15, $D$11, 100%, $F$11)</f>
        <v>6.5194999999999999</v>
      </c>
      <c r="H191" s="4">
        <f>CHOOSE( CONTROL!$C$32, 7.4487, 7.444) * CHOOSE(CONTROL!$C$15, $D$11, 100%, $F$11)</f>
        <v>7.4486999999999997</v>
      </c>
      <c r="I191" s="8">
        <f>CHOOSE( CONTROL!$C$32, 6.5019, 6.4972) * CHOOSE(CONTROL!$C$15, $D$11, 100%, $F$11)</f>
        <v>6.5019</v>
      </c>
      <c r="J191" s="4">
        <f>CHOOSE( CONTROL!$C$32, 6.3921, 6.3875) * CHOOSE(CONTROL!$C$15, $D$11, 100%, $F$11)</f>
        <v>6.3921000000000001</v>
      </c>
      <c r="K191" s="4"/>
      <c r="L191" s="9">
        <v>30.7165</v>
      </c>
      <c r="M191" s="9">
        <v>12.063700000000001</v>
      </c>
      <c r="N191" s="9">
        <v>4.9444999999999997</v>
      </c>
      <c r="O191" s="9">
        <v>0.37409999999999999</v>
      </c>
      <c r="P191" s="9">
        <v>1.2183999999999999</v>
      </c>
      <c r="Q191" s="9">
        <v>31.517700000000001</v>
      </c>
      <c r="R191" s="9"/>
      <c r="S191" s="11"/>
    </row>
    <row r="192" spans="1:19" ht="15.75">
      <c r="A192" s="13">
        <v>47331</v>
      </c>
      <c r="B192" s="8">
        <f>CHOOSE( CONTROL!$C$32, 6.1747, 6.1698) * CHOOSE(CONTROL!$C$15, $D$11, 100%, $F$11)</f>
        <v>6.1746999999999996</v>
      </c>
      <c r="C192" s="8">
        <f>CHOOSE( CONTROL!$C$32, 6.1828, 6.1779) * CHOOSE(CONTROL!$C$15, $D$11, 100%, $F$11)</f>
        <v>6.1828000000000003</v>
      </c>
      <c r="D192" s="8">
        <f>CHOOSE( CONTROL!$C$32, 6.2046, 6.1997) * CHOOSE( CONTROL!$C$15, $D$11, 100%, $F$11)</f>
        <v>6.2046000000000001</v>
      </c>
      <c r="E192" s="12">
        <f>CHOOSE( CONTROL!$C$32, 6.1955, 6.1906) * CHOOSE( CONTROL!$C$15, $D$11, 100%, $F$11)</f>
        <v>6.1955</v>
      </c>
      <c r="F192" s="4">
        <f>CHOOSE( CONTROL!$C$32, 6.8725, 6.8676) * CHOOSE(CONTROL!$C$15, $D$11, 100%, $F$11)</f>
        <v>6.8724999999999996</v>
      </c>
      <c r="G192" s="8">
        <f>CHOOSE( CONTROL!$C$32, 6.018, 6.0133) * CHOOSE( CONTROL!$C$15, $D$11, 100%, $F$11)</f>
        <v>6.0179999999999998</v>
      </c>
      <c r="H192" s="4">
        <f>CHOOSE( CONTROL!$C$32, 6.9471, 6.9424) * CHOOSE(CONTROL!$C$15, $D$11, 100%, $F$11)</f>
        <v>6.9470999999999998</v>
      </c>
      <c r="I192" s="8">
        <f>CHOOSE( CONTROL!$C$32, 6.0089, 6.0042) * CHOOSE(CONTROL!$C$15, $D$11, 100%, $F$11)</f>
        <v>6.0088999999999997</v>
      </c>
      <c r="J192" s="4">
        <f>CHOOSE( CONTROL!$C$32, 5.8991, 5.8944) * CHOOSE(CONTROL!$C$15, $D$11, 100%, $F$11)</f>
        <v>5.8990999999999998</v>
      </c>
      <c r="K192" s="4"/>
      <c r="L192" s="9">
        <v>30.7165</v>
      </c>
      <c r="M192" s="9">
        <v>12.063700000000001</v>
      </c>
      <c r="N192" s="9">
        <v>4.9444999999999997</v>
      </c>
      <c r="O192" s="9">
        <v>0.37409999999999999</v>
      </c>
      <c r="P192" s="9">
        <v>1.2183999999999999</v>
      </c>
      <c r="Q192" s="9">
        <v>31.517700000000001</v>
      </c>
      <c r="R192" s="9"/>
      <c r="S192" s="11"/>
    </row>
    <row r="193" spans="1:19" ht="15.75">
      <c r="A193" s="13">
        <v>47362</v>
      </c>
      <c r="B193" s="8">
        <f>CHOOSE( CONTROL!$C$32, 6.0461, 6.0412) * CHOOSE(CONTROL!$C$15, $D$11, 100%, $F$11)</f>
        <v>6.0461</v>
      </c>
      <c r="C193" s="8">
        <f>CHOOSE( CONTROL!$C$32, 6.0542, 6.0493) * CHOOSE(CONTROL!$C$15, $D$11, 100%, $F$11)</f>
        <v>6.0541999999999998</v>
      </c>
      <c r="D193" s="8">
        <f>CHOOSE( CONTROL!$C$32, 6.0759, 6.0711) * CHOOSE( CONTROL!$C$15, $D$11, 100%, $F$11)</f>
        <v>6.0758999999999999</v>
      </c>
      <c r="E193" s="12">
        <f>CHOOSE( CONTROL!$C$32, 6.0668, 6.062) * CHOOSE( CONTROL!$C$15, $D$11, 100%, $F$11)</f>
        <v>6.0667999999999997</v>
      </c>
      <c r="F193" s="4">
        <f>CHOOSE( CONTROL!$C$32, 6.7439, 6.739) * CHOOSE(CONTROL!$C$15, $D$11, 100%, $F$11)</f>
        <v>6.7439</v>
      </c>
      <c r="G193" s="8">
        <f>CHOOSE( CONTROL!$C$32, 5.8924, 5.8877) * CHOOSE( CONTROL!$C$15, $D$11, 100%, $F$11)</f>
        <v>5.8924000000000003</v>
      </c>
      <c r="H193" s="4">
        <f>CHOOSE( CONTROL!$C$32, 6.8215, 6.8168) * CHOOSE(CONTROL!$C$15, $D$11, 100%, $F$11)</f>
        <v>6.8215000000000003</v>
      </c>
      <c r="I193" s="8">
        <f>CHOOSE( CONTROL!$C$32, 5.8852, 5.8806) * CHOOSE(CONTROL!$C$15, $D$11, 100%, $F$11)</f>
        <v>5.8852000000000002</v>
      </c>
      <c r="J193" s="4">
        <f>CHOOSE( CONTROL!$C$32, 5.7756, 5.771) * CHOOSE(CONTROL!$C$15, $D$11, 100%, $F$11)</f>
        <v>5.7755999999999998</v>
      </c>
      <c r="K193" s="4"/>
      <c r="L193" s="9">
        <v>29.7257</v>
      </c>
      <c r="M193" s="9">
        <v>11.6745</v>
      </c>
      <c r="N193" s="9">
        <v>4.7850000000000001</v>
      </c>
      <c r="O193" s="9">
        <v>0.36199999999999999</v>
      </c>
      <c r="P193" s="9">
        <v>1.1791</v>
      </c>
      <c r="Q193" s="9">
        <v>30.501000000000001</v>
      </c>
      <c r="R193" s="9"/>
      <c r="S193" s="11"/>
    </row>
    <row r="194" spans="1:19" ht="15.75">
      <c r="A194" s="13">
        <v>47392</v>
      </c>
      <c r="B194" s="8">
        <f>6.3065 * CHOOSE(CONTROL!$C$15, $D$11, 100%, $F$11)</f>
        <v>6.3064999999999998</v>
      </c>
      <c r="C194" s="8">
        <f>6.312 * CHOOSE(CONTROL!$C$15, $D$11, 100%, $F$11)</f>
        <v>6.3120000000000003</v>
      </c>
      <c r="D194" s="8">
        <f>6.3384 * CHOOSE( CONTROL!$C$15, $D$11, 100%, $F$11)</f>
        <v>6.3384</v>
      </c>
      <c r="E194" s="12">
        <f>6.3291 * CHOOSE( CONTROL!$C$15, $D$11, 100%, $F$11)</f>
        <v>6.3291000000000004</v>
      </c>
      <c r="F194" s="4">
        <f>7.0061 * CHOOSE(CONTROL!$C$15, $D$11, 100%, $F$11)</f>
        <v>7.0061</v>
      </c>
      <c r="G194" s="8">
        <f>6.1477 * CHOOSE( CONTROL!$C$15, $D$11, 100%, $F$11)</f>
        <v>6.1477000000000004</v>
      </c>
      <c r="H194" s="4">
        <f>7.0776 * CHOOSE(CONTROL!$C$15, $D$11, 100%, $F$11)</f>
        <v>7.0776000000000003</v>
      </c>
      <c r="I194" s="8">
        <f>6.1378 * CHOOSE(CONTROL!$C$15, $D$11, 100%, $F$11)</f>
        <v>6.1378000000000004</v>
      </c>
      <c r="J194" s="4">
        <f>6.0273 * CHOOSE(CONTROL!$C$15, $D$11, 100%, $F$11)</f>
        <v>6.0273000000000003</v>
      </c>
      <c r="K194" s="4"/>
      <c r="L194" s="9">
        <v>31.095300000000002</v>
      </c>
      <c r="M194" s="9">
        <v>12.063700000000001</v>
      </c>
      <c r="N194" s="9">
        <v>4.9444999999999997</v>
      </c>
      <c r="O194" s="9">
        <v>0.37409999999999999</v>
      </c>
      <c r="P194" s="9">
        <v>1.2183999999999999</v>
      </c>
      <c r="Q194" s="9">
        <v>31.517700000000001</v>
      </c>
      <c r="R194" s="9"/>
      <c r="S194" s="11"/>
    </row>
    <row r="195" spans="1:19" ht="15.75">
      <c r="A195" s="13">
        <v>47423</v>
      </c>
      <c r="B195" s="8">
        <f>6.799 * CHOOSE(CONTROL!$C$15, $D$11, 100%, $F$11)</f>
        <v>6.7990000000000004</v>
      </c>
      <c r="C195" s="8">
        <f>6.8042 * CHOOSE(CONTROL!$C$15, $D$11, 100%, $F$11)</f>
        <v>6.8041999999999998</v>
      </c>
      <c r="D195" s="8">
        <f>6.7934 * CHOOSE( CONTROL!$C$15, $D$11, 100%, $F$11)</f>
        <v>6.7934000000000001</v>
      </c>
      <c r="E195" s="12">
        <f>6.7968 * CHOOSE( CONTROL!$C$15, $D$11, 100%, $F$11)</f>
        <v>6.7968000000000002</v>
      </c>
      <c r="F195" s="4">
        <f>7.4479 * CHOOSE(CONTROL!$C$15, $D$11, 100%, $F$11)</f>
        <v>7.4478999999999997</v>
      </c>
      <c r="G195" s="8">
        <f>6.6337 * CHOOSE( CONTROL!$C$15, $D$11, 100%, $F$11)</f>
        <v>6.6337000000000002</v>
      </c>
      <c r="H195" s="4">
        <f>7.5092 * CHOOSE(CONTROL!$C$15, $D$11, 100%, $F$11)</f>
        <v>7.5091999999999999</v>
      </c>
      <c r="I195" s="8">
        <f>6.6369 * CHOOSE(CONTROL!$C$15, $D$11, 100%, $F$11)</f>
        <v>6.6368999999999998</v>
      </c>
      <c r="J195" s="4">
        <f>6.5005 * CHOOSE(CONTROL!$C$15, $D$11, 100%, $F$11)</f>
        <v>6.5004999999999997</v>
      </c>
      <c r="K195" s="4"/>
      <c r="L195" s="9">
        <v>28.360600000000002</v>
      </c>
      <c r="M195" s="9">
        <v>11.6745</v>
      </c>
      <c r="N195" s="9">
        <v>4.7850000000000001</v>
      </c>
      <c r="O195" s="9">
        <v>0.36199999999999999</v>
      </c>
      <c r="P195" s="9">
        <v>1.2509999999999999</v>
      </c>
      <c r="Q195" s="9">
        <v>30.501000000000001</v>
      </c>
      <c r="R195" s="9"/>
      <c r="S195" s="11"/>
    </row>
    <row r="196" spans="1:19" ht="15.75">
      <c r="A196" s="13">
        <v>47453</v>
      </c>
      <c r="B196" s="8">
        <f>6.7867 * CHOOSE(CONTROL!$C$15, $D$11, 100%, $F$11)</f>
        <v>6.7866999999999997</v>
      </c>
      <c r="C196" s="8">
        <f>6.7919 * CHOOSE(CONTROL!$C$15, $D$11, 100%, $F$11)</f>
        <v>6.7919</v>
      </c>
      <c r="D196" s="8">
        <f>6.7825 * CHOOSE( CONTROL!$C$15, $D$11, 100%, $F$11)</f>
        <v>6.7824999999999998</v>
      </c>
      <c r="E196" s="12">
        <f>6.7854 * CHOOSE( CONTROL!$C$15, $D$11, 100%, $F$11)</f>
        <v>6.7854000000000001</v>
      </c>
      <c r="F196" s="4">
        <f>7.4356 * CHOOSE(CONTROL!$C$15, $D$11, 100%, $F$11)</f>
        <v>7.4356</v>
      </c>
      <c r="G196" s="8">
        <f>6.6226 * CHOOSE( CONTROL!$C$15, $D$11, 100%, $F$11)</f>
        <v>6.6226000000000003</v>
      </c>
      <c r="H196" s="4">
        <f>7.4971 * CHOOSE(CONTROL!$C$15, $D$11, 100%, $F$11)</f>
        <v>7.4970999999999997</v>
      </c>
      <c r="I196" s="8">
        <f>6.6294 * CHOOSE(CONTROL!$C$15, $D$11, 100%, $F$11)</f>
        <v>6.6294000000000004</v>
      </c>
      <c r="J196" s="4">
        <f>6.4887 * CHOOSE(CONTROL!$C$15, $D$11, 100%, $F$11)</f>
        <v>6.4886999999999997</v>
      </c>
      <c r="K196" s="4"/>
      <c r="L196" s="9">
        <v>29.306000000000001</v>
      </c>
      <c r="M196" s="9">
        <v>12.063700000000001</v>
      </c>
      <c r="N196" s="9">
        <v>4.9444999999999997</v>
      </c>
      <c r="O196" s="9">
        <v>0.37409999999999999</v>
      </c>
      <c r="P196" s="9">
        <v>1.2927</v>
      </c>
      <c r="Q196" s="9">
        <v>31.517700000000001</v>
      </c>
      <c r="R196" s="9"/>
      <c r="S196" s="11"/>
    </row>
    <row r="197" spans="1:19" ht="15.75">
      <c r="A197" s="13">
        <v>47484</v>
      </c>
      <c r="B197" s="8">
        <f>7.0348 * CHOOSE(CONTROL!$C$15, $D$11, 100%, $F$11)</f>
        <v>7.0347999999999997</v>
      </c>
      <c r="C197" s="8">
        <f>7.04 * CHOOSE(CONTROL!$C$15, $D$11, 100%, $F$11)</f>
        <v>7.04</v>
      </c>
      <c r="D197" s="8">
        <f>7.0265 * CHOOSE( CONTROL!$C$15, $D$11, 100%, $F$11)</f>
        <v>7.0265000000000004</v>
      </c>
      <c r="E197" s="12">
        <f>7.0309 * CHOOSE( CONTROL!$C$15, $D$11, 100%, $F$11)</f>
        <v>7.0308999999999999</v>
      </c>
      <c r="F197" s="4">
        <f>7.6837 * CHOOSE(CONTROL!$C$15, $D$11, 100%, $F$11)</f>
        <v>7.6837</v>
      </c>
      <c r="G197" s="8">
        <f>6.8587 * CHOOSE( CONTROL!$C$15, $D$11, 100%, $F$11)</f>
        <v>6.8586999999999998</v>
      </c>
      <c r="H197" s="4">
        <f>7.7395 * CHOOSE(CONTROL!$C$15, $D$11, 100%, $F$11)</f>
        <v>7.7394999999999996</v>
      </c>
      <c r="I197" s="8">
        <f>6.844 * CHOOSE(CONTROL!$C$15, $D$11, 100%, $F$11)</f>
        <v>6.8440000000000003</v>
      </c>
      <c r="J197" s="4">
        <f>6.727 * CHOOSE(CONTROL!$C$15, $D$11, 100%, $F$11)</f>
        <v>6.7270000000000003</v>
      </c>
      <c r="K197" s="4"/>
      <c r="L197" s="9">
        <v>29.306000000000001</v>
      </c>
      <c r="M197" s="9">
        <v>12.063700000000001</v>
      </c>
      <c r="N197" s="9">
        <v>4.9444999999999997</v>
      </c>
      <c r="O197" s="9">
        <v>0.37409999999999999</v>
      </c>
      <c r="P197" s="9">
        <v>1.2927</v>
      </c>
      <c r="Q197" s="9">
        <v>31.333600000000001</v>
      </c>
      <c r="R197" s="9"/>
      <c r="S197" s="11"/>
    </row>
    <row r="198" spans="1:19" ht="15.75">
      <c r="A198" s="13">
        <v>47515</v>
      </c>
      <c r="B198" s="8">
        <f>6.5819 * CHOOSE(CONTROL!$C$15, $D$11, 100%, $F$11)</f>
        <v>6.5819000000000001</v>
      </c>
      <c r="C198" s="8">
        <f>6.5871 * CHOOSE(CONTROL!$C$15, $D$11, 100%, $F$11)</f>
        <v>6.5871000000000004</v>
      </c>
      <c r="D198" s="8">
        <f>6.5735 * CHOOSE( CONTROL!$C$15, $D$11, 100%, $F$11)</f>
        <v>6.5735000000000001</v>
      </c>
      <c r="E198" s="12">
        <f>6.5779 * CHOOSE( CONTROL!$C$15, $D$11, 100%, $F$11)</f>
        <v>6.5778999999999996</v>
      </c>
      <c r="F198" s="4">
        <f>7.2308 * CHOOSE(CONTROL!$C$15, $D$11, 100%, $F$11)</f>
        <v>7.2308000000000003</v>
      </c>
      <c r="G198" s="8">
        <f>6.4163 * CHOOSE( CONTROL!$C$15, $D$11, 100%, $F$11)</f>
        <v>6.4162999999999997</v>
      </c>
      <c r="H198" s="4">
        <f>7.2971 * CHOOSE(CONTROL!$C$15, $D$11, 100%, $F$11)</f>
        <v>7.2971000000000004</v>
      </c>
      <c r="I198" s="8">
        <f>6.4089 * CHOOSE(CONTROL!$C$15, $D$11, 100%, $F$11)</f>
        <v>6.4089</v>
      </c>
      <c r="J198" s="4">
        <f>6.2921 * CHOOSE(CONTROL!$C$15, $D$11, 100%, $F$11)</f>
        <v>6.2920999999999996</v>
      </c>
      <c r="K198" s="4"/>
      <c r="L198" s="9">
        <v>26.469899999999999</v>
      </c>
      <c r="M198" s="9">
        <v>10.8962</v>
      </c>
      <c r="N198" s="9">
        <v>4.4660000000000002</v>
      </c>
      <c r="O198" s="9">
        <v>0.33789999999999998</v>
      </c>
      <c r="P198" s="9">
        <v>1.1676</v>
      </c>
      <c r="Q198" s="9">
        <v>28.301300000000001</v>
      </c>
      <c r="R198" s="9"/>
      <c r="S198" s="11"/>
    </row>
    <row r="199" spans="1:19" ht="15.75">
      <c r="A199" s="13">
        <v>47543</v>
      </c>
      <c r="B199" s="8">
        <f>6.4424 * CHOOSE(CONTROL!$C$15, $D$11, 100%, $F$11)</f>
        <v>6.4424000000000001</v>
      </c>
      <c r="C199" s="8">
        <f>6.4475 * CHOOSE(CONTROL!$C$15, $D$11, 100%, $F$11)</f>
        <v>6.4474999999999998</v>
      </c>
      <c r="D199" s="8">
        <f>6.4337 * CHOOSE( CONTROL!$C$15, $D$11, 100%, $F$11)</f>
        <v>6.4337</v>
      </c>
      <c r="E199" s="12">
        <f>6.4382 * CHOOSE( CONTROL!$C$15, $D$11, 100%, $F$11)</f>
        <v>6.4382000000000001</v>
      </c>
      <c r="F199" s="4">
        <f>7.0913 * CHOOSE(CONTROL!$C$15, $D$11, 100%, $F$11)</f>
        <v>7.0913000000000004</v>
      </c>
      <c r="G199" s="8">
        <f>6.2798 * CHOOSE( CONTROL!$C$15, $D$11, 100%, $F$11)</f>
        <v>6.2797999999999998</v>
      </c>
      <c r="H199" s="4">
        <f>7.1608 * CHOOSE(CONTROL!$C$15, $D$11, 100%, $F$11)</f>
        <v>7.1608000000000001</v>
      </c>
      <c r="I199" s="8">
        <f>6.2739 * CHOOSE(CONTROL!$C$15, $D$11, 100%, $F$11)</f>
        <v>6.2739000000000003</v>
      </c>
      <c r="J199" s="4">
        <f>6.1581 * CHOOSE(CONTROL!$C$15, $D$11, 100%, $F$11)</f>
        <v>6.1581000000000001</v>
      </c>
      <c r="K199" s="4"/>
      <c r="L199" s="9">
        <v>29.306000000000001</v>
      </c>
      <c r="M199" s="9">
        <v>12.063700000000001</v>
      </c>
      <c r="N199" s="9">
        <v>4.9444999999999997</v>
      </c>
      <c r="O199" s="9">
        <v>0.37409999999999999</v>
      </c>
      <c r="P199" s="9">
        <v>1.2927</v>
      </c>
      <c r="Q199" s="9">
        <v>31.333600000000001</v>
      </c>
      <c r="R199" s="9"/>
      <c r="S199" s="11"/>
    </row>
    <row r="200" spans="1:19" ht="15.75">
      <c r="A200" s="13">
        <v>47574</v>
      </c>
      <c r="B200" s="8">
        <f>6.5406 * CHOOSE(CONTROL!$C$15, $D$11, 100%, $F$11)</f>
        <v>6.5406000000000004</v>
      </c>
      <c r="C200" s="8">
        <f>6.5452 * CHOOSE(CONTROL!$C$15, $D$11, 100%, $F$11)</f>
        <v>6.5452000000000004</v>
      </c>
      <c r="D200" s="8">
        <f>6.5715 * CHOOSE( CONTROL!$C$15, $D$11, 100%, $F$11)</f>
        <v>6.5715000000000003</v>
      </c>
      <c r="E200" s="12">
        <f>6.5623 * CHOOSE( CONTROL!$C$15, $D$11, 100%, $F$11)</f>
        <v>6.5622999999999996</v>
      </c>
      <c r="F200" s="4">
        <f>7.2398 * CHOOSE(CONTROL!$C$15, $D$11, 100%, $F$11)</f>
        <v>7.2397999999999998</v>
      </c>
      <c r="G200" s="8">
        <f>6.3751 * CHOOSE( CONTROL!$C$15, $D$11, 100%, $F$11)</f>
        <v>6.3750999999999998</v>
      </c>
      <c r="H200" s="4">
        <f>7.3059 * CHOOSE(CONTROL!$C$15, $D$11, 100%, $F$11)</f>
        <v>7.3059000000000003</v>
      </c>
      <c r="I200" s="8">
        <f>6.3594 * CHOOSE(CONTROL!$C$15, $D$11, 100%, $F$11)</f>
        <v>6.3593999999999999</v>
      </c>
      <c r="J200" s="4">
        <f>6.2517 * CHOOSE(CONTROL!$C$15, $D$11, 100%, $F$11)</f>
        <v>6.2516999999999996</v>
      </c>
      <c r="K200" s="4"/>
      <c r="L200" s="9">
        <v>30.092199999999998</v>
      </c>
      <c r="M200" s="9">
        <v>11.6745</v>
      </c>
      <c r="N200" s="9">
        <v>4.7850000000000001</v>
      </c>
      <c r="O200" s="9">
        <v>0.36199999999999999</v>
      </c>
      <c r="P200" s="9">
        <v>1.1791</v>
      </c>
      <c r="Q200" s="9">
        <v>30.322800000000001</v>
      </c>
      <c r="R200" s="9"/>
      <c r="S200" s="11"/>
    </row>
    <row r="201" spans="1:19" ht="15.75">
      <c r="A201" s="13">
        <v>47604</v>
      </c>
      <c r="B201" s="8">
        <f>CHOOSE( CONTROL!$C$32, 6.7203, 6.7155) * CHOOSE(CONTROL!$C$15, $D$11, 100%, $F$11)</f>
        <v>6.7202999999999999</v>
      </c>
      <c r="C201" s="8">
        <f>CHOOSE( CONTROL!$C$32, 6.7284, 6.7236) * CHOOSE(CONTROL!$C$15, $D$11, 100%, $F$11)</f>
        <v>6.7283999999999997</v>
      </c>
      <c r="D201" s="8">
        <f>CHOOSE( CONTROL!$C$32, 6.7497, 6.7449) * CHOOSE( CONTROL!$C$15, $D$11, 100%, $F$11)</f>
        <v>6.7496999999999998</v>
      </c>
      <c r="E201" s="12">
        <f>CHOOSE( CONTROL!$C$32, 6.7407, 6.7359) * CHOOSE( CONTROL!$C$15, $D$11, 100%, $F$11)</f>
        <v>6.7407000000000004</v>
      </c>
      <c r="F201" s="4">
        <f>CHOOSE( CONTROL!$C$32, 7.4181, 7.4133) * CHOOSE(CONTROL!$C$15, $D$11, 100%, $F$11)</f>
        <v>7.4180999999999999</v>
      </c>
      <c r="G201" s="8">
        <f>CHOOSE( CONTROL!$C$32, 6.5502, 6.5455) * CHOOSE( CONTROL!$C$15, $D$11, 100%, $F$11)</f>
        <v>6.5502000000000002</v>
      </c>
      <c r="H201" s="4">
        <f>CHOOSE( CONTROL!$C$32, 7.4801, 7.4753) * CHOOSE(CONTROL!$C$15, $D$11, 100%, $F$11)</f>
        <v>7.4801000000000002</v>
      </c>
      <c r="I201" s="8">
        <f>CHOOSE( CONTROL!$C$32, 6.5307, 6.526) * CHOOSE(CONTROL!$C$15, $D$11, 100%, $F$11)</f>
        <v>6.5307000000000004</v>
      </c>
      <c r="J201" s="4">
        <f>CHOOSE( CONTROL!$C$32, 6.4229, 6.4183) * CHOOSE(CONTROL!$C$15, $D$11, 100%, $F$11)</f>
        <v>6.4229000000000003</v>
      </c>
      <c r="K201" s="4"/>
      <c r="L201" s="9">
        <v>30.7165</v>
      </c>
      <c r="M201" s="9">
        <v>12.063700000000001</v>
      </c>
      <c r="N201" s="9">
        <v>4.9444999999999997</v>
      </c>
      <c r="O201" s="9">
        <v>0.37409999999999999</v>
      </c>
      <c r="P201" s="9">
        <v>1.2183999999999999</v>
      </c>
      <c r="Q201" s="9">
        <v>31.333600000000001</v>
      </c>
      <c r="R201" s="9"/>
      <c r="S201" s="11"/>
    </row>
    <row r="202" spans="1:19" ht="15.75">
      <c r="A202" s="13">
        <v>47635</v>
      </c>
      <c r="B202" s="8">
        <f>CHOOSE( CONTROL!$C$32, 6.6128, 6.608) * CHOOSE(CONTROL!$C$15, $D$11, 100%, $F$11)</f>
        <v>6.6128</v>
      </c>
      <c r="C202" s="8">
        <f>CHOOSE( CONTROL!$C$32, 6.6209, 6.6161) * CHOOSE(CONTROL!$C$15, $D$11, 100%, $F$11)</f>
        <v>6.6208999999999998</v>
      </c>
      <c r="D202" s="8">
        <f>CHOOSE( CONTROL!$C$32, 6.6424, 6.6376) * CHOOSE( CONTROL!$C$15, $D$11, 100%, $F$11)</f>
        <v>6.6424000000000003</v>
      </c>
      <c r="E202" s="12">
        <f>CHOOSE( CONTROL!$C$32, 6.6334, 6.6286) * CHOOSE( CONTROL!$C$15, $D$11, 100%, $F$11)</f>
        <v>6.6334</v>
      </c>
      <c r="F202" s="4">
        <f>CHOOSE( CONTROL!$C$32, 7.3106, 7.3058) * CHOOSE(CONTROL!$C$15, $D$11, 100%, $F$11)</f>
        <v>7.3106</v>
      </c>
      <c r="G202" s="8">
        <f>CHOOSE( CONTROL!$C$32, 6.4455, 6.4408) * CHOOSE( CONTROL!$C$15, $D$11, 100%, $F$11)</f>
        <v>6.4455</v>
      </c>
      <c r="H202" s="4">
        <f>CHOOSE( CONTROL!$C$32, 7.3751, 7.3704) * CHOOSE(CONTROL!$C$15, $D$11, 100%, $F$11)</f>
        <v>7.3750999999999998</v>
      </c>
      <c r="I202" s="8">
        <f>CHOOSE( CONTROL!$C$32, 6.4283, 6.4237) * CHOOSE(CONTROL!$C$15, $D$11, 100%, $F$11)</f>
        <v>6.4283000000000001</v>
      </c>
      <c r="J202" s="4">
        <f>CHOOSE( CONTROL!$C$32, 6.3198, 6.3151) * CHOOSE(CONTROL!$C$15, $D$11, 100%, $F$11)</f>
        <v>6.3197999999999999</v>
      </c>
      <c r="K202" s="4"/>
      <c r="L202" s="9">
        <v>29.7257</v>
      </c>
      <c r="M202" s="9">
        <v>11.6745</v>
      </c>
      <c r="N202" s="9">
        <v>4.7850000000000001</v>
      </c>
      <c r="O202" s="9">
        <v>0.36199999999999999</v>
      </c>
      <c r="P202" s="9">
        <v>1.1791</v>
      </c>
      <c r="Q202" s="9">
        <v>30.322800000000001</v>
      </c>
      <c r="R202" s="9"/>
      <c r="S202" s="11"/>
    </row>
    <row r="203" spans="1:19" ht="15.75">
      <c r="A203" s="13">
        <v>47665</v>
      </c>
      <c r="B203" s="8">
        <f>CHOOSE( CONTROL!$C$32, 6.8959, 6.891) * CHOOSE(CONTROL!$C$15, $D$11, 100%, $F$11)</f>
        <v>6.8959000000000001</v>
      </c>
      <c r="C203" s="8">
        <f>CHOOSE( CONTROL!$C$32, 6.9039, 6.8991) * CHOOSE(CONTROL!$C$15, $D$11, 100%, $F$11)</f>
        <v>6.9039000000000001</v>
      </c>
      <c r="D203" s="8">
        <f>CHOOSE( CONTROL!$C$32, 6.9257, 6.9209) * CHOOSE( CONTROL!$C$15, $D$11, 100%, $F$11)</f>
        <v>6.9257</v>
      </c>
      <c r="E203" s="12">
        <f>CHOOSE( CONTROL!$C$32, 6.9166, 6.9118) * CHOOSE( CONTROL!$C$15, $D$11, 100%, $F$11)</f>
        <v>6.9165999999999999</v>
      </c>
      <c r="F203" s="4">
        <f>CHOOSE( CONTROL!$C$32, 7.5937, 7.5888) * CHOOSE(CONTROL!$C$15, $D$11, 100%, $F$11)</f>
        <v>7.5937000000000001</v>
      </c>
      <c r="G203" s="8">
        <f>CHOOSE( CONTROL!$C$32, 6.7223, 6.7176) * CHOOSE( CONTROL!$C$15, $D$11, 100%, $F$11)</f>
        <v>6.7222999999999997</v>
      </c>
      <c r="H203" s="4">
        <f>CHOOSE( CONTROL!$C$32, 7.6515, 7.6468) * CHOOSE(CONTROL!$C$15, $D$11, 100%, $F$11)</f>
        <v>7.6515000000000004</v>
      </c>
      <c r="I203" s="8">
        <f>CHOOSE( CONTROL!$C$32, 6.7013, 6.6967) * CHOOSE(CONTROL!$C$15, $D$11, 100%, $F$11)</f>
        <v>6.7012999999999998</v>
      </c>
      <c r="J203" s="4">
        <f>CHOOSE( CONTROL!$C$32, 6.5915, 6.5869) * CHOOSE(CONTROL!$C$15, $D$11, 100%, $F$11)</f>
        <v>6.5914999999999999</v>
      </c>
      <c r="K203" s="4"/>
      <c r="L203" s="9">
        <v>30.7165</v>
      </c>
      <c r="M203" s="9">
        <v>12.063700000000001</v>
      </c>
      <c r="N203" s="9">
        <v>4.9444999999999997</v>
      </c>
      <c r="O203" s="9">
        <v>0.37409999999999999</v>
      </c>
      <c r="P203" s="9">
        <v>1.2183999999999999</v>
      </c>
      <c r="Q203" s="9">
        <v>31.333600000000001</v>
      </c>
      <c r="R203" s="9"/>
      <c r="S203" s="11"/>
    </row>
    <row r="204" spans="1:19" ht="15.75">
      <c r="A204" s="13">
        <v>47696</v>
      </c>
      <c r="B204" s="8">
        <f>CHOOSE( CONTROL!$C$32, 6.3663, 6.3614) * CHOOSE(CONTROL!$C$15, $D$11, 100%, $F$11)</f>
        <v>6.3662999999999998</v>
      </c>
      <c r="C204" s="8">
        <f>CHOOSE( CONTROL!$C$32, 6.3744, 6.3695) * CHOOSE(CONTROL!$C$15, $D$11, 100%, $F$11)</f>
        <v>6.3743999999999996</v>
      </c>
      <c r="D204" s="8">
        <f>CHOOSE( CONTROL!$C$32, 6.3962, 6.3913) * CHOOSE( CONTROL!$C$15, $D$11, 100%, $F$11)</f>
        <v>6.3962000000000003</v>
      </c>
      <c r="E204" s="12">
        <f>CHOOSE( CONTROL!$C$32, 6.3871, 6.3822) * CHOOSE( CONTROL!$C$15, $D$11, 100%, $F$11)</f>
        <v>6.3871000000000002</v>
      </c>
      <c r="F204" s="4">
        <f>CHOOSE( CONTROL!$C$32, 7.0641, 7.0593) * CHOOSE(CONTROL!$C$15, $D$11, 100%, $F$11)</f>
        <v>7.0640999999999998</v>
      </c>
      <c r="G204" s="8">
        <f>CHOOSE( CONTROL!$C$32, 6.2052, 6.2004) * CHOOSE( CONTROL!$C$15, $D$11, 100%, $F$11)</f>
        <v>6.2051999999999996</v>
      </c>
      <c r="H204" s="4">
        <f>CHOOSE( CONTROL!$C$32, 7.1343, 7.1296) * CHOOSE(CONTROL!$C$15, $D$11, 100%, $F$11)</f>
        <v>7.1342999999999996</v>
      </c>
      <c r="I204" s="8">
        <f>CHOOSE( CONTROL!$C$32, 6.1929, 6.1883) * CHOOSE(CONTROL!$C$15, $D$11, 100%, $F$11)</f>
        <v>6.1928999999999998</v>
      </c>
      <c r="J204" s="4">
        <f>CHOOSE( CONTROL!$C$32, 6.083, 6.0784) * CHOOSE(CONTROL!$C$15, $D$11, 100%, $F$11)</f>
        <v>6.0830000000000002</v>
      </c>
      <c r="K204" s="4"/>
      <c r="L204" s="9">
        <v>30.7165</v>
      </c>
      <c r="M204" s="9">
        <v>12.063700000000001</v>
      </c>
      <c r="N204" s="9">
        <v>4.9444999999999997</v>
      </c>
      <c r="O204" s="9">
        <v>0.37409999999999999</v>
      </c>
      <c r="P204" s="9">
        <v>1.2183999999999999</v>
      </c>
      <c r="Q204" s="9">
        <v>31.333600000000001</v>
      </c>
      <c r="R204" s="9"/>
      <c r="S204" s="11"/>
    </row>
    <row r="205" spans="1:19" ht="15.75">
      <c r="A205" s="13">
        <v>47727</v>
      </c>
      <c r="B205" s="8">
        <f>CHOOSE( CONTROL!$C$32, 6.2337, 6.2288) * CHOOSE(CONTROL!$C$15, $D$11, 100%, $F$11)</f>
        <v>6.2336999999999998</v>
      </c>
      <c r="C205" s="8">
        <f>CHOOSE( CONTROL!$C$32, 6.2417, 6.2369) * CHOOSE(CONTROL!$C$15, $D$11, 100%, $F$11)</f>
        <v>6.2416999999999998</v>
      </c>
      <c r="D205" s="8">
        <f>CHOOSE( CONTROL!$C$32, 6.2635, 6.2587) * CHOOSE( CONTROL!$C$15, $D$11, 100%, $F$11)</f>
        <v>6.2634999999999996</v>
      </c>
      <c r="E205" s="12">
        <f>CHOOSE( CONTROL!$C$32, 6.2544, 6.2496) * CHOOSE( CONTROL!$C$15, $D$11, 100%, $F$11)</f>
        <v>6.2544000000000004</v>
      </c>
      <c r="F205" s="4">
        <f>CHOOSE( CONTROL!$C$32, 6.9315, 6.9266) * CHOOSE(CONTROL!$C$15, $D$11, 100%, $F$11)</f>
        <v>6.9314999999999998</v>
      </c>
      <c r="G205" s="8">
        <f>CHOOSE( CONTROL!$C$32, 6.0756, 6.0709) * CHOOSE( CONTROL!$C$15, $D$11, 100%, $F$11)</f>
        <v>6.0755999999999997</v>
      </c>
      <c r="H205" s="4">
        <f>CHOOSE( CONTROL!$C$32, 7.0048, 7) * CHOOSE(CONTROL!$C$15, $D$11, 100%, $F$11)</f>
        <v>7.0048000000000004</v>
      </c>
      <c r="I205" s="8">
        <f>CHOOSE( CONTROL!$C$32, 6.0654, 6.0608) * CHOOSE(CONTROL!$C$15, $D$11, 100%, $F$11)</f>
        <v>6.0654000000000003</v>
      </c>
      <c r="J205" s="4">
        <f>CHOOSE( CONTROL!$C$32, 5.9557, 5.9511) * CHOOSE(CONTROL!$C$15, $D$11, 100%, $F$11)</f>
        <v>5.9557000000000002</v>
      </c>
      <c r="K205" s="4"/>
      <c r="L205" s="9">
        <v>29.7257</v>
      </c>
      <c r="M205" s="9">
        <v>11.6745</v>
      </c>
      <c r="N205" s="9">
        <v>4.7850000000000001</v>
      </c>
      <c r="O205" s="9">
        <v>0.36199999999999999</v>
      </c>
      <c r="P205" s="9">
        <v>1.1791</v>
      </c>
      <c r="Q205" s="9">
        <v>30.322800000000001</v>
      </c>
      <c r="R205" s="9"/>
      <c r="S205" s="11"/>
    </row>
    <row r="206" spans="1:19" ht="15.75">
      <c r="A206" s="13">
        <v>47757</v>
      </c>
      <c r="B206" s="8">
        <f>6.5025 * CHOOSE(CONTROL!$C$15, $D$11, 100%, $F$11)</f>
        <v>6.5025000000000004</v>
      </c>
      <c r="C206" s="8">
        <f>6.5079 * CHOOSE(CONTROL!$C$15, $D$11, 100%, $F$11)</f>
        <v>6.5079000000000002</v>
      </c>
      <c r="D206" s="8">
        <f>6.5343 * CHOOSE( CONTROL!$C$15, $D$11, 100%, $F$11)</f>
        <v>6.5343</v>
      </c>
      <c r="E206" s="12">
        <f>6.525 * CHOOSE( CONTROL!$C$15, $D$11, 100%, $F$11)</f>
        <v>6.5250000000000004</v>
      </c>
      <c r="F206" s="4">
        <f>7.202 * CHOOSE(CONTROL!$C$15, $D$11, 100%, $F$11)</f>
        <v>7.202</v>
      </c>
      <c r="G206" s="8">
        <f>6.3391 * CHOOSE( CONTROL!$C$15, $D$11, 100%, $F$11)</f>
        <v>6.3391000000000002</v>
      </c>
      <c r="H206" s="4">
        <f>7.269 * CHOOSE(CONTROL!$C$15, $D$11, 100%, $F$11)</f>
        <v>7.2690000000000001</v>
      </c>
      <c r="I206" s="8">
        <f>6.326 * CHOOSE(CONTROL!$C$15, $D$11, 100%, $F$11)</f>
        <v>6.3259999999999996</v>
      </c>
      <c r="J206" s="4">
        <f>6.2154 * CHOOSE(CONTROL!$C$15, $D$11, 100%, $F$11)</f>
        <v>6.2153999999999998</v>
      </c>
      <c r="K206" s="4"/>
      <c r="L206" s="9">
        <v>31.095300000000002</v>
      </c>
      <c r="M206" s="9">
        <v>12.063700000000001</v>
      </c>
      <c r="N206" s="9">
        <v>4.9444999999999997</v>
      </c>
      <c r="O206" s="9">
        <v>0.37409999999999999</v>
      </c>
      <c r="P206" s="9">
        <v>1.2183999999999999</v>
      </c>
      <c r="Q206" s="9">
        <v>31.333600000000001</v>
      </c>
      <c r="R206" s="9"/>
      <c r="S206" s="11"/>
    </row>
    <row r="207" spans="1:19" ht="15.75">
      <c r="A207" s="13">
        <v>47788</v>
      </c>
      <c r="B207" s="8">
        <f>7.0103 * CHOOSE(CONTROL!$C$15, $D$11, 100%, $F$11)</f>
        <v>7.0103</v>
      </c>
      <c r="C207" s="8">
        <f>7.0155 * CHOOSE(CONTROL!$C$15, $D$11, 100%, $F$11)</f>
        <v>7.0155000000000003</v>
      </c>
      <c r="D207" s="8">
        <f>7.0047 * CHOOSE( CONTROL!$C$15, $D$11, 100%, $F$11)</f>
        <v>7.0046999999999997</v>
      </c>
      <c r="E207" s="12">
        <f>7.0081 * CHOOSE( CONTROL!$C$15, $D$11, 100%, $F$11)</f>
        <v>7.0080999999999998</v>
      </c>
      <c r="F207" s="4">
        <f>7.6592 * CHOOSE(CONTROL!$C$15, $D$11, 100%, $F$11)</f>
        <v>7.6592000000000002</v>
      </c>
      <c r="G207" s="8">
        <f>6.84 * CHOOSE( CONTROL!$C$15, $D$11, 100%, $F$11)</f>
        <v>6.84</v>
      </c>
      <c r="H207" s="4">
        <f>7.7155 * CHOOSE(CONTROL!$C$15, $D$11, 100%, $F$11)</f>
        <v>7.7154999999999996</v>
      </c>
      <c r="I207" s="8">
        <f>6.8398 * CHOOSE(CONTROL!$C$15, $D$11, 100%, $F$11)</f>
        <v>6.8398000000000003</v>
      </c>
      <c r="J207" s="4">
        <f>6.7034 * CHOOSE(CONTROL!$C$15, $D$11, 100%, $F$11)</f>
        <v>6.7034000000000002</v>
      </c>
      <c r="K207" s="4"/>
      <c r="L207" s="9">
        <v>28.360600000000002</v>
      </c>
      <c r="M207" s="9">
        <v>11.6745</v>
      </c>
      <c r="N207" s="9">
        <v>4.7850000000000001</v>
      </c>
      <c r="O207" s="9">
        <v>0.36199999999999999</v>
      </c>
      <c r="P207" s="9">
        <v>1.2509999999999999</v>
      </c>
      <c r="Q207" s="9">
        <v>30.322800000000001</v>
      </c>
      <c r="R207" s="9"/>
      <c r="S207" s="11"/>
    </row>
    <row r="208" spans="1:19" ht="15.75">
      <c r="A208" s="13">
        <v>47818</v>
      </c>
      <c r="B208" s="8">
        <f>6.9976 * CHOOSE(CONTROL!$C$15, $D$11, 100%, $F$11)</f>
        <v>6.9976000000000003</v>
      </c>
      <c r="C208" s="8">
        <f>7.0028 * CHOOSE(CONTROL!$C$15, $D$11, 100%, $F$11)</f>
        <v>7.0027999999999997</v>
      </c>
      <c r="D208" s="8">
        <f>6.9934 * CHOOSE( CONTROL!$C$15, $D$11, 100%, $F$11)</f>
        <v>6.9934000000000003</v>
      </c>
      <c r="E208" s="12">
        <f>6.9963 * CHOOSE( CONTROL!$C$15, $D$11, 100%, $F$11)</f>
        <v>6.9962999999999997</v>
      </c>
      <c r="F208" s="4">
        <f>7.6465 * CHOOSE(CONTROL!$C$15, $D$11, 100%, $F$11)</f>
        <v>7.6464999999999996</v>
      </c>
      <c r="G208" s="8">
        <f>6.8286 * CHOOSE( CONTROL!$C$15, $D$11, 100%, $F$11)</f>
        <v>6.8285999999999998</v>
      </c>
      <c r="H208" s="4">
        <f>7.7031 * CHOOSE(CONTROL!$C$15, $D$11, 100%, $F$11)</f>
        <v>7.7031000000000001</v>
      </c>
      <c r="I208" s="8">
        <f>6.832 * CHOOSE(CONTROL!$C$15, $D$11, 100%, $F$11)</f>
        <v>6.8319999999999999</v>
      </c>
      <c r="J208" s="4">
        <f>6.6912 * CHOOSE(CONTROL!$C$15, $D$11, 100%, $F$11)</f>
        <v>6.6912000000000003</v>
      </c>
      <c r="K208" s="4"/>
      <c r="L208" s="9">
        <v>29.306000000000001</v>
      </c>
      <c r="M208" s="9">
        <v>12.063700000000001</v>
      </c>
      <c r="N208" s="9">
        <v>4.9444999999999997</v>
      </c>
      <c r="O208" s="9">
        <v>0.37409999999999999</v>
      </c>
      <c r="P208" s="9">
        <v>1.2927</v>
      </c>
      <c r="Q208" s="9">
        <v>31.333600000000001</v>
      </c>
      <c r="R208" s="9"/>
      <c r="S208" s="11"/>
    </row>
    <row r="209" spans="1:19" ht="15.75">
      <c r="A209" s="13">
        <v>47849</v>
      </c>
      <c r="B209" s="8">
        <f>7.2526 * CHOOSE(CONTROL!$C$15, $D$11, 100%, $F$11)</f>
        <v>7.2526000000000002</v>
      </c>
      <c r="C209" s="8">
        <f>7.2578 * CHOOSE(CONTROL!$C$15, $D$11, 100%, $F$11)</f>
        <v>7.2577999999999996</v>
      </c>
      <c r="D209" s="8">
        <f>7.2443 * CHOOSE( CONTROL!$C$15, $D$11, 100%, $F$11)</f>
        <v>7.2443</v>
      </c>
      <c r="E209" s="12">
        <f>7.2487 * CHOOSE( CONTROL!$C$15, $D$11, 100%, $F$11)</f>
        <v>7.2487000000000004</v>
      </c>
      <c r="F209" s="4">
        <f>7.9015 * CHOOSE(CONTROL!$C$15, $D$11, 100%, $F$11)</f>
        <v>7.9015000000000004</v>
      </c>
      <c r="G209" s="8">
        <f>7.0714 * CHOOSE( CONTROL!$C$15, $D$11, 100%, $F$11)</f>
        <v>7.0713999999999997</v>
      </c>
      <c r="H209" s="4">
        <f>7.9522 * CHOOSE(CONTROL!$C$15, $D$11, 100%, $F$11)</f>
        <v>7.9522000000000004</v>
      </c>
      <c r="I209" s="8">
        <f>7.0532 * CHOOSE(CONTROL!$C$15, $D$11, 100%, $F$11)</f>
        <v>7.0532000000000004</v>
      </c>
      <c r="J209" s="4">
        <f>6.9361 * CHOOSE(CONTROL!$C$15, $D$11, 100%, $F$11)</f>
        <v>6.9360999999999997</v>
      </c>
      <c r="K209" s="4"/>
      <c r="L209" s="9">
        <v>29.306000000000001</v>
      </c>
      <c r="M209" s="9">
        <v>12.063700000000001</v>
      </c>
      <c r="N209" s="9">
        <v>4.9444999999999997</v>
      </c>
      <c r="O209" s="9">
        <v>0.37409999999999999</v>
      </c>
      <c r="P209" s="9">
        <v>1.2927</v>
      </c>
      <c r="Q209" s="9">
        <v>31.026700000000002</v>
      </c>
      <c r="R209" s="9"/>
      <c r="S209" s="11"/>
    </row>
    <row r="210" spans="1:19" ht="15.75">
      <c r="A210" s="13">
        <v>47880</v>
      </c>
      <c r="B210" s="8">
        <f>6.7856 * CHOOSE(CONTROL!$C$15, $D$11, 100%, $F$11)</f>
        <v>6.7855999999999996</v>
      </c>
      <c r="C210" s="8">
        <f>6.7908 * CHOOSE(CONTROL!$C$15, $D$11, 100%, $F$11)</f>
        <v>6.7907999999999999</v>
      </c>
      <c r="D210" s="8">
        <f>6.7773 * CHOOSE( CONTROL!$C$15, $D$11, 100%, $F$11)</f>
        <v>6.7773000000000003</v>
      </c>
      <c r="E210" s="12">
        <f>6.7817 * CHOOSE( CONTROL!$C$15, $D$11, 100%, $F$11)</f>
        <v>6.7816999999999998</v>
      </c>
      <c r="F210" s="4">
        <f>7.4345 * CHOOSE(CONTROL!$C$15, $D$11, 100%, $F$11)</f>
        <v>7.4344999999999999</v>
      </c>
      <c r="G210" s="8">
        <f>6.6153 * CHOOSE( CONTROL!$C$15, $D$11, 100%, $F$11)</f>
        <v>6.6153000000000004</v>
      </c>
      <c r="H210" s="4">
        <f>7.4961 * CHOOSE(CONTROL!$C$15, $D$11, 100%, $F$11)</f>
        <v>7.4961000000000002</v>
      </c>
      <c r="I210" s="8">
        <f>6.6046 * CHOOSE(CONTROL!$C$15, $D$11, 100%, $F$11)</f>
        <v>6.6045999999999996</v>
      </c>
      <c r="J210" s="4">
        <f>6.4877 * CHOOSE(CONTROL!$C$15, $D$11, 100%, $F$11)</f>
        <v>6.4877000000000002</v>
      </c>
      <c r="K210" s="4"/>
      <c r="L210" s="9">
        <v>26.469899999999999</v>
      </c>
      <c r="M210" s="9">
        <v>10.8962</v>
      </c>
      <c r="N210" s="9">
        <v>4.4660000000000002</v>
      </c>
      <c r="O210" s="9">
        <v>0.33789999999999998</v>
      </c>
      <c r="P210" s="9">
        <v>1.1676</v>
      </c>
      <c r="Q210" s="9">
        <v>28.024100000000001</v>
      </c>
      <c r="R210" s="9"/>
      <c r="S210" s="11"/>
    </row>
    <row r="211" spans="1:19" ht="15.75">
      <c r="A211" s="13">
        <v>47908</v>
      </c>
      <c r="B211" s="8">
        <f>6.6417 * CHOOSE(CONTROL!$C$15, $D$11, 100%, $F$11)</f>
        <v>6.6417000000000002</v>
      </c>
      <c r="C211" s="8">
        <f>6.6469 * CHOOSE(CONTROL!$C$15, $D$11, 100%, $F$11)</f>
        <v>6.6468999999999996</v>
      </c>
      <c r="D211" s="8">
        <f>6.6331 * CHOOSE( CONTROL!$C$15, $D$11, 100%, $F$11)</f>
        <v>6.6330999999999998</v>
      </c>
      <c r="E211" s="12">
        <f>6.6376 * CHOOSE( CONTROL!$C$15, $D$11, 100%, $F$11)</f>
        <v>6.6375999999999999</v>
      </c>
      <c r="F211" s="4">
        <f>7.2907 * CHOOSE(CONTROL!$C$15, $D$11, 100%, $F$11)</f>
        <v>7.2907000000000002</v>
      </c>
      <c r="G211" s="8">
        <f>6.4746 * CHOOSE( CONTROL!$C$15, $D$11, 100%, $F$11)</f>
        <v>6.4745999999999997</v>
      </c>
      <c r="H211" s="4">
        <f>7.3556 * CHOOSE(CONTROL!$C$15, $D$11, 100%, $F$11)</f>
        <v>7.3555999999999999</v>
      </c>
      <c r="I211" s="8">
        <f>6.4654 * CHOOSE(CONTROL!$C$15, $D$11, 100%, $F$11)</f>
        <v>6.4653999999999998</v>
      </c>
      <c r="J211" s="4">
        <f>6.3496 * CHOOSE(CONTROL!$C$15, $D$11, 100%, $F$11)</f>
        <v>6.3495999999999997</v>
      </c>
      <c r="K211" s="4"/>
      <c r="L211" s="9">
        <v>29.306000000000001</v>
      </c>
      <c r="M211" s="9">
        <v>12.063700000000001</v>
      </c>
      <c r="N211" s="9">
        <v>4.9444999999999997</v>
      </c>
      <c r="O211" s="9">
        <v>0.37409999999999999</v>
      </c>
      <c r="P211" s="9">
        <v>1.2927</v>
      </c>
      <c r="Q211" s="9">
        <v>31.026700000000002</v>
      </c>
      <c r="R211" s="9"/>
      <c r="S211" s="11"/>
    </row>
    <row r="212" spans="1:19" ht="15.75">
      <c r="A212" s="13">
        <v>47939</v>
      </c>
      <c r="B212" s="8">
        <f>6.743 * CHOOSE(CONTROL!$C$15, $D$11, 100%, $F$11)</f>
        <v>6.7430000000000003</v>
      </c>
      <c r="C212" s="8">
        <f>6.7476 * CHOOSE(CONTROL!$C$15, $D$11, 100%, $F$11)</f>
        <v>6.7476000000000003</v>
      </c>
      <c r="D212" s="8">
        <f>6.7739 * CHOOSE( CONTROL!$C$15, $D$11, 100%, $F$11)</f>
        <v>6.7739000000000003</v>
      </c>
      <c r="E212" s="12">
        <f>6.7647 * CHOOSE( CONTROL!$C$15, $D$11, 100%, $F$11)</f>
        <v>6.7647000000000004</v>
      </c>
      <c r="F212" s="4">
        <f>7.4422 * CHOOSE(CONTROL!$C$15, $D$11, 100%, $F$11)</f>
        <v>7.4421999999999997</v>
      </c>
      <c r="G212" s="8">
        <f>6.5728 * CHOOSE( CONTROL!$C$15, $D$11, 100%, $F$11)</f>
        <v>6.5728</v>
      </c>
      <c r="H212" s="4">
        <f>7.5036 * CHOOSE(CONTROL!$C$15, $D$11, 100%, $F$11)</f>
        <v>7.5035999999999996</v>
      </c>
      <c r="I212" s="8">
        <f>6.5538 * CHOOSE(CONTROL!$C$15, $D$11, 100%, $F$11)</f>
        <v>6.5537999999999998</v>
      </c>
      <c r="J212" s="4">
        <f>6.4461 * CHOOSE(CONTROL!$C$15, $D$11, 100%, $F$11)</f>
        <v>6.4461000000000004</v>
      </c>
      <c r="K212" s="4"/>
      <c r="L212" s="9">
        <v>30.092199999999998</v>
      </c>
      <c r="M212" s="9">
        <v>11.6745</v>
      </c>
      <c r="N212" s="9">
        <v>4.7850000000000001</v>
      </c>
      <c r="O212" s="9">
        <v>0.36199999999999999</v>
      </c>
      <c r="P212" s="9">
        <v>1.1791</v>
      </c>
      <c r="Q212" s="9">
        <v>30.0258</v>
      </c>
      <c r="R212" s="9"/>
      <c r="S212" s="11"/>
    </row>
    <row r="213" spans="1:19" ht="15.75">
      <c r="A213" s="13">
        <v>47969</v>
      </c>
      <c r="B213" s="8">
        <f>CHOOSE( CONTROL!$C$32, 6.9281, 6.9233) * CHOOSE(CONTROL!$C$15, $D$11, 100%, $F$11)</f>
        <v>6.9280999999999997</v>
      </c>
      <c r="C213" s="8">
        <f>CHOOSE( CONTROL!$C$32, 6.9362, 6.9314) * CHOOSE(CONTROL!$C$15, $D$11, 100%, $F$11)</f>
        <v>6.9362000000000004</v>
      </c>
      <c r="D213" s="8">
        <f>CHOOSE( CONTROL!$C$32, 6.9575, 6.9527) * CHOOSE( CONTROL!$C$15, $D$11, 100%, $F$11)</f>
        <v>6.9574999999999996</v>
      </c>
      <c r="E213" s="12">
        <f>CHOOSE( CONTROL!$C$32, 6.9485, 6.9437) * CHOOSE( CONTROL!$C$15, $D$11, 100%, $F$11)</f>
        <v>6.9485000000000001</v>
      </c>
      <c r="F213" s="4">
        <f>CHOOSE( CONTROL!$C$32, 7.6259, 7.6211) * CHOOSE(CONTROL!$C$15, $D$11, 100%, $F$11)</f>
        <v>7.6258999999999997</v>
      </c>
      <c r="G213" s="8">
        <f>CHOOSE( CONTROL!$C$32, 6.7532, 6.7485) * CHOOSE( CONTROL!$C$15, $D$11, 100%, $F$11)</f>
        <v>6.7531999999999996</v>
      </c>
      <c r="H213" s="4">
        <f>CHOOSE( CONTROL!$C$32, 7.683, 7.6783) * CHOOSE(CONTROL!$C$15, $D$11, 100%, $F$11)</f>
        <v>7.6829999999999998</v>
      </c>
      <c r="I213" s="8">
        <f>CHOOSE( CONTROL!$C$32, 6.7303, 6.7256) * CHOOSE(CONTROL!$C$15, $D$11, 100%, $F$11)</f>
        <v>6.7302999999999997</v>
      </c>
      <c r="J213" s="4">
        <f>CHOOSE( CONTROL!$C$32, 6.6225, 6.6178) * CHOOSE(CONTROL!$C$15, $D$11, 100%, $F$11)</f>
        <v>6.6224999999999996</v>
      </c>
      <c r="K213" s="4"/>
      <c r="L213" s="9">
        <v>30.7165</v>
      </c>
      <c r="M213" s="9">
        <v>12.063700000000001</v>
      </c>
      <c r="N213" s="9">
        <v>4.9444999999999997</v>
      </c>
      <c r="O213" s="9">
        <v>0.37409999999999999</v>
      </c>
      <c r="P213" s="9">
        <v>1.2183999999999999</v>
      </c>
      <c r="Q213" s="9">
        <v>31.026700000000002</v>
      </c>
      <c r="R213" s="9"/>
      <c r="S213" s="11"/>
    </row>
    <row r="214" spans="1:19" ht="15.75">
      <c r="A214" s="13">
        <v>48000</v>
      </c>
      <c r="B214" s="8">
        <f>CHOOSE( CONTROL!$C$32, 6.8173, 6.8125) * CHOOSE(CONTROL!$C$15, $D$11, 100%, $F$11)</f>
        <v>6.8173000000000004</v>
      </c>
      <c r="C214" s="8">
        <f>CHOOSE( CONTROL!$C$32, 6.8254, 6.8206) * CHOOSE(CONTROL!$C$15, $D$11, 100%, $F$11)</f>
        <v>6.8254000000000001</v>
      </c>
      <c r="D214" s="8">
        <f>CHOOSE( CONTROL!$C$32, 6.8469, 6.8421) * CHOOSE( CONTROL!$C$15, $D$11, 100%, $F$11)</f>
        <v>6.8468999999999998</v>
      </c>
      <c r="E214" s="12">
        <f>CHOOSE( CONTROL!$C$32, 6.8379, 6.8331) * CHOOSE( CONTROL!$C$15, $D$11, 100%, $F$11)</f>
        <v>6.8379000000000003</v>
      </c>
      <c r="F214" s="4">
        <f>CHOOSE( CONTROL!$C$32, 7.5151, 7.5103) * CHOOSE(CONTROL!$C$15, $D$11, 100%, $F$11)</f>
        <v>7.5151000000000003</v>
      </c>
      <c r="G214" s="8">
        <f>CHOOSE( CONTROL!$C$32, 6.6452, 6.6405) * CHOOSE( CONTROL!$C$15, $D$11, 100%, $F$11)</f>
        <v>6.6452</v>
      </c>
      <c r="H214" s="4">
        <f>CHOOSE( CONTROL!$C$32, 7.5748, 7.5701) * CHOOSE(CONTROL!$C$15, $D$11, 100%, $F$11)</f>
        <v>7.5747999999999998</v>
      </c>
      <c r="I214" s="8">
        <f>CHOOSE( CONTROL!$C$32, 6.6247, 6.6201) * CHOOSE(CONTROL!$C$15, $D$11, 100%, $F$11)</f>
        <v>6.6246999999999998</v>
      </c>
      <c r="J214" s="4">
        <f>CHOOSE( CONTROL!$C$32, 6.5161, 6.5114) * CHOOSE(CONTROL!$C$15, $D$11, 100%, $F$11)</f>
        <v>6.5160999999999998</v>
      </c>
      <c r="K214" s="4"/>
      <c r="L214" s="9">
        <v>29.7257</v>
      </c>
      <c r="M214" s="9">
        <v>11.6745</v>
      </c>
      <c r="N214" s="9">
        <v>4.7850000000000001</v>
      </c>
      <c r="O214" s="9">
        <v>0.36199999999999999</v>
      </c>
      <c r="P214" s="9">
        <v>1.1791</v>
      </c>
      <c r="Q214" s="9">
        <v>30.0258</v>
      </c>
      <c r="R214" s="9"/>
      <c r="S214" s="11"/>
    </row>
    <row r="215" spans="1:19" ht="15.75">
      <c r="A215" s="13">
        <v>48030</v>
      </c>
      <c r="B215" s="8">
        <f>CHOOSE( CONTROL!$C$32, 7.1091, 7.1043) * CHOOSE(CONTROL!$C$15, $D$11, 100%, $F$11)</f>
        <v>7.1090999999999998</v>
      </c>
      <c r="C215" s="8">
        <f>CHOOSE( CONTROL!$C$32, 7.1172, 7.1124) * CHOOSE(CONTROL!$C$15, $D$11, 100%, $F$11)</f>
        <v>7.1172000000000004</v>
      </c>
      <c r="D215" s="8">
        <f>CHOOSE( CONTROL!$C$32, 7.139, 7.1341) * CHOOSE( CONTROL!$C$15, $D$11, 100%, $F$11)</f>
        <v>7.1390000000000002</v>
      </c>
      <c r="E215" s="12">
        <f>CHOOSE( CONTROL!$C$32, 7.1299, 7.125) * CHOOSE( CONTROL!$C$15, $D$11, 100%, $F$11)</f>
        <v>7.1299000000000001</v>
      </c>
      <c r="F215" s="4">
        <f>CHOOSE( CONTROL!$C$32, 7.8069, 7.8021) * CHOOSE(CONTROL!$C$15, $D$11, 100%, $F$11)</f>
        <v>7.8068999999999997</v>
      </c>
      <c r="G215" s="8">
        <f>CHOOSE( CONTROL!$C$32, 6.9306, 6.9259) * CHOOSE( CONTROL!$C$15, $D$11, 100%, $F$11)</f>
        <v>6.9306000000000001</v>
      </c>
      <c r="H215" s="4">
        <f>CHOOSE( CONTROL!$C$32, 7.8598, 7.8551) * CHOOSE(CONTROL!$C$15, $D$11, 100%, $F$11)</f>
        <v>7.8597999999999999</v>
      </c>
      <c r="I215" s="8">
        <f>CHOOSE( CONTROL!$C$32, 6.9062, 6.9016) * CHOOSE(CONTROL!$C$15, $D$11, 100%, $F$11)</f>
        <v>6.9062000000000001</v>
      </c>
      <c r="J215" s="4">
        <f>CHOOSE( CONTROL!$C$32, 6.7963, 6.7916) * CHOOSE(CONTROL!$C$15, $D$11, 100%, $F$11)</f>
        <v>6.7962999999999996</v>
      </c>
      <c r="K215" s="4"/>
      <c r="L215" s="9">
        <v>30.7165</v>
      </c>
      <c r="M215" s="9">
        <v>12.063700000000001</v>
      </c>
      <c r="N215" s="9">
        <v>4.9444999999999997</v>
      </c>
      <c r="O215" s="9">
        <v>0.37409999999999999</v>
      </c>
      <c r="P215" s="9">
        <v>1.2183999999999999</v>
      </c>
      <c r="Q215" s="9">
        <v>31.026700000000002</v>
      </c>
      <c r="R215" s="9"/>
      <c r="S215" s="11"/>
    </row>
    <row r="216" spans="1:19" ht="15.75">
      <c r="A216" s="13">
        <v>48061</v>
      </c>
      <c r="B216" s="8">
        <f>CHOOSE( CONTROL!$C$32, 6.5631, 6.5583) * CHOOSE(CONTROL!$C$15, $D$11, 100%, $F$11)</f>
        <v>6.5631000000000004</v>
      </c>
      <c r="C216" s="8">
        <f>CHOOSE( CONTROL!$C$32, 6.5712, 6.5663) * CHOOSE(CONTROL!$C$15, $D$11, 100%, $F$11)</f>
        <v>6.5712000000000002</v>
      </c>
      <c r="D216" s="8">
        <f>CHOOSE( CONTROL!$C$32, 6.593, 6.5881) * CHOOSE( CONTROL!$C$15, $D$11, 100%, $F$11)</f>
        <v>6.593</v>
      </c>
      <c r="E216" s="12">
        <f>CHOOSE( CONTROL!$C$32, 6.5839, 6.579) * CHOOSE( CONTROL!$C$15, $D$11, 100%, $F$11)</f>
        <v>6.5838999999999999</v>
      </c>
      <c r="F216" s="4">
        <f>CHOOSE( CONTROL!$C$32, 7.2609, 7.2561) * CHOOSE(CONTROL!$C$15, $D$11, 100%, $F$11)</f>
        <v>7.2609000000000004</v>
      </c>
      <c r="G216" s="8">
        <f>CHOOSE( CONTROL!$C$32, 6.3974, 6.3927) * CHOOSE( CONTROL!$C$15, $D$11, 100%, $F$11)</f>
        <v>6.3974000000000002</v>
      </c>
      <c r="H216" s="4">
        <f>CHOOSE( CONTROL!$C$32, 7.3265, 7.3218) * CHOOSE(CONTROL!$C$15, $D$11, 100%, $F$11)</f>
        <v>7.3265000000000002</v>
      </c>
      <c r="I216" s="8">
        <f>CHOOSE( CONTROL!$C$32, 6.382, 6.3773) * CHOOSE(CONTROL!$C$15, $D$11, 100%, $F$11)</f>
        <v>6.3819999999999997</v>
      </c>
      <c r="J216" s="4">
        <f>CHOOSE( CONTROL!$C$32, 6.272, 6.2674) * CHOOSE(CONTROL!$C$15, $D$11, 100%, $F$11)</f>
        <v>6.2720000000000002</v>
      </c>
      <c r="K216" s="4"/>
      <c r="L216" s="9">
        <v>30.7165</v>
      </c>
      <c r="M216" s="9">
        <v>12.063700000000001</v>
      </c>
      <c r="N216" s="9">
        <v>4.9444999999999997</v>
      </c>
      <c r="O216" s="9">
        <v>0.37409999999999999</v>
      </c>
      <c r="P216" s="9">
        <v>1.2183999999999999</v>
      </c>
      <c r="Q216" s="9">
        <v>31.026700000000002</v>
      </c>
      <c r="R216" s="9"/>
      <c r="S216" s="11"/>
    </row>
    <row r="217" spans="1:19" ht="15.75">
      <c r="A217" s="13">
        <v>48092</v>
      </c>
      <c r="B217" s="8">
        <f>CHOOSE( CONTROL!$C$32, 6.4263, 6.4215) * CHOOSE(CONTROL!$C$15, $D$11, 100%, $F$11)</f>
        <v>6.4263000000000003</v>
      </c>
      <c r="C217" s="8">
        <f>CHOOSE( CONTROL!$C$32, 6.4344, 6.4296) * CHOOSE(CONTROL!$C$15, $D$11, 100%, $F$11)</f>
        <v>6.4344000000000001</v>
      </c>
      <c r="D217" s="8">
        <f>CHOOSE( CONTROL!$C$32, 6.4562, 6.4514) * CHOOSE( CONTROL!$C$15, $D$11, 100%, $F$11)</f>
        <v>6.4561999999999999</v>
      </c>
      <c r="E217" s="12">
        <f>CHOOSE( CONTROL!$C$32, 6.4471, 6.4423) * CHOOSE( CONTROL!$C$15, $D$11, 100%, $F$11)</f>
        <v>6.4470999999999998</v>
      </c>
      <c r="F217" s="4">
        <f>CHOOSE( CONTROL!$C$32, 7.1242, 7.1193) * CHOOSE(CONTROL!$C$15, $D$11, 100%, $F$11)</f>
        <v>7.1242000000000001</v>
      </c>
      <c r="G217" s="8">
        <f>CHOOSE( CONTROL!$C$32, 6.2638, 6.2591) * CHOOSE( CONTROL!$C$15, $D$11, 100%, $F$11)</f>
        <v>6.2637999999999998</v>
      </c>
      <c r="H217" s="4">
        <f>CHOOSE( CONTROL!$C$32, 7.193, 7.1882) * CHOOSE(CONTROL!$C$15, $D$11, 100%, $F$11)</f>
        <v>7.1929999999999996</v>
      </c>
      <c r="I217" s="8">
        <f>CHOOSE( CONTROL!$C$32, 6.2505, 6.2459) * CHOOSE(CONTROL!$C$15, $D$11, 100%, $F$11)</f>
        <v>6.2504999999999997</v>
      </c>
      <c r="J217" s="4">
        <f>CHOOSE( CONTROL!$C$32, 6.1407, 6.1361) * CHOOSE(CONTROL!$C$15, $D$11, 100%, $F$11)</f>
        <v>6.1406999999999998</v>
      </c>
      <c r="K217" s="4"/>
      <c r="L217" s="9">
        <v>29.7257</v>
      </c>
      <c r="M217" s="9">
        <v>11.6745</v>
      </c>
      <c r="N217" s="9">
        <v>4.7850000000000001</v>
      </c>
      <c r="O217" s="9">
        <v>0.36199999999999999</v>
      </c>
      <c r="P217" s="9">
        <v>1.1791</v>
      </c>
      <c r="Q217" s="9">
        <v>30.0258</v>
      </c>
      <c r="R217" s="9"/>
      <c r="S217" s="11"/>
    </row>
    <row r="218" spans="1:19" ht="15.75">
      <c r="A218" s="13">
        <v>48122</v>
      </c>
      <c r="B218" s="8">
        <f>6.7037 * CHOOSE(CONTROL!$C$15, $D$11, 100%, $F$11)</f>
        <v>6.7037000000000004</v>
      </c>
      <c r="C218" s="8">
        <f>6.7091 * CHOOSE(CONTROL!$C$15, $D$11, 100%, $F$11)</f>
        <v>6.7091000000000003</v>
      </c>
      <c r="D218" s="8">
        <f>6.7356 * CHOOSE( CONTROL!$C$15, $D$11, 100%, $F$11)</f>
        <v>6.7355999999999998</v>
      </c>
      <c r="E218" s="12">
        <f>6.7263 * CHOOSE( CONTROL!$C$15, $D$11, 100%, $F$11)</f>
        <v>6.7263000000000002</v>
      </c>
      <c r="F218" s="4">
        <f>7.4032 * CHOOSE(CONTROL!$C$15, $D$11, 100%, $F$11)</f>
        <v>7.4032</v>
      </c>
      <c r="G218" s="8">
        <f>6.5356 * CHOOSE( CONTROL!$C$15, $D$11, 100%, $F$11)</f>
        <v>6.5355999999999996</v>
      </c>
      <c r="H218" s="4">
        <f>7.4655 * CHOOSE(CONTROL!$C$15, $D$11, 100%, $F$11)</f>
        <v>7.4654999999999996</v>
      </c>
      <c r="I218" s="8">
        <f>6.5194 * CHOOSE(CONTROL!$C$15, $D$11, 100%, $F$11)</f>
        <v>6.5194000000000001</v>
      </c>
      <c r="J218" s="4">
        <f>6.4087 * CHOOSE(CONTROL!$C$15, $D$11, 100%, $F$11)</f>
        <v>6.4086999999999996</v>
      </c>
      <c r="K218" s="4"/>
      <c r="L218" s="9">
        <v>31.095300000000002</v>
      </c>
      <c r="M218" s="9">
        <v>12.063700000000001</v>
      </c>
      <c r="N218" s="9">
        <v>4.9444999999999997</v>
      </c>
      <c r="O218" s="9">
        <v>0.37409999999999999</v>
      </c>
      <c r="P218" s="9">
        <v>1.2183999999999999</v>
      </c>
      <c r="Q218" s="9">
        <v>31.026700000000002</v>
      </c>
      <c r="R218" s="9"/>
      <c r="S218" s="11"/>
    </row>
    <row r="219" spans="1:19" ht="15.75">
      <c r="A219" s="13">
        <v>48153</v>
      </c>
      <c r="B219" s="8">
        <f>7.2273 * CHOOSE(CONTROL!$C$15, $D$11, 100%, $F$11)</f>
        <v>7.2272999999999996</v>
      </c>
      <c r="C219" s="8">
        <f>7.2325 * CHOOSE(CONTROL!$C$15, $D$11, 100%, $F$11)</f>
        <v>7.2324999999999999</v>
      </c>
      <c r="D219" s="8">
        <f>7.2218 * CHOOSE( CONTROL!$C$15, $D$11, 100%, $F$11)</f>
        <v>7.2218</v>
      </c>
      <c r="E219" s="12">
        <f>7.2252 * CHOOSE( CONTROL!$C$15, $D$11, 100%, $F$11)</f>
        <v>7.2252000000000001</v>
      </c>
      <c r="F219" s="4">
        <f>7.8763 * CHOOSE(CONTROL!$C$15, $D$11, 100%, $F$11)</f>
        <v>7.8762999999999996</v>
      </c>
      <c r="G219" s="8">
        <f>7.052 * CHOOSE( CONTROL!$C$15, $D$11, 100%, $F$11)</f>
        <v>7.0519999999999996</v>
      </c>
      <c r="H219" s="4">
        <f>7.9275 * CHOOSE(CONTROL!$C$15, $D$11, 100%, $F$11)</f>
        <v>7.9275000000000002</v>
      </c>
      <c r="I219" s="8">
        <f>7.0483 * CHOOSE(CONTROL!$C$15, $D$11, 100%, $F$11)</f>
        <v>7.0483000000000002</v>
      </c>
      <c r="J219" s="4">
        <f>6.9118 * CHOOSE(CONTROL!$C$15, $D$11, 100%, $F$11)</f>
        <v>6.9118000000000004</v>
      </c>
      <c r="K219" s="4"/>
      <c r="L219" s="9">
        <v>28.360600000000002</v>
      </c>
      <c r="M219" s="9">
        <v>11.6745</v>
      </c>
      <c r="N219" s="9">
        <v>4.7850000000000001</v>
      </c>
      <c r="O219" s="9">
        <v>0.36199999999999999</v>
      </c>
      <c r="P219" s="9">
        <v>1.2509999999999999</v>
      </c>
      <c r="Q219" s="9">
        <v>30.0258</v>
      </c>
      <c r="R219" s="9"/>
      <c r="S219" s="11"/>
    </row>
    <row r="220" spans="1:19" ht="15.75">
      <c r="A220" s="13">
        <v>48183</v>
      </c>
      <c r="B220" s="8">
        <f>7.2143 * CHOOSE(CONTROL!$C$15, $D$11, 100%, $F$11)</f>
        <v>7.2142999999999997</v>
      </c>
      <c r="C220" s="8">
        <f>7.2194 * CHOOSE(CONTROL!$C$15, $D$11, 100%, $F$11)</f>
        <v>7.2194000000000003</v>
      </c>
      <c r="D220" s="8">
        <f>7.21 * CHOOSE( CONTROL!$C$15, $D$11, 100%, $F$11)</f>
        <v>7.21</v>
      </c>
      <c r="E220" s="12">
        <f>7.2129 * CHOOSE( CONTROL!$C$15, $D$11, 100%, $F$11)</f>
        <v>7.2129000000000003</v>
      </c>
      <c r="F220" s="4">
        <f>7.8632 * CHOOSE(CONTROL!$C$15, $D$11, 100%, $F$11)</f>
        <v>7.8632</v>
      </c>
      <c r="G220" s="8">
        <f>7.0402 * CHOOSE( CONTROL!$C$15, $D$11, 100%, $F$11)</f>
        <v>7.0401999999999996</v>
      </c>
      <c r="H220" s="4">
        <f>7.9147 * CHOOSE(CONTROL!$C$15, $D$11, 100%, $F$11)</f>
        <v>7.9146999999999998</v>
      </c>
      <c r="I220" s="8">
        <f>7.0401 * CHOOSE(CONTROL!$C$15, $D$11, 100%, $F$11)</f>
        <v>7.0400999999999998</v>
      </c>
      <c r="J220" s="4">
        <f>6.8992 * CHOOSE(CONTROL!$C$15, $D$11, 100%, $F$11)</f>
        <v>6.8992000000000004</v>
      </c>
      <c r="K220" s="4"/>
      <c r="L220" s="9">
        <v>29.306000000000001</v>
      </c>
      <c r="M220" s="9">
        <v>12.063700000000001</v>
      </c>
      <c r="N220" s="9">
        <v>4.9444999999999997</v>
      </c>
      <c r="O220" s="9">
        <v>0.37409999999999999</v>
      </c>
      <c r="P220" s="9">
        <v>1.2927</v>
      </c>
      <c r="Q220" s="9">
        <v>31.026700000000002</v>
      </c>
      <c r="R220" s="9"/>
      <c r="S220" s="11"/>
    </row>
    <row r="221" spans="1:19" ht="15.75">
      <c r="A221" s="13">
        <v>48214</v>
      </c>
      <c r="B221" s="8">
        <f>7.4764 * CHOOSE(CONTROL!$C$15, $D$11, 100%, $F$11)</f>
        <v>7.4763999999999999</v>
      </c>
      <c r="C221" s="8">
        <f>7.4815 * CHOOSE(CONTROL!$C$15, $D$11, 100%, $F$11)</f>
        <v>7.4814999999999996</v>
      </c>
      <c r="D221" s="8">
        <f>7.468 * CHOOSE( CONTROL!$C$15, $D$11, 100%, $F$11)</f>
        <v>7.468</v>
      </c>
      <c r="E221" s="12">
        <f>7.4724 * CHOOSE( CONTROL!$C$15, $D$11, 100%, $F$11)</f>
        <v>7.4724000000000004</v>
      </c>
      <c r="F221" s="4">
        <f>8.1253 * CHOOSE(CONTROL!$C$15, $D$11, 100%, $F$11)</f>
        <v>8.1252999999999993</v>
      </c>
      <c r="G221" s="8">
        <f>7.29 * CHOOSE( CONTROL!$C$15, $D$11, 100%, $F$11)</f>
        <v>7.29</v>
      </c>
      <c r="H221" s="4">
        <f>8.1707 * CHOOSE(CONTROL!$C$15, $D$11, 100%, $F$11)</f>
        <v>8.1707000000000001</v>
      </c>
      <c r="I221" s="8">
        <f>7.2681 * CHOOSE(CONTROL!$C$15, $D$11, 100%, $F$11)</f>
        <v>7.2680999999999996</v>
      </c>
      <c r="J221" s="4">
        <f>7.1509 * CHOOSE(CONTROL!$C$15, $D$11, 100%, $F$11)</f>
        <v>7.1509</v>
      </c>
      <c r="K221" s="4"/>
      <c r="L221" s="9">
        <v>29.306000000000001</v>
      </c>
      <c r="M221" s="9">
        <v>12.063700000000001</v>
      </c>
      <c r="N221" s="9">
        <v>4.9444999999999997</v>
      </c>
      <c r="O221" s="9">
        <v>0.37409999999999999</v>
      </c>
      <c r="P221" s="9">
        <v>1.2927</v>
      </c>
      <c r="Q221" s="9">
        <v>30.8704</v>
      </c>
      <c r="R221" s="9"/>
      <c r="S221" s="11"/>
    </row>
    <row r="222" spans="1:19" ht="15.75">
      <c r="A222" s="13">
        <v>48245</v>
      </c>
      <c r="B222" s="8">
        <f>6.9949 * CHOOSE(CONTROL!$C$15, $D$11, 100%, $F$11)</f>
        <v>6.9949000000000003</v>
      </c>
      <c r="C222" s="8">
        <f>7 * CHOOSE(CONTROL!$C$15, $D$11, 100%, $F$11)</f>
        <v>7</v>
      </c>
      <c r="D222" s="8">
        <f>6.9865 * CHOOSE( CONTROL!$C$15, $D$11, 100%, $F$11)</f>
        <v>6.9865000000000004</v>
      </c>
      <c r="E222" s="12">
        <f>6.9909 * CHOOSE( CONTROL!$C$15, $D$11, 100%, $F$11)</f>
        <v>6.9908999999999999</v>
      </c>
      <c r="F222" s="4">
        <f>7.6438 * CHOOSE(CONTROL!$C$15, $D$11, 100%, $F$11)</f>
        <v>7.6437999999999997</v>
      </c>
      <c r="G222" s="8">
        <f>6.8197 * CHOOSE( CONTROL!$C$15, $D$11, 100%, $F$11)</f>
        <v>6.8197000000000001</v>
      </c>
      <c r="H222" s="4">
        <f>7.7004 * CHOOSE(CONTROL!$C$15, $D$11, 100%, $F$11)</f>
        <v>7.7004000000000001</v>
      </c>
      <c r="I222" s="8">
        <f>6.8056 * CHOOSE(CONTROL!$C$15, $D$11, 100%, $F$11)</f>
        <v>6.8056000000000001</v>
      </c>
      <c r="J222" s="4">
        <f>6.6886 * CHOOSE(CONTROL!$C$15, $D$11, 100%, $F$11)</f>
        <v>6.6886000000000001</v>
      </c>
      <c r="K222" s="4"/>
      <c r="L222" s="9">
        <v>27.415299999999998</v>
      </c>
      <c r="M222" s="9">
        <v>11.285299999999999</v>
      </c>
      <c r="N222" s="9">
        <v>4.6254999999999997</v>
      </c>
      <c r="O222" s="9">
        <v>0.34989999999999999</v>
      </c>
      <c r="P222" s="9">
        <v>1.2093</v>
      </c>
      <c r="Q222" s="9">
        <v>28.878799999999998</v>
      </c>
      <c r="R222" s="9"/>
      <c r="S222" s="11"/>
    </row>
    <row r="223" spans="1:19" ht="15.75">
      <c r="A223" s="13">
        <v>48274</v>
      </c>
      <c r="B223" s="8">
        <f>6.8466 * CHOOSE(CONTROL!$C$15, $D$11, 100%, $F$11)</f>
        <v>6.8465999999999996</v>
      </c>
      <c r="C223" s="8">
        <f>6.8517 * CHOOSE(CONTROL!$C$15, $D$11, 100%, $F$11)</f>
        <v>6.8517000000000001</v>
      </c>
      <c r="D223" s="8">
        <f>6.8379 * CHOOSE( CONTROL!$C$15, $D$11, 100%, $F$11)</f>
        <v>6.8379000000000003</v>
      </c>
      <c r="E223" s="12">
        <f>6.8424 * CHOOSE( CONTROL!$C$15, $D$11, 100%, $F$11)</f>
        <v>6.8423999999999996</v>
      </c>
      <c r="F223" s="4">
        <f>7.4955 * CHOOSE(CONTROL!$C$15, $D$11, 100%, $F$11)</f>
        <v>7.4954999999999998</v>
      </c>
      <c r="G223" s="8">
        <f>6.6746 * CHOOSE( CONTROL!$C$15, $D$11, 100%, $F$11)</f>
        <v>6.6745999999999999</v>
      </c>
      <c r="H223" s="4">
        <f>7.5556 * CHOOSE(CONTROL!$C$15, $D$11, 100%, $F$11)</f>
        <v>7.5556000000000001</v>
      </c>
      <c r="I223" s="8">
        <f>6.6621 * CHOOSE(CONTROL!$C$15, $D$11, 100%, $F$11)</f>
        <v>6.6620999999999997</v>
      </c>
      <c r="J223" s="4">
        <f>6.5462 * CHOOSE(CONTROL!$C$15, $D$11, 100%, $F$11)</f>
        <v>6.5461999999999998</v>
      </c>
      <c r="K223" s="4"/>
      <c r="L223" s="9">
        <v>29.306000000000001</v>
      </c>
      <c r="M223" s="9">
        <v>12.063700000000001</v>
      </c>
      <c r="N223" s="9">
        <v>4.9444999999999997</v>
      </c>
      <c r="O223" s="9">
        <v>0.37409999999999999</v>
      </c>
      <c r="P223" s="9">
        <v>1.2927</v>
      </c>
      <c r="Q223" s="9">
        <v>30.8704</v>
      </c>
      <c r="R223" s="9"/>
      <c r="S223" s="11"/>
    </row>
    <row r="224" spans="1:19" ht="15.75">
      <c r="A224" s="13">
        <v>48305</v>
      </c>
      <c r="B224" s="8">
        <f>6.9509 * CHOOSE(CONTROL!$C$15, $D$11, 100%, $F$11)</f>
        <v>6.9508999999999999</v>
      </c>
      <c r="C224" s="8">
        <f>6.9556 * CHOOSE(CONTROL!$C$15, $D$11, 100%, $F$11)</f>
        <v>6.9555999999999996</v>
      </c>
      <c r="D224" s="8">
        <f>6.9819 * CHOOSE( CONTROL!$C$15, $D$11, 100%, $F$11)</f>
        <v>6.9819000000000004</v>
      </c>
      <c r="E224" s="12">
        <f>6.9727 * CHOOSE( CONTROL!$C$15, $D$11, 100%, $F$11)</f>
        <v>6.9726999999999997</v>
      </c>
      <c r="F224" s="4">
        <f>7.6501 * CHOOSE(CONTROL!$C$15, $D$11, 100%, $F$11)</f>
        <v>7.6501000000000001</v>
      </c>
      <c r="G224" s="8">
        <f>6.7758 * CHOOSE( CONTROL!$C$15, $D$11, 100%, $F$11)</f>
        <v>6.7758000000000003</v>
      </c>
      <c r="H224" s="4">
        <f>7.7067 * CHOOSE(CONTROL!$C$15, $D$11, 100%, $F$11)</f>
        <v>7.7066999999999997</v>
      </c>
      <c r="I224" s="8">
        <f>6.7535 * CHOOSE(CONTROL!$C$15, $D$11, 100%, $F$11)</f>
        <v>6.7534999999999998</v>
      </c>
      <c r="J224" s="4">
        <f>6.6457 * CHOOSE(CONTROL!$C$15, $D$11, 100%, $F$11)</f>
        <v>6.6456999999999997</v>
      </c>
      <c r="K224" s="4"/>
      <c r="L224" s="9">
        <v>30.092199999999998</v>
      </c>
      <c r="M224" s="9">
        <v>11.6745</v>
      </c>
      <c r="N224" s="9">
        <v>4.7850000000000001</v>
      </c>
      <c r="O224" s="9">
        <v>0.36199999999999999</v>
      </c>
      <c r="P224" s="9">
        <v>1.1791</v>
      </c>
      <c r="Q224" s="9">
        <v>29.874600000000001</v>
      </c>
      <c r="R224" s="9"/>
      <c r="S224" s="11"/>
    </row>
    <row r="225" spans="1:19" ht="15.75">
      <c r="A225" s="13">
        <v>48335</v>
      </c>
      <c r="B225" s="8">
        <f>CHOOSE( CONTROL!$C$32, 7.1416, 7.1367) * CHOOSE(CONTROL!$C$15, $D$11, 100%, $F$11)</f>
        <v>7.1416000000000004</v>
      </c>
      <c r="C225" s="8">
        <f>CHOOSE( CONTROL!$C$32, 7.1497, 7.1448) * CHOOSE(CONTROL!$C$15, $D$11, 100%, $F$11)</f>
        <v>7.1497000000000002</v>
      </c>
      <c r="D225" s="8">
        <f>CHOOSE( CONTROL!$C$32, 7.171, 7.1661) * CHOOSE( CONTROL!$C$15, $D$11, 100%, $F$11)</f>
        <v>7.1710000000000003</v>
      </c>
      <c r="E225" s="12">
        <f>CHOOSE( CONTROL!$C$32, 7.162, 7.1571) * CHOOSE( CONTROL!$C$15, $D$11, 100%, $F$11)</f>
        <v>7.1619999999999999</v>
      </c>
      <c r="F225" s="4">
        <f>CHOOSE( CONTROL!$C$32, 7.8394, 7.8346) * CHOOSE(CONTROL!$C$15, $D$11, 100%, $F$11)</f>
        <v>7.8394000000000004</v>
      </c>
      <c r="G225" s="8">
        <f>CHOOSE( CONTROL!$C$32, 6.9617, 6.957) * CHOOSE( CONTROL!$C$15, $D$11, 100%, $F$11)</f>
        <v>6.9617000000000004</v>
      </c>
      <c r="H225" s="4">
        <f>CHOOSE( CONTROL!$C$32, 7.8915, 7.8868) * CHOOSE(CONTROL!$C$15, $D$11, 100%, $F$11)</f>
        <v>7.8914999999999997</v>
      </c>
      <c r="I225" s="8">
        <f>CHOOSE( CONTROL!$C$32, 6.9353, 6.9307) * CHOOSE(CONTROL!$C$15, $D$11, 100%, $F$11)</f>
        <v>6.9352999999999998</v>
      </c>
      <c r="J225" s="4">
        <f>CHOOSE( CONTROL!$C$32, 6.8274, 6.8228) * CHOOSE(CONTROL!$C$15, $D$11, 100%, $F$11)</f>
        <v>6.8273999999999999</v>
      </c>
      <c r="K225" s="4"/>
      <c r="L225" s="9">
        <v>30.7165</v>
      </c>
      <c r="M225" s="9">
        <v>12.063700000000001</v>
      </c>
      <c r="N225" s="9">
        <v>4.9444999999999997</v>
      </c>
      <c r="O225" s="9">
        <v>0.37409999999999999</v>
      </c>
      <c r="P225" s="9">
        <v>1.2183999999999999</v>
      </c>
      <c r="Q225" s="9">
        <v>30.8704</v>
      </c>
      <c r="R225" s="9"/>
      <c r="S225" s="11"/>
    </row>
    <row r="226" spans="1:19" ht="15.75">
      <c r="A226" s="13">
        <v>48366</v>
      </c>
      <c r="B226" s="8">
        <f>CHOOSE( CONTROL!$C$32, 7.0273, 7.0225) * CHOOSE(CONTROL!$C$15, $D$11, 100%, $F$11)</f>
        <v>7.0273000000000003</v>
      </c>
      <c r="C226" s="8">
        <f>CHOOSE( CONTROL!$C$32, 7.0354, 7.0306) * CHOOSE(CONTROL!$C$15, $D$11, 100%, $F$11)</f>
        <v>7.0354000000000001</v>
      </c>
      <c r="D226" s="8">
        <f>CHOOSE( CONTROL!$C$32, 7.0569, 7.0521) * CHOOSE( CONTROL!$C$15, $D$11, 100%, $F$11)</f>
        <v>7.0568999999999997</v>
      </c>
      <c r="E226" s="12">
        <f>CHOOSE( CONTROL!$C$32, 7.0479, 7.0431) * CHOOSE( CONTROL!$C$15, $D$11, 100%, $F$11)</f>
        <v>7.0479000000000003</v>
      </c>
      <c r="F226" s="4">
        <f>CHOOSE( CONTROL!$C$32, 7.7251, 7.7203) * CHOOSE(CONTROL!$C$15, $D$11, 100%, $F$11)</f>
        <v>7.7251000000000003</v>
      </c>
      <c r="G226" s="8">
        <f>CHOOSE( CONTROL!$C$32, 6.8504, 6.8457) * CHOOSE( CONTROL!$C$15, $D$11, 100%, $F$11)</f>
        <v>6.8503999999999996</v>
      </c>
      <c r="H226" s="4">
        <f>CHOOSE( CONTROL!$C$32, 7.7799, 7.7752) * CHOOSE(CONTROL!$C$15, $D$11, 100%, $F$11)</f>
        <v>7.7798999999999996</v>
      </c>
      <c r="I226" s="8">
        <f>CHOOSE( CONTROL!$C$32, 6.8265, 6.8219) * CHOOSE(CONTROL!$C$15, $D$11, 100%, $F$11)</f>
        <v>6.8265000000000002</v>
      </c>
      <c r="J226" s="4">
        <f>CHOOSE( CONTROL!$C$32, 6.7177, 6.7131) * CHOOSE(CONTROL!$C$15, $D$11, 100%, $F$11)</f>
        <v>6.7176999999999998</v>
      </c>
      <c r="K226" s="4"/>
      <c r="L226" s="9">
        <v>29.7257</v>
      </c>
      <c r="M226" s="9">
        <v>11.6745</v>
      </c>
      <c r="N226" s="9">
        <v>4.7850000000000001</v>
      </c>
      <c r="O226" s="9">
        <v>0.36199999999999999</v>
      </c>
      <c r="P226" s="9">
        <v>1.1791</v>
      </c>
      <c r="Q226" s="9">
        <v>29.874600000000001</v>
      </c>
      <c r="R226" s="9"/>
      <c r="S226" s="11"/>
    </row>
    <row r="227" spans="1:19" ht="15.75">
      <c r="A227" s="13">
        <v>48396</v>
      </c>
      <c r="B227" s="8">
        <f>CHOOSE( CONTROL!$C$32, 7.3282, 7.3234) * CHOOSE(CONTROL!$C$15, $D$11, 100%, $F$11)</f>
        <v>7.3281999999999998</v>
      </c>
      <c r="C227" s="8">
        <f>CHOOSE( CONTROL!$C$32, 7.3363, 7.3315) * CHOOSE(CONTROL!$C$15, $D$11, 100%, $F$11)</f>
        <v>7.3362999999999996</v>
      </c>
      <c r="D227" s="8">
        <f>CHOOSE( CONTROL!$C$32, 7.358, 7.3532) * CHOOSE( CONTROL!$C$15, $D$11, 100%, $F$11)</f>
        <v>7.3579999999999997</v>
      </c>
      <c r="E227" s="12">
        <f>CHOOSE( CONTROL!$C$32, 7.3489, 7.3441) * CHOOSE( CONTROL!$C$15, $D$11, 100%, $F$11)</f>
        <v>7.3489000000000004</v>
      </c>
      <c r="F227" s="4">
        <f>CHOOSE( CONTROL!$C$32, 8.026, 8.0212) * CHOOSE(CONTROL!$C$15, $D$11, 100%, $F$11)</f>
        <v>8.0259999999999998</v>
      </c>
      <c r="G227" s="8">
        <f>CHOOSE( CONTROL!$C$32, 7.1446, 7.1399) * CHOOSE( CONTROL!$C$15, $D$11, 100%, $F$11)</f>
        <v>7.1445999999999996</v>
      </c>
      <c r="H227" s="4">
        <f>CHOOSE( CONTROL!$C$32, 8.0738, 8.0691) * CHOOSE(CONTROL!$C$15, $D$11, 100%, $F$11)</f>
        <v>8.0738000000000003</v>
      </c>
      <c r="I227" s="8">
        <f>CHOOSE( CONTROL!$C$32, 7.1166, 7.112) * CHOOSE(CONTROL!$C$15, $D$11, 100%, $F$11)</f>
        <v>7.1166</v>
      </c>
      <c r="J227" s="4">
        <f>CHOOSE( CONTROL!$C$32, 7.0066, 7.0019) * CHOOSE(CONTROL!$C$15, $D$11, 100%, $F$11)</f>
        <v>7.0065999999999997</v>
      </c>
      <c r="K227" s="4"/>
      <c r="L227" s="9">
        <v>30.7165</v>
      </c>
      <c r="M227" s="9">
        <v>12.063700000000001</v>
      </c>
      <c r="N227" s="9">
        <v>4.9444999999999997</v>
      </c>
      <c r="O227" s="9">
        <v>0.37409999999999999</v>
      </c>
      <c r="P227" s="9">
        <v>1.2183999999999999</v>
      </c>
      <c r="Q227" s="9">
        <v>30.8704</v>
      </c>
      <c r="R227" s="9"/>
      <c r="S227" s="11"/>
    </row>
    <row r="228" spans="1:19" ht="15.75">
      <c r="A228" s="13">
        <v>48427</v>
      </c>
      <c r="B228" s="8">
        <f>CHOOSE( CONTROL!$C$32, 6.7652, 6.7604) * CHOOSE(CONTROL!$C$15, $D$11, 100%, $F$11)</f>
        <v>6.7652000000000001</v>
      </c>
      <c r="C228" s="8">
        <f>CHOOSE( CONTROL!$C$32, 6.7733, 6.7685) * CHOOSE(CONTROL!$C$15, $D$11, 100%, $F$11)</f>
        <v>6.7732999999999999</v>
      </c>
      <c r="D228" s="8">
        <f>CHOOSE( CONTROL!$C$32, 6.7951, 6.7903) * CHOOSE( CONTROL!$C$15, $D$11, 100%, $F$11)</f>
        <v>6.7950999999999997</v>
      </c>
      <c r="E228" s="12">
        <f>CHOOSE( CONTROL!$C$32, 6.786, 6.7812) * CHOOSE( CONTROL!$C$15, $D$11, 100%, $F$11)</f>
        <v>6.7859999999999996</v>
      </c>
      <c r="F228" s="4">
        <f>CHOOSE( CONTROL!$C$32, 7.463, 7.4582) * CHOOSE(CONTROL!$C$15, $D$11, 100%, $F$11)</f>
        <v>7.4630000000000001</v>
      </c>
      <c r="G228" s="8">
        <f>CHOOSE( CONTROL!$C$32, 6.5948, 6.5901) * CHOOSE( CONTROL!$C$15, $D$11, 100%, $F$11)</f>
        <v>6.5948000000000002</v>
      </c>
      <c r="H228" s="4">
        <f>CHOOSE( CONTROL!$C$32, 7.5239, 7.5192) * CHOOSE(CONTROL!$C$15, $D$11, 100%, $F$11)</f>
        <v>7.5239000000000003</v>
      </c>
      <c r="I228" s="8">
        <f>CHOOSE( CONTROL!$C$32, 6.5761, 6.5715) * CHOOSE(CONTROL!$C$15, $D$11, 100%, $F$11)</f>
        <v>6.5761000000000003</v>
      </c>
      <c r="J228" s="4">
        <f>CHOOSE( CONTROL!$C$32, 6.4661, 6.4614) * CHOOSE(CONTROL!$C$15, $D$11, 100%, $F$11)</f>
        <v>6.4661</v>
      </c>
      <c r="K228" s="4"/>
      <c r="L228" s="9">
        <v>30.7165</v>
      </c>
      <c r="M228" s="9">
        <v>12.063700000000001</v>
      </c>
      <c r="N228" s="9">
        <v>4.9444999999999997</v>
      </c>
      <c r="O228" s="9">
        <v>0.37409999999999999</v>
      </c>
      <c r="P228" s="9">
        <v>1.2183999999999999</v>
      </c>
      <c r="Q228" s="9">
        <v>30.8704</v>
      </c>
      <c r="R228" s="9"/>
      <c r="S228" s="11"/>
    </row>
    <row r="229" spans="1:19" ht="15.75">
      <c r="A229" s="13">
        <v>48458</v>
      </c>
      <c r="B229" s="8">
        <f>CHOOSE( CONTROL!$C$32, 6.6243, 6.6194) * CHOOSE(CONTROL!$C$15, $D$11, 100%, $F$11)</f>
        <v>6.6242999999999999</v>
      </c>
      <c r="C229" s="8">
        <f>CHOOSE( CONTROL!$C$32, 6.6324, 6.6275) * CHOOSE(CONTROL!$C$15, $D$11, 100%, $F$11)</f>
        <v>6.6323999999999996</v>
      </c>
      <c r="D229" s="8">
        <f>CHOOSE( CONTROL!$C$32, 6.6541, 6.6493) * CHOOSE( CONTROL!$C$15, $D$11, 100%, $F$11)</f>
        <v>6.6540999999999997</v>
      </c>
      <c r="E229" s="12">
        <f>CHOOSE( CONTROL!$C$32, 6.645, 6.6402) * CHOOSE( CONTROL!$C$15, $D$11, 100%, $F$11)</f>
        <v>6.6449999999999996</v>
      </c>
      <c r="F229" s="4">
        <f>CHOOSE( CONTROL!$C$32, 7.3221, 7.3172) * CHOOSE(CONTROL!$C$15, $D$11, 100%, $F$11)</f>
        <v>7.3220999999999998</v>
      </c>
      <c r="G229" s="8">
        <f>CHOOSE( CONTROL!$C$32, 6.4571, 6.4524) * CHOOSE( CONTROL!$C$15, $D$11, 100%, $F$11)</f>
        <v>6.4570999999999996</v>
      </c>
      <c r="H229" s="4">
        <f>CHOOSE( CONTROL!$C$32, 7.3863, 7.3815) * CHOOSE(CONTROL!$C$15, $D$11, 100%, $F$11)</f>
        <v>7.3863000000000003</v>
      </c>
      <c r="I229" s="8">
        <f>CHOOSE( CONTROL!$C$32, 6.4406, 6.436) * CHOOSE(CONTROL!$C$15, $D$11, 100%, $F$11)</f>
        <v>6.4405999999999999</v>
      </c>
      <c r="J229" s="4">
        <f>CHOOSE( CONTROL!$C$32, 6.3307, 6.3261) * CHOOSE(CONTROL!$C$15, $D$11, 100%, $F$11)</f>
        <v>6.3307000000000002</v>
      </c>
      <c r="K229" s="4"/>
      <c r="L229" s="9">
        <v>29.7257</v>
      </c>
      <c r="M229" s="9">
        <v>11.6745</v>
      </c>
      <c r="N229" s="9">
        <v>4.7850000000000001</v>
      </c>
      <c r="O229" s="9">
        <v>0.36199999999999999</v>
      </c>
      <c r="P229" s="9">
        <v>1.1791</v>
      </c>
      <c r="Q229" s="9">
        <v>29.874600000000001</v>
      </c>
      <c r="R229" s="9"/>
      <c r="S229" s="11"/>
    </row>
    <row r="230" spans="1:19" ht="15.75">
      <c r="A230" s="13">
        <v>48488</v>
      </c>
      <c r="B230" s="8">
        <f>6.9104 * CHOOSE(CONTROL!$C$15, $D$11, 100%, $F$11)</f>
        <v>6.9104000000000001</v>
      </c>
      <c r="C230" s="8">
        <f>6.9159 * CHOOSE(CONTROL!$C$15, $D$11, 100%, $F$11)</f>
        <v>6.9158999999999997</v>
      </c>
      <c r="D230" s="8">
        <f>6.9423 * CHOOSE( CONTROL!$C$15, $D$11, 100%, $F$11)</f>
        <v>6.9423000000000004</v>
      </c>
      <c r="E230" s="12">
        <f>6.933 * CHOOSE( CONTROL!$C$15, $D$11, 100%, $F$11)</f>
        <v>6.9329999999999998</v>
      </c>
      <c r="F230" s="4">
        <f>7.6099 * CHOOSE(CONTROL!$C$15, $D$11, 100%, $F$11)</f>
        <v>7.6098999999999997</v>
      </c>
      <c r="G230" s="8">
        <f>6.7375 * CHOOSE( CONTROL!$C$15, $D$11, 100%, $F$11)</f>
        <v>6.7374999999999998</v>
      </c>
      <c r="H230" s="4">
        <f>7.6674 * CHOOSE(CONTROL!$C$15, $D$11, 100%, $F$11)</f>
        <v>7.6673999999999998</v>
      </c>
      <c r="I230" s="8">
        <f>6.7179 * CHOOSE(CONTROL!$C$15, $D$11, 100%, $F$11)</f>
        <v>6.7179000000000002</v>
      </c>
      <c r="J230" s="4">
        <f>6.6071 * CHOOSE(CONTROL!$C$15, $D$11, 100%, $F$11)</f>
        <v>6.6071</v>
      </c>
      <c r="K230" s="4"/>
      <c r="L230" s="9">
        <v>31.095300000000002</v>
      </c>
      <c r="M230" s="9">
        <v>12.063700000000001</v>
      </c>
      <c r="N230" s="9">
        <v>4.9444999999999997</v>
      </c>
      <c r="O230" s="9">
        <v>0.37409999999999999</v>
      </c>
      <c r="P230" s="9">
        <v>1.2183999999999999</v>
      </c>
      <c r="Q230" s="9">
        <v>30.8704</v>
      </c>
      <c r="R230" s="9"/>
      <c r="S230" s="11"/>
    </row>
    <row r="231" spans="1:19" ht="15.75">
      <c r="A231" s="13">
        <v>48519</v>
      </c>
      <c r="B231" s="8">
        <f>7.4503 * CHOOSE(CONTROL!$C$15, $D$11, 100%, $F$11)</f>
        <v>7.4503000000000004</v>
      </c>
      <c r="C231" s="8">
        <f>7.4555 * CHOOSE(CONTROL!$C$15, $D$11, 100%, $F$11)</f>
        <v>7.4554999999999998</v>
      </c>
      <c r="D231" s="8">
        <f>7.4447 * CHOOSE( CONTROL!$C$15, $D$11, 100%, $F$11)</f>
        <v>7.4447000000000001</v>
      </c>
      <c r="E231" s="12">
        <f>7.4481 * CHOOSE( CONTROL!$C$15, $D$11, 100%, $F$11)</f>
        <v>7.4481000000000002</v>
      </c>
      <c r="F231" s="4">
        <f>8.0992 * CHOOSE(CONTROL!$C$15, $D$11, 100%, $F$11)</f>
        <v>8.0991999999999997</v>
      </c>
      <c r="G231" s="8">
        <f>7.2698 * CHOOSE( CONTROL!$C$15, $D$11, 100%, $F$11)</f>
        <v>7.2698</v>
      </c>
      <c r="H231" s="4">
        <f>8.1453 * CHOOSE(CONTROL!$C$15, $D$11, 100%, $F$11)</f>
        <v>8.1453000000000007</v>
      </c>
      <c r="I231" s="8">
        <f>7.2625 * CHOOSE(CONTROL!$C$15, $D$11, 100%, $F$11)</f>
        <v>7.2625000000000002</v>
      </c>
      <c r="J231" s="4">
        <f>7.1258 * CHOOSE(CONTROL!$C$15, $D$11, 100%, $F$11)</f>
        <v>7.1257999999999999</v>
      </c>
      <c r="K231" s="4"/>
      <c r="L231" s="9">
        <v>28.360600000000002</v>
      </c>
      <c r="M231" s="9">
        <v>11.6745</v>
      </c>
      <c r="N231" s="9">
        <v>4.7850000000000001</v>
      </c>
      <c r="O231" s="9">
        <v>0.36199999999999999</v>
      </c>
      <c r="P231" s="9">
        <v>1.2509999999999999</v>
      </c>
      <c r="Q231" s="9">
        <v>29.874600000000001</v>
      </c>
      <c r="R231" s="9"/>
      <c r="S231" s="11"/>
    </row>
    <row r="232" spans="1:19" ht="15.75">
      <c r="A232" s="13">
        <v>48549</v>
      </c>
      <c r="B232" s="8">
        <f>7.4368 * CHOOSE(CONTROL!$C$15, $D$11, 100%, $F$11)</f>
        <v>7.4367999999999999</v>
      </c>
      <c r="C232" s="8">
        <f>7.442 * CHOOSE(CONTROL!$C$15, $D$11, 100%, $F$11)</f>
        <v>7.4420000000000002</v>
      </c>
      <c r="D232" s="8">
        <f>7.4326 * CHOOSE( CONTROL!$C$15, $D$11, 100%, $F$11)</f>
        <v>7.4325999999999999</v>
      </c>
      <c r="E232" s="12">
        <f>7.4355 * CHOOSE( CONTROL!$C$15, $D$11, 100%, $F$11)</f>
        <v>7.4355000000000002</v>
      </c>
      <c r="F232" s="4">
        <f>8.0857 * CHOOSE(CONTROL!$C$15, $D$11, 100%, $F$11)</f>
        <v>8.0856999999999992</v>
      </c>
      <c r="G232" s="8">
        <f>7.2576 * CHOOSE( CONTROL!$C$15, $D$11, 100%, $F$11)</f>
        <v>7.2576000000000001</v>
      </c>
      <c r="H232" s="4">
        <f>8.1321 * CHOOSE(CONTROL!$C$15, $D$11, 100%, $F$11)</f>
        <v>8.1320999999999994</v>
      </c>
      <c r="I232" s="8">
        <f>7.2538 * CHOOSE(CONTROL!$C$15, $D$11, 100%, $F$11)</f>
        <v>7.2538</v>
      </c>
      <c r="J232" s="4">
        <f>7.1129 * CHOOSE(CONTROL!$C$15, $D$11, 100%, $F$11)</f>
        <v>7.1128999999999998</v>
      </c>
      <c r="K232" s="4"/>
      <c r="L232" s="9">
        <v>29.306000000000001</v>
      </c>
      <c r="M232" s="9">
        <v>12.063700000000001</v>
      </c>
      <c r="N232" s="9">
        <v>4.9444999999999997</v>
      </c>
      <c r="O232" s="9">
        <v>0.37409999999999999</v>
      </c>
      <c r="P232" s="9">
        <v>1.2927</v>
      </c>
      <c r="Q232" s="9">
        <v>30.8704</v>
      </c>
      <c r="R232" s="9"/>
      <c r="S232" s="11"/>
    </row>
    <row r="233" spans="1:19" ht="15.75">
      <c r="A233" s="13">
        <v>48580</v>
      </c>
      <c r="B233" s="8">
        <f>7.7061 * CHOOSE(CONTROL!$C$15, $D$11, 100%, $F$11)</f>
        <v>7.7061000000000002</v>
      </c>
      <c r="C233" s="8">
        <f>7.7113 * CHOOSE(CONTROL!$C$15, $D$11, 100%, $F$11)</f>
        <v>7.7112999999999996</v>
      </c>
      <c r="D233" s="8">
        <f>7.6978 * CHOOSE( CONTROL!$C$15, $D$11, 100%, $F$11)</f>
        <v>7.6978</v>
      </c>
      <c r="E233" s="12">
        <f>7.7022 * CHOOSE( CONTROL!$C$15, $D$11, 100%, $F$11)</f>
        <v>7.7022000000000004</v>
      </c>
      <c r="F233" s="4">
        <f>8.355 * CHOOSE(CONTROL!$C$15, $D$11, 100%, $F$11)</f>
        <v>8.3550000000000004</v>
      </c>
      <c r="G233" s="8">
        <f>7.5144 * CHOOSE( CONTROL!$C$15, $D$11, 100%, $F$11)</f>
        <v>7.5144000000000002</v>
      </c>
      <c r="H233" s="4">
        <f>8.3952 * CHOOSE(CONTROL!$C$15, $D$11, 100%, $F$11)</f>
        <v>8.3952000000000009</v>
      </c>
      <c r="I233" s="8">
        <f>7.4889 * CHOOSE(CONTROL!$C$15, $D$11, 100%, $F$11)</f>
        <v>7.4889000000000001</v>
      </c>
      <c r="J233" s="4">
        <f>7.3715 * CHOOSE(CONTROL!$C$15, $D$11, 100%, $F$11)</f>
        <v>7.3715000000000002</v>
      </c>
      <c r="K233" s="4"/>
      <c r="L233" s="9">
        <v>29.306000000000001</v>
      </c>
      <c r="M233" s="9">
        <v>12.063700000000001</v>
      </c>
      <c r="N233" s="9">
        <v>4.9444999999999997</v>
      </c>
      <c r="O233" s="9">
        <v>0.37409999999999999</v>
      </c>
      <c r="P233" s="9">
        <v>1.2927</v>
      </c>
      <c r="Q233" s="9">
        <v>30.773700000000002</v>
      </c>
      <c r="R233" s="9"/>
      <c r="S233" s="11"/>
    </row>
    <row r="234" spans="1:19" ht="15.75">
      <c r="A234" s="13">
        <v>48611</v>
      </c>
      <c r="B234" s="8">
        <f>7.2098 * CHOOSE(CONTROL!$C$15, $D$11, 100%, $F$11)</f>
        <v>7.2098000000000004</v>
      </c>
      <c r="C234" s="8">
        <f>7.215 * CHOOSE(CONTROL!$C$15, $D$11, 100%, $F$11)</f>
        <v>7.2149999999999999</v>
      </c>
      <c r="D234" s="8">
        <f>7.2014 * CHOOSE( CONTROL!$C$15, $D$11, 100%, $F$11)</f>
        <v>7.2013999999999996</v>
      </c>
      <c r="E234" s="12">
        <f>7.2058 * CHOOSE( CONTROL!$C$15, $D$11, 100%, $F$11)</f>
        <v>7.2058</v>
      </c>
      <c r="F234" s="4">
        <f>7.8587 * CHOOSE(CONTROL!$C$15, $D$11, 100%, $F$11)</f>
        <v>7.8586999999999998</v>
      </c>
      <c r="G234" s="8">
        <f>7.0296 * CHOOSE( CONTROL!$C$15, $D$11, 100%, $F$11)</f>
        <v>7.0296000000000003</v>
      </c>
      <c r="H234" s="4">
        <f>7.9104 * CHOOSE(CONTROL!$C$15, $D$11, 100%, $F$11)</f>
        <v>7.9104000000000001</v>
      </c>
      <c r="I234" s="8">
        <f>7.0121 * CHOOSE(CONTROL!$C$15, $D$11, 100%, $F$11)</f>
        <v>7.0121000000000002</v>
      </c>
      <c r="J234" s="4">
        <f>6.8949 * CHOOSE(CONTROL!$C$15, $D$11, 100%, $F$11)</f>
        <v>6.8948999999999998</v>
      </c>
      <c r="K234" s="4"/>
      <c r="L234" s="9">
        <v>26.469899999999999</v>
      </c>
      <c r="M234" s="9">
        <v>10.8962</v>
      </c>
      <c r="N234" s="9">
        <v>4.4660000000000002</v>
      </c>
      <c r="O234" s="9">
        <v>0.33789999999999998</v>
      </c>
      <c r="P234" s="9">
        <v>1.1676</v>
      </c>
      <c r="Q234" s="9">
        <v>27.7956</v>
      </c>
      <c r="R234" s="9"/>
      <c r="S234" s="11"/>
    </row>
    <row r="235" spans="1:19" ht="15.75">
      <c r="A235" s="13">
        <v>48639</v>
      </c>
      <c r="B235" s="8">
        <f>7.0569 * CHOOSE(CONTROL!$C$15, $D$11, 100%, $F$11)</f>
        <v>7.0568999999999997</v>
      </c>
      <c r="C235" s="8">
        <f>7.0621 * CHOOSE(CONTROL!$C$15, $D$11, 100%, $F$11)</f>
        <v>7.0621</v>
      </c>
      <c r="D235" s="8">
        <f>7.0482 * CHOOSE( CONTROL!$C$15, $D$11, 100%, $F$11)</f>
        <v>7.0481999999999996</v>
      </c>
      <c r="E235" s="12">
        <f>7.0527 * CHOOSE( CONTROL!$C$15, $D$11, 100%, $F$11)</f>
        <v>7.0526999999999997</v>
      </c>
      <c r="F235" s="4">
        <f>7.7058 * CHOOSE(CONTROL!$C$15, $D$11, 100%, $F$11)</f>
        <v>7.7058</v>
      </c>
      <c r="G235" s="8">
        <f>6.88 * CHOOSE( CONTROL!$C$15, $D$11, 100%, $F$11)</f>
        <v>6.88</v>
      </c>
      <c r="H235" s="4">
        <f>7.7611 * CHOOSE(CONTROL!$C$15, $D$11, 100%, $F$11)</f>
        <v>7.7610999999999999</v>
      </c>
      <c r="I235" s="8">
        <f>6.8642 * CHOOSE(CONTROL!$C$15, $D$11, 100%, $F$11)</f>
        <v>6.8642000000000003</v>
      </c>
      <c r="J235" s="4">
        <f>6.7482 * CHOOSE(CONTROL!$C$15, $D$11, 100%, $F$11)</f>
        <v>6.7481999999999998</v>
      </c>
      <c r="K235" s="4"/>
      <c r="L235" s="9">
        <v>29.306000000000001</v>
      </c>
      <c r="M235" s="9">
        <v>12.063700000000001</v>
      </c>
      <c r="N235" s="9">
        <v>4.9444999999999997</v>
      </c>
      <c r="O235" s="9">
        <v>0.37409999999999999</v>
      </c>
      <c r="P235" s="9">
        <v>1.2927</v>
      </c>
      <c r="Q235" s="9">
        <v>30.773700000000002</v>
      </c>
      <c r="R235" s="9"/>
      <c r="S235" s="11"/>
    </row>
    <row r="236" spans="1:19" ht="15.75">
      <c r="A236" s="13">
        <v>48670</v>
      </c>
      <c r="B236" s="8">
        <f>7.1645 * CHOOSE(CONTROL!$C$15, $D$11, 100%, $F$11)</f>
        <v>7.1645000000000003</v>
      </c>
      <c r="C236" s="8">
        <f>7.1691 * CHOOSE(CONTROL!$C$15, $D$11, 100%, $F$11)</f>
        <v>7.1691000000000003</v>
      </c>
      <c r="D236" s="8">
        <f>7.1954 * CHOOSE( CONTROL!$C$15, $D$11, 100%, $F$11)</f>
        <v>7.1954000000000002</v>
      </c>
      <c r="E236" s="12">
        <f>7.1862 * CHOOSE( CONTROL!$C$15, $D$11, 100%, $F$11)</f>
        <v>7.1862000000000004</v>
      </c>
      <c r="F236" s="4">
        <f>7.8637 * CHOOSE(CONTROL!$C$15, $D$11, 100%, $F$11)</f>
        <v>7.8636999999999997</v>
      </c>
      <c r="G236" s="8">
        <f>6.9844 * CHOOSE( CONTROL!$C$15, $D$11, 100%, $F$11)</f>
        <v>6.9843999999999999</v>
      </c>
      <c r="H236" s="4">
        <f>7.9152 * CHOOSE(CONTROL!$C$15, $D$11, 100%, $F$11)</f>
        <v>7.9151999999999996</v>
      </c>
      <c r="I236" s="8">
        <f>6.9587 * CHOOSE(CONTROL!$C$15, $D$11, 100%, $F$11)</f>
        <v>6.9587000000000003</v>
      </c>
      <c r="J236" s="4">
        <f>6.8507 * CHOOSE(CONTROL!$C$15, $D$11, 100%, $F$11)</f>
        <v>6.8506999999999998</v>
      </c>
      <c r="K236" s="4"/>
      <c r="L236" s="9">
        <v>30.092199999999998</v>
      </c>
      <c r="M236" s="9">
        <v>11.6745</v>
      </c>
      <c r="N236" s="9">
        <v>4.7850000000000001</v>
      </c>
      <c r="O236" s="9">
        <v>0.36199999999999999</v>
      </c>
      <c r="P236" s="9">
        <v>1.1791</v>
      </c>
      <c r="Q236" s="9">
        <v>29.780999999999999</v>
      </c>
      <c r="R236" s="9"/>
      <c r="S236" s="11"/>
    </row>
    <row r="237" spans="1:19" ht="15.75">
      <c r="A237" s="13">
        <v>48700</v>
      </c>
      <c r="B237" s="8">
        <f>CHOOSE( CONTROL!$C$32, 7.3608, 7.356) * CHOOSE(CONTROL!$C$15, $D$11, 100%, $F$11)</f>
        <v>7.3608000000000002</v>
      </c>
      <c r="C237" s="8">
        <f>CHOOSE( CONTROL!$C$32, 7.3689, 7.3641) * CHOOSE(CONTROL!$C$15, $D$11, 100%, $F$11)</f>
        <v>7.3689</v>
      </c>
      <c r="D237" s="8">
        <f>CHOOSE( CONTROL!$C$32, 7.3902, 7.3854) * CHOOSE( CONTROL!$C$15, $D$11, 100%, $F$11)</f>
        <v>7.3902000000000001</v>
      </c>
      <c r="E237" s="12">
        <f>CHOOSE( CONTROL!$C$32, 7.3812, 7.3764) * CHOOSE( CONTROL!$C$15, $D$11, 100%, $F$11)</f>
        <v>7.3811999999999998</v>
      </c>
      <c r="F237" s="4">
        <f>CHOOSE( CONTROL!$C$32, 8.0586, 8.0538) * CHOOSE(CONTROL!$C$15, $D$11, 100%, $F$11)</f>
        <v>8.0586000000000002</v>
      </c>
      <c r="G237" s="8">
        <f>CHOOSE( CONTROL!$C$32, 7.1758, 7.1711) * CHOOSE( CONTROL!$C$15, $D$11, 100%, $F$11)</f>
        <v>7.1757999999999997</v>
      </c>
      <c r="H237" s="4">
        <f>CHOOSE( CONTROL!$C$32, 8.1057, 8.1009) * CHOOSE(CONTROL!$C$15, $D$11, 100%, $F$11)</f>
        <v>8.1057000000000006</v>
      </c>
      <c r="I237" s="8">
        <f>CHOOSE( CONTROL!$C$32, 7.1459, 7.1413) * CHOOSE(CONTROL!$C$15, $D$11, 100%, $F$11)</f>
        <v>7.1459000000000001</v>
      </c>
      <c r="J237" s="4">
        <f>CHOOSE( CONTROL!$C$32, 7.0379, 7.0333) * CHOOSE(CONTROL!$C$15, $D$11, 100%, $F$11)</f>
        <v>7.0378999999999996</v>
      </c>
      <c r="K237" s="4"/>
      <c r="L237" s="9">
        <v>30.7165</v>
      </c>
      <c r="M237" s="9">
        <v>12.063700000000001</v>
      </c>
      <c r="N237" s="9">
        <v>4.9444999999999997</v>
      </c>
      <c r="O237" s="9">
        <v>0.37409999999999999</v>
      </c>
      <c r="P237" s="9">
        <v>1.2183999999999999</v>
      </c>
      <c r="Q237" s="9">
        <v>30.773700000000002</v>
      </c>
      <c r="R237" s="9"/>
      <c r="S237" s="11"/>
    </row>
    <row r="238" spans="1:19" ht="15.75">
      <c r="A238" s="13">
        <v>48731</v>
      </c>
      <c r="B238" s="8">
        <f>CHOOSE( CONTROL!$C$32, 7.243, 7.2382) * CHOOSE(CONTROL!$C$15, $D$11, 100%, $F$11)</f>
        <v>7.2430000000000003</v>
      </c>
      <c r="C238" s="8">
        <f>CHOOSE( CONTROL!$C$32, 7.2511, 7.2463) * CHOOSE(CONTROL!$C$15, $D$11, 100%, $F$11)</f>
        <v>7.2511000000000001</v>
      </c>
      <c r="D238" s="8">
        <f>CHOOSE( CONTROL!$C$32, 7.2726, 7.2678) * CHOOSE( CONTROL!$C$15, $D$11, 100%, $F$11)</f>
        <v>7.2725999999999997</v>
      </c>
      <c r="E238" s="12">
        <f>CHOOSE( CONTROL!$C$32, 7.2636, 7.2588) * CHOOSE( CONTROL!$C$15, $D$11, 100%, $F$11)</f>
        <v>7.2636000000000003</v>
      </c>
      <c r="F238" s="4">
        <f>CHOOSE( CONTROL!$C$32, 7.9409, 7.936) * CHOOSE(CONTROL!$C$15, $D$11, 100%, $F$11)</f>
        <v>7.9409000000000001</v>
      </c>
      <c r="G238" s="8">
        <f>CHOOSE( CONTROL!$C$32, 7.0611, 7.0563) * CHOOSE( CONTROL!$C$15, $D$11, 100%, $F$11)</f>
        <v>7.0610999999999997</v>
      </c>
      <c r="H238" s="4">
        <f>CHOOSE( CONTROL!$C$32, 7.9906, 7.9859) * CHOOSE(CONTROL!$C$15, $D$11, 100%, $F$11)</f>
        <v>7.9905999999999997</v>
      </c>
      <c r="I238" s="8">
        <f>CHOOSE( CONTROL!$C$32, 7.0337, 7.0291) * CHOOSE(CONTROL!$C$15, $D$11, 100%, $F$11)</f>
        <v>7.0336999999999996</v>
      </c>
      <c r="J238" s="4">
        <f>CHOOSE( CONTROL!$C$32, 6.9248, 6.9202) * CHOOSE(CONTROL!$C$15, $D$11, 100%, $F$11)</f>
        <v>6.9248000000000003</v>
      </c>
      <c r="K238" s="4"/>
      <c r="L238" s="9">
        <v>29.7257</v>
      </c>
      <c r="M238" s="9">
        <v>11.6745</v>
      </c>
      <c r="N238" s="9">
        <v>4.7850000000000001</v>
      </c>
      <c r="O238" s="9">
        <v>0.36199999999999999</v>
      </c>
      <c r="P238" s="9">
        <v>1.1791</v>
      </c>
      <c r="Q238" s="9">
        <v>29.780999999999999</v>
      </c>
      <c r="R238" s="9"/>
      <c r="S238" s="11"/>
    </row>
    <row r="239" spans="1:19" ht="15.75">
      <c r="A239" s="13">
        <v>48761</v>
      </c>
      <c r="B239" s="8">
        <f>CHOOSE( CONTROL!$C$32, 7.5532, 7.5484) * CHOOSE(CONTROL!$C$15, $D$11, 100%, $F$11)</f>
        <v>7.5532000000000004</v>
      </c>
      <c r="C239" s="8">
        <f>CHOOSE( CONTROL!$C$32, 7.5613, 7.5564) * CHOOSE(CONTROL!$C$15, $D$11, 100%, $F$11)</f>
        <v>7.5613000000000001</v>
      </c>
      <c r="D239" s="8">
        <f>CHOOSE( CONTROL!$C$32, 7.583, 7.5782) * CHOOSE( CONTROL!$C$15, $D$11, 100%, $F$11)</f>
        <v>7.5830000000000002</v>
      </c>
      <c r="E239" s="12">
        <f>CHOOSE( CONTROL!$C$32, 7.5739, 7.5691) * CHOOSE( CONTROL!$C$15, $D$11, 100%, $F$11)</f>
        <v>7.5739000000000001</v>
      </c>
      <c r="F239" s="4">
        <f>CHOOSE( CONTROL!$C$32, 8.251, 8.2462) * CHOOSE(CONTROL!$C$15, $D$11, 100%, $F$11)</f>
        <v>8.2509999999999994</v>
      </c>
      <c r="G239" s="8">
        <f>CHOOSE( CONTROL!$C$32, 7.3643, 7.3596) * CHOOSE( CONTROL!$C$15, $D$11, 100%, $F$11)</f>
        <v>7.3643000000000001</v>
      </c>
      <c r="H239" s="4">
        <f>CHOOSE( CONTROL!$C$32, 8.2935, 8.2888) * CHOOSE(CONTROL!$C$15, $D$11, 100%, $F$11)</f>
        <v>8.2934999999999999</v>
      </c>
      <c r="I239" s="8">
        <f>CHOOSE( CONTROL!$C$32, 7.3328, 7.3281) * CHOOSE(CONTROL!$C$15, $D$11, 100%, $F$11)</f>
        <v>7.3327999999999998</v>
      </c>
      <c r="J239" s="4">
        <f>CHOOSE( CONTROL!$C$32, 7.2226, 7.218) * CHOOSE(CONTROL!$C$15, $D$11, 100%, $F$11)</f>
        <v>7.2225999999999999</v>
      </c>
      <c r="K239" s="4"/>
      <c r="L239" s="9">
        <v>30.7165</v>
      </c>
      <c r="M239" s="9">
        <v>12.063700000000001</v>
      </c>
      <c r="N239" s="9">
        <v>4.9444999999999997</v>
      </c>
      <c r="O239" s="9">
        <v>0.37409999999999999</v>
      </c>
      <c r="P239" s="9">
        <v>1.2183999999999999</v>
      </c>
      <c r="Q239" s="9">
        <v>30.773700000000002</v>
      </c>
      <c r="R239" s="9"/>
      <c r="S239" s="11"/>
    </row>
    <row r="240" spans="1:19" ht="15.75">
      <c r="A240" s="13">
        <v>48792</v>
      </c>
      <c r="B240" s="8">
        <f>CHOOSE( CONTROL!$C$32, 6.9729, 6.968) * CHOOSE(CONTROL!$C$15, $D$11, 100%, $F$11)</f>
        <v>6.9729000000000001</v>
      </c>
      <c r="C240" s="8">
        <f>CHOOSE( CONTROL!$C$32, 6.981, 6.9761) * CHOOSE(CONTROL!$C$15, $D$11, 100%, $F$11)</f>
        <v>6.9809999999999999</v>
      </c>
      <c r="D240" s="8">
        <f>CHOOSE( CONTROL!$C$32, 7.0028, 6.9979) * CHOOSE( CONTROL!$C$15, $D$11, 100%, $F$11)</f>
        <v>7.0027999999999997</v>
      </c>
      <c r="E240" s="12">
        <f>CHOOSE( CONTROL!$C$32, 6.9937, 6.9888) * CHOOSE( CONTROL!$C$15, $D$11, 100%, $F$11)</f>
        <v>6.9936999999999996</v>
      </c>
      <c r="F240" s="4">
        <f>CHOOSE( CONTROL!$C$32, 7.6707, 7.6658) * CHOOSE(CONTROL!$C$15, $D$11, 100%, $F$11)</f>
        <v>7.6707000000000001</v>
      </c>
      <c r="G240" s="8">
        <f>CHOOSE( CONTROL!$C$32, 6.7976, 6.7929) * CHOOSE( CONTROL!$C$15, $D$11, 100%, $F$11)</f>
        <v>6.7976000000000001</v>
      </c>
      <c r="H240" s="4">
        <f>CHOOSE( CONTROL!$C$32, 7.7267, 7.722) * CHOOSE(CONTROL!$C$15, $D$11, 100%, $F$11)</f>
        <v>7.7267000000000001</v>
      </c>
      <c r="I240" s="8">
        <f>CHOOSE( CONTROL!$C$32, 6.7756, 6.7709) * CHOOSE(CONTROL!$C$15, $D$11, 100%, $F$11)</f>
        <v>6.7755999999999998</v>
      </c>
      <c r="J240" s="4">
        <f>CHOOSE( CONTROL!$C$32, 6.6654, 6.6608) * CHOOSE(CONTROL!$C$15, $D$11, 100%, $F$11)</f>
        <v>6.6654</v>
      </c>
      <c r="K240" s="4"/>
      <c r="L240" s="9">
        <v>30.7165</v>
      </c>
      <c r="M240" s="9">
        <v>12.063700000000001</v>
      </c>
      <c r="N240" s="9">
        <v>4.9444999999999997</v>
      </c>
      <c r="O240" s="9">
        <v>0.37409999999999999</v>
      </c>
      <c r="P240" s="9">
        <v>1.2183999999999999</v>
      </c>
      <c r="Q240" s="9">
        <v>30.773700000000002</v>
      </c>
      <c r="R240" s="9"/>
      <c r="S240" s="11"/>
    </row>
    <row r="241" spans="1:19" ht="15.75">
      <c r="A241" s="13">
        <v>48823</v>
      </c>
      <c r="B241" s="8">
        <f>CHOOSE( CONTROL!$C$32, 6.8275, 6.8227) * CHOOSE(CONTROL!$C$15, $D$11, 100%, $F$11)</f>
        <v>6.8274999999999997</v>
      </c>
      <c r="C241" s="8">
        <f>CHOOSE( CONTROL!$C$32, 6.8356, 6.8308) * CHOOSE(CONTROL!$C$15, $D$11, 100%, $F$11)</f>
        <v>6.8356000000000003</v>
      </c>
      <c r="D241" s="8">
        <f>CHOOSE( CONTROL!$C$32, 6.8574, 6.8526) * CHOOSE( CONTROL!$C$15, $D$11, 100%, $F$11)</f>
        <v>6.8574000000000002</v>
      </c>
      <c r="E241" s="12">
        <f>CHOOSE( CONTROL!$C$32, 6.8483, 6.8435) * CHOOSE( CONTROL!$C$15, $D$11, 100%, $F$11)</f>
        <v>6.8483000000000001</v>
      </c>
      <c r="F241" s="4">
        <f>CHOOSE( CONTROL!$C$32, 7.5254, 7.5205) * CHOOSE(CONTROL!$C$15, $D$11, 100%, $F$11)</f>
        <v>7.5254000000000003</v>
      </c>
      <c r="G241" s="8">
        <f>CHOOSE( CONTROL!$C$32, 6.6557, 6.6509) * CHOOSE( CONTROL!$C$15, $D$11, 100%, $F$11)</f>
        <v>6.6557000000000004</v>
      </c>
      <c r="H241" s="4">
        <f>CHOOSE( CONTROL!$C$32, 7.5848, 7.5801) * CHOOSE(CONTROL!$C$15, $D$11, 100%, $F$11)</f>
        <v>7.5848000000000004</v>
      </c>
      <c r="I241" s="8">
        <f>CHOOSE( CONTROL!$C$32, 6.6359, 6.6313) * CHOOSE(CONTROL!$C$15, $D$11, 100%, $F$11)</f>
        <v>6.6359000000000004</v>
      </c>
      <c r="J241" s="4">
        <f>CHOOSE( CONTROL!$C$32, 6.5259, 6.5213) * CHOOSE(CONTROL!$C$15, $D$11, 100%, $F$11)</f>
        <v>6.5259</v>
      </c>
      <c r="K241" s="4"/>
      <c r="L241" s="9">
        <v>29.7257</v>
      </c>
      <c r="M241" s="9">
        <v>11.6745</v>
      </c>
      <c r="N241" s="9">
        <v>4.7850000000000001</v>
      </c>
      <c r="O241" s="9">
        <v>0.36199999999999999</v>
      </c>
      <c r="P241" s="9">
        <v>1.1791</v>
      </c>
      <c r="Q241" s="9">
        <v>29.780999999999999</v>
      </c>
      <c r="R241" s="9"/>
      <c r="S241" s="11"/>
    </row>
    <row r="242" spans="1:19" ht="15.75">
      <c r="A242" s="13">
        <v>48853</v>
      </c>
      <c r="B242" s="8">
        <f>7.1227 * CHOOSE(CONTROL!$C$15, $D$11, 100%, $F$11)</f>
        <v>7.1227</v>
      </c>
      <c r="C242" s="8">
        <f>7.1282 * CHOOSE(CONTROL!$C$15, $D$11, 100%, $F$11)</f>
        <v>7.1281999999999996</v>
      </c>
      <c r="D242" s="8">
        <f>7.1546 * CHOOSE( CONTROL!$C$15, $D$11, 100%, $F$11)</f>
        <v>7.1546000000000003</v>
      </c>
      <c r="E242" s="12">
        <f>7.1453 * CHOOSE( CONTROL!$C$15, $D$11, 100%, $F$11)</f>
        <v>7.1452999999999998</v>
      </c>
      <c r="F242" s="4">
        <f>7.8223 * CHOOSE(CONTROL!$C$15, $D$11, 100%, $F$11)</f>
        <v>7.8223000000000003</v>
      </c>
      <c r="G242" s="8">
        <f>6.9449 * CHOOSE( CONTROL!$C$15, $D$11, 100%, $F$11)</f>
        <v>6.9448999999999996</v>
      </c>
      <c r="H242" s="4">
        <f>7.8748 * CHOOSE(CONTROL!$C$15, $D$11, 100%, $F$11)</f>
        <v>7.8747999999999996</v>
      </c>
      <c r="I242" s="8">
        <f>6.9219 * CHOOSE(CONTROL!$C$15, $D$11, 100%, $F$11)</f>
        <v>6.9218999999999999</v>
      </c>
      <c r="J242" s="4">
        <f>6.811 * CHOOSE(CONTROL!$C$15, $D$11, 100%, $F$11)</f>
        <v>6.8109999999999999</v>
      </c>
      <c r="K242" s="4"/>
      <c r="L242" s="9">
        <v>31.095300000000002</v>
      </c>
      <c r="M242" s="9">
        <v>12.063700000000001</v>
      </c>
      <c r="N242" s="9">
        <v>4.9444999999999997</v>
      </c>
      <c r="O242" s="9">
        <v>0.37409999999999999</v>
      </c>
      <c r="P242" s="9">
        <v>1.2183999999999999</v>
      </c>
      <c r="Q242" s="9">
        <v>30.773700000000002</v>
      </c>
      <c r="R242" s="9"/>
      <c r="S242" s="11"/>
    </row>
    <row r="243" spans="1:19" ht="15.75">
      <c r="A243" s="13">
        <v>48884</v>
      </c>
      <c r="B243" s="8">
        <f>7.6793 * CHOOSE(CONTROL!$C$15, $D$11, 100%, $F$11)</f>
        <v>7.6792999999999996</v>
      </c>
      <c r="C243" s="8">
        <f>7.6844 * CHOOSE(CONTROL!$C$15, $D$11, 100%, $F$11)</f>
        <v>7.6844000000000001</v>
      </c>
      <c r="D243" s="8">
        <f>7.6737 * CHOOSE( CONTROL!$C$15, $D$11, 100%, $F$11)</f>
        <v>7.6737000000000002</v>
      </c>
      <c r="E243" s="12">
        <f>7.6771 * CHOOSE( CONTROL!$C$15, $D$11, 100%, $F$11)</f>
        <v>7.6771000000000003</v>
      </c>
      <c r="F243" s="4">
        <f>8.3282 * CHOOSE(CONTROL!$C$15, $D$11, 100%, $F$11)</f>
        <v>8.3282000000000007</v>
      </c>
      <c r="G243" s="8">
        <f>7.4934 * CHOOSE( CONTROL!$C$15, $D$11, 100%, $F$11)</f>
        <v>7.4934000000000003</v>
      </c>
      <c r="H243" s="4">
        <f>8.3689 * CHOOSE(CONTROL!$C$15, $D$11, 100%, $F$11)</f>
        <v>8.3689</v>
      </c>
      <c r="I243" s="8">
        <f>7.4824 * CHOOSE(CONTROL!$C$15, $D$11, 100%, $F$11)</f>
        <v>7.4824000000000002</v>
      </c>
      <c r="J243" s="4">
        <f>7.3457 * CHOOSE(CONTROL!$C$15, $D$11, 100%, $F$11)</f>
        <v>7.3456999999999999</v>
      </c>
      <c r="K243" s="4"/>
      <c r="L243" s="9">
        <v>28.360600000000002</v>
      </c>
      <c r="M243" s="9">
        <v>11.6745</v>
      </c>
      <c r="N243" s="9">
        <v>4.7850000000000001</v>
      </c>
      <c r="O243" s="9">
        <v>0.36199999999999999</v>
      </c>
      <c r="P243" s="9">
        <v>1.2509999999999999</v>
      </c>
      <c r="Q243" s="9">
        <v>29.780999999999999</v>
      </c>
      <c r="R243" s="9"/>
      <c r="S243" s="11"/>
    </row>
    <row r="244" spans="1:19" ht="15.75">
      <c r="A244" s="13">
        <v>48914</v>
      </c>
      <c r="B244" s="8">
        <f>7.6653 * CHOOSE(CONTROL!$C$15, $D$11, 100%, $F$11)</f>
        <v>7.6653000000000002</v>
      </c>
      <c r="C244" s="8">
        <f>7.6705 * CHOOSE(CONTROL!$C$15, $D$11, 100%, $F$11)</f>
        <v>7.6704999999999997</v>
      </c>
      <c r="D244" s="8">
        <f>7.6611 * CHOOSE( CONTROL!$C$15, $D$11, 100%, $F$11)</f>
        <v>7.6611000000000002</v>
      </c>
      <c r="E244" s="12">
        <f>7.664 * CHOOSE( CONTROL!$C$15, $D$11, 100%, $F$11)</f>
        <v>7.6639999999999997</v>
      </c>
      <c r="F244" s="4">
        <f>8.3143 * CHOOSE(CONTROL!$C$15, $D$11, 100%, $F$11)</f>
        <v>8.3142999999999994</v>
      </c>
      <c r="G244" s="8">
        <f>7.4808 * CHOOSE( CONTROL!$C$15, $D$11, 100%, $F$11)</f>
        <v>7.4808000000000003</v>
      </c>
      <c r="H244" s="4">
        <f>8.3553 * CHOOSE(CONTROL!$C$15, $D$11, 100%, $F$11)</f>
        <v>8.3552999999999997</v>
      </c>
      <c r="I244" s="8">
        <f>7.4734 * CHOOSE(CONTROL!$C$15, $D$11, 100%, $F$11)</f>
        <v>7.4733999999999998</v>
      </c>
      <c r="J244" s="4">
        <f>7.3323 * CHOOSE(CONTROL!$C$15, $D$11, 100%, $F$11)</f>
        <v>7.3323</v>
      </c>
      <c r="K244" s="4"/>
      <c r="L244" s="9">
        <v>29.306000000000001</v>
      </c>
      <c r="M244" s="9">
        <v>12.063700000000001</v>
      </c>
      <c r="N244" s="9">
        <v>4.9444999999999997</v>
      </c>
      <c r="O244" s="9">
        <v>0.37409999999999999</v>
      </c>
      <c r="P244" s="9">
        <v>1.2927</v>
      </c>
      <c r="Q244" s="9">
        <v>30.773700000000002</v>
      </c>
      <c r="R244" s="9"/>
      <c r="S244" s="11"/>
    </row>
    <row r="245" spans="1:19" ht="15.75">
      <c r="A245" s="13">
        <v>48945</v>
      </c>
      <c r="B245" s="8">
        <f>7.8597 * CHOOSE(CONTROL!$C$15, $D$11, 100%, $F$11)</f>
        <v>7.8597000000000001</v>
      </c>
      <c r="C245" s="8">
        <f>7.8649 * CHOOSE(CONTROL!$C$15, $D$11, 100%, $F$11)</f>
        <v>7.8648999999999996</v>
      </c>
      <c r="D245" s="8">
        <f>7.8514 * CHOOSE( CONTROL!$C$15, $D$11, 100%, $F$11)</f>
        <v>7.8513999999999999</v>
      </c>
      <c r="E245" s="12">
        <f>7.8558 * CHOOSE( CONTROL!$C$15, $D$11, 100%, $F$11)</f>
        <v>7.8558000000000003</v>
      </c>
      <c r="F245" s="4">
        <f>8.5086 * CHOOSE(CONTROL!$C$15, $D$11, 100%, $F$11)</f>
        <v>8.5085999999999995</v>
      </c>
      <c r="G245" s="8">
        <f>7.6644 * CHOOSE( CONTROL!$C$15, $D$11, 100%, $F$11)</f>
        <v>7.6643999999999997</v>
      </c>
      <c r="H245" s="4">
        <f>8.5451 * CHOOSE(CONTROL!$C$15, $D$11, 100%, $F$11)</f>
        <v>8.5450999999999997</v>
      </c>
      <c r="I245" s="8">
        <f>7.6364 * CHOOSE(CONTROL!$C$15, $D$11, 100%, $F$11)</f>
        <v>7.6364000000000001</v>
      </c>
      <c r="J245" s="4">
        <f>7.5189 * CHOOSE(CONTROL!$C$15, $D$11, 100%, $F$11)</f>
        <v>7.5189000000000004</v>
      </c>
      <c r="K245" s="4"/>
      <c r="L245" s="9">
        <v>29.306000000000001</v>
      </c>
      <c r="M245" s="9">
        <v>12.063700000000001</v>
      </c>
      <c r="N245" s="9">
        <v>4.9444999999999997</v>
      </c>
      <c r="O245" s="9">
        <v>0.37409999999999999</v>
      </c>
      <c r="P245" s="9">
        <v>1.2927</v>
      </c>
      <c r="Q245" s="9">
        <v>30.7105</v>
      </c>
      <c r="R245" s="9"/>
      <c r="S245" s="11"/>
    </row>
    <row r="246" spans="1:19" ht="15.75">
      <c r="A246" s="13">
        <v>48976</v>
      </c>
      <c r="B246" s="8">
        <f>7.3534 * CHOOSE(CONTROL!$C$15, $D$11, 100%, $F$11)</f>
        <v>7.3533999999999997</v>
      </c>
      <c r="C246" s="8">
        <f>7.3586 * CHOOSE(CONTROL!$C$15, $D$11, 100%, $F$11)</f>
        <v>7.3586</v>
      </c>
      <c r="D246" s="8">
        <f>7.3451 * CHOOSE( CONTROL!$C$15, $D$11, 100%, $F$11)</f>
        <v>7.3451000000000004</v>
      </c>
      <c r="E246" s="12">
        <f>7.3495 * CHOOSE( CONTROL!$C$15, $D$11, 100%, $F$11)</f>
        <v>7.3494999999999999</v>
      </c>
      <c r="F246" s="4">
        <f>8.0023 * CHOOSE(CONTROL!$C$15, $D$11, 100%, $F$11)</f>
        <v>8.0023</v>
      </c>
      <c r="G246" s="8">
        <f>7.1699 * CHOOSE( CONTROL!$C$15, $D$11, 100%, $F$11)</f>
        <v>7.1699000000000002</v>
      </c>
      <c r="H246" s="4">
        <f>8.0506 * CHOOSE(CONTROL!$C$15, $D$11, 100%, $F$11)</f>
        <v>8.0505999999999993</v>
      </c>
      <c r="I246" s="8">
        <f>7.15 * CHOOSE(CONTROL!$C$15, $D$11, 100%, $F$11)</f>
        <v>7.15</v>
      </c>
      <c r="J246" s="4">
        <f>7.0328 * CHOOSE(CONTROL!$C$15, $D$11, 100%, $F$11)</f>
        <v>7.0327999999999999</v>
      </c>
      <c r="K246" s="4"/>
      <c r="L246" s="9">
        <v>26.469899999999999</v>
      </c>
      <c r="M246" s="9">
        <v>10.8962</v>
      </c>
      <c r="N246" s="9">
        <v>4.4660000000000002</v>
      </c>
      <c r="O246" s="9">
        <v>0.33789999999999998</v>
      </c>
      <c r="P246" s="9">
        <v>1.1676</v>
      </c>
      <c r="Q246" s="9">
        <v>27.738499999999998</v>
      </c>
      <c r="R246" s="9"/>
      <c r="S246" s="11"/>
    </row>
    <row r="247" spans="1:19" ht="15.75">
      <c r="A247" s="13">
        <v>49004</v>
      </c>
      <c r="B247" s="8">
        <f>7.1975 * CHOOSE(CONTROL!$C$15, $D$11, 100%, $F$11)</f>
        <v>7.1974999999999998</v>
      </c>
      <c r="C247" s="8">
        <f>7.2027 * CHOOSE(CONTROL!$C$15, $D$11, 100%, $F$11)</f>
        <v>7.2027000000000001</v>
      </c>
      <c r="D247" s="8">
        <f>7.1888 * CHOOSE( CONTROL!$C$15, $D$11, 100%, $F$11)</f>
        <v>7.1887999999999996</v>
      </c>
      <c r="E247" s="12">
        <f>7.1933 * CHOOSE( CONTROL!$C$15, $D$11, 100%, $F$11)</f>
        <v>7.1932999999999998</v>
      </c>
      <c r="F247" s="4">
        <f>7.8464 * CHOOSE(CONTROL!$C$15, $D$11, 100%, $F$11)</f>
        <v>7.8464</v>
      </c>
      <c r="G247" s="8">
        <f>7.0173 * CHOOSE( CONTROL!$C$15, $D$11, 100%, $F$11)</f>
        <v>7.0172999999999996</v>
      </c>
      <c r="H247" s="4">
        <f>7.8983 * CHOOSE(CONTROL!$C$15, $D$11, 100%, $F$11)</f>
        <v>7.8982999999999999</v>
      </c>
      <c r="I247" s="8">
        <f>6.9992 * CHOOSE(CONTROL!$C$15, $D$11, 100%, $F$11)</f>
        <v>6.9992000000000001</v>
      </c>
      <c r="J247" s="4">
        <f>6.8831 * CHOOSE(CONTROL!$C$15, $D$11, 100%, $F$11)</f>
        <v>6.8830999999999998</v>
      </c>
      <c r="K247" s="4"/>
      <c r="L247" s="9">
        <v>29.306000000000001</v>
      </c>
      <c r="M247" s="9">
        <v>12.063700000000001</v>
      </c>
      <c r="N247" s="9">
        <v>4.9444999999999997</v>
      </c>
      <c r="O247" s="9">
        <v>0.37409999999999999</v>
      </c>
      <c r="P247" s="9">
        <v>1.2927</v>
      </c>
      <c r="Q247" s="9">
        <v>30.7105</v>
      </c>
      <c r="R247" s="9"/>
      <c r="S247" s="11"/>
    </row>
    <row r="248" spans="1:19" ht="15.75">
      <c r="A248" s="13">
        <v>49035</v>
      </c>
      <c r="B248" s="8">
        <f>7.3072 * CHOOSE(CONTROL!$C$15, $D$11, 100%, $F$11)</f>
        <v>7.3071999999999999</v>
      </c>
      <c r="C248" s="8">
        <f>7.3118 * CHOOSE(CONTROL!$C$15, $D$11, 100%, $F$11)</f>
        <v>7.3117999999999999</v>
      </c>
      <c r="D248" s="8">
        <f>7.3381 * CHOOSE( CONTROL!$C$15, $D$11, 100%, $F$11)</f>
        <v>7.3380999999999998</v>
      </c>
      <c r="E248" s="12">
        <f>7.3289 * CHOOSE( CONTROL!$C$15, $D$11, 100%, $F$11)</f>
        <v>7.3289</v>
      </c>
      <c r="F248" s="4">
        <f>8.0064 * CHOOSE(CONTROL!$C$15, $D$11, 100%, $F$11)</f>
        <v>8.0063999999999993</v>
      </c>
      <c r="G248" s="8">
        <f>7.1238 * CHOOSE( CONTROL!$C$15, $D$11, 100%, $F$11)</f>
        <v>7.1238000000000001</v>
      </c>
      <c r="H248" s="4">
        <f>8.0546 * CHOOSE(CONTROL!$C$15, $D$11, 100%, $F$11)</f>
        <v>8.0546000000000006</v>
      </c>
      <c r="I248" s="8">
        <f>7.0958 * CHOOSE(CONTROL!$C$15, $D$11, 100%, $F$11)</f>
        <v>7.0957999999999997</v>
      </c>
      <c r="J248" s="4">
        <f>6.9877 * CHOOSE(CONTROL!$C$15, $D$11, 100%, $F$11)</f>
        <v>6.9877000000000002</v>
      </c>
      <c r="K248" s="4"/>
      <c r="L248" s="9">
        <v>30.092199999999998</v>
      </c>
      <c r="M248" s="9">
        <v>11.6745</v>
      </c>
      <c r="N248" s="9">
        <v>4.7850000000000001</v>
      </c>
      <c r="O248" s="9">
        <v>0.36199999999999999</v>
      </c>
      <c r="P248" s="9">
        <v>1.1791</v>
      </c>
      <c r="Q248" s="9">
        <v>29.719799999999999</v>
      </c>
      <c r="R248" s="9"/>
      <c r="S248" s="11"/>
    </row>
    <row r="249" spans="1:19" ht="15.75">
      <c r="A249" s="13">
        <v>49065</v>
      </c>
      <c r="B249" s="8">
        <f>CHOOSE( CONTROL!$C$32, 7.5073, 7.5025) * CHOOSE(CONTROL!$C$15, $D$11, 100%, $F$11)</f>
        <v>7.5072999999999999</v>
      </c>
      <c r="C249" s="8">
        <f>CHOOSE( CONTROL!$C$32, 7.5154, 7.5106) * CHOOSE(CONTROL!$C$15, $D$11, 100%, $F$11)</f>
        <v>7.5153999999999996</v>
      </c>
      <c r="D249" s="8">
        <f>CHOOSE( CONTROL!$C$32, 7.5367, 7.5319) * CHOOSE( CONTROL!$C$15, $D$11, 100%, $F$11)</f>
        <v>7.5366999999999997</v>
      </c>
      <c r="E249" s="12">
        <f>CHOOSE( CONTROL!$C$32, 7.5277, 7.5229) * CHOOSE( CONTROL!$C$15, $D$11, 100%, $F$11)</f>
        <v>7.5277000000000003</v>
      </c>
      <c r="F249" s="4">
        <f>CHOOSE( CONTROL!$C$32, 8.2051, 8.2003) * CHOOSE(CONTROL!$C$15, $D$11, 100%, $F$11)</f>
        <v>8.2050999999999998</v>
      </c>
      <c r="G249" s="8">
        <f>CHOOSE( CONTROL!$C$32, 7.3189, 7.3142) * CHOOSE( CONTROL!$C$15, $D$11, 100%, $F$11)</f>
        <v>7.3189000000000002</v>
      </c>
      <c r="H249" s="4">
        <f>CHOOSE( CONTROL!$C$32, 8.2488, 8.244) * CHOOSE(CONTROL!$C$15, $D$11, 100%, $F$11)</f>
        <v>8.2487999999999992</v>
      </c>
      <c r="I249" s="8">
        <f>CHOOSE( CONTROL!$C$32, 7.2867, 7.282) * CHOOSE(CONTROL!$C$15, $D$11, 100%, $F$11)</f>
        <v>7.2866999999999997</v>
      </c>
      <c r="J249" s="4">
        <f>CHOOSE( CONTROL!$C$32, 7.1786, 7.1739) * CHOOSE(CONTROL!$C$15, $D$11, 100%, $F$11)</f>
        <v>7.1786000000000003</v>
      </c>
      <c r="K249" s="4"/>
      <c r="L249" s="9">
        <v>30.7165</v>
      </c>
      <c r="M249" s="9">
        <v>12.063700000000001</v>
      </c>
      <c r="N249" s="9">
        <v>4.9444999999999997</v>
      </c>
      <c r="O249" s="9">
        <v>0.37409999999999999</v>
      </c>
      <c r="P249" s="9">
        <v>1.2183999999999999</v>
      </c>
      <c r="Q249" s="9">
        <v>30.7105</v>
      </c>
      <c r="R249" s="9"/>
      <c r="S249" s="11"/>
    </row>
    <row r="250" spans="1:19" ht="15.75">
      <c r="A250" s="13">
        <v>49096</v>
      </c>
      <c r="B250" s="8">
        <f>CHOOSE( CONTROL!$C$32, 7.3872, 7.3824) * CHOOSE(CONTROL!$C$15, $D$11, 100%, $F$11)</f>
        <v>7.3872</v>
      </c>
      <c r="C250" s="8">
        <f>CHOOSE( CONTROL!$C$32, 7.3953, 7.3904) * CHOOSE(CONTROL!$C$15, $D$11, 100%, $F$11)</f>
        <v>7.3952999999999998</v>
      </c>
      <c r="D250" s="8">
        <f>CHOOSE( CONTROL!$C$32, 7.4168, 7.412) * CHOOSE( CONTROL!$C$15, $D$11, 100%, $F$11)</f>
        <v>7.4168000000000003</v>
      </c>
      <c r="E250" s="12">
        <f>CHOOSE( CONTROL!$C$32, 7.4078, 7.403) * CHOOSE( CONTROL!$C$15, $D$11, 100%, $F$11)</f>
        <v>7.4077999999999999</v>
      </c>
      <c r="F250" s="4">
        <f>CHOOSE( CONTROL!$C$32, 8.085, 8.0802) * CHOOSE(CONTROL!$C$15, $D$11, 100%, $F$11)</f>
        <v>8.0850000000000009</v>
      </c>
      <c r="G250" s="8">
        <f>CHOOSE( CONTROL!$C$32, 7.2019, 7.1971) * CHOOSE( CONTROL!$C$15, $D$11, 100%, $F$11)</f>
        <v>7.2019000000000002</v>
      </c>
      <c r="H250" s="4">
        <f>CHOOSE( CONTROL!$C$32, 8.1314, 8.1267) * CHOOSE(CONTROL!$C$15, $D$11, 100%, $F$11)</f>
        <v>8.1313999999999993</v>
      </c>
      <c r="I250" s="8">
        <f>CHOOSE( CONTROL!$C$32, 7.1722, 7.1675) * CHOOSE(CONTROL!$C$15, $D$11, 100%, $F$11)</f>
        <v>7.1722000000000001</v>
      </c>
      <c r="J250" s="4">
        <f>CHOOSE( CONTROL!$C$32, 7.0632, 7.0586) * CHOOSE(CONTROL!$C$15, $D$11, 100%, $F$11)</f>
        <v>7.0632000000000001</v>
      </c>
      <c r="K250" s="4"/>
      <c r="L250" s="9">
        <v>29.7257</v>
      </c>
      <c r="M250" s="9">
        <v>11.6745</v>
      </c>
      <c r="N250" s="9">
        <v>4.7850000000000001</v>
      </c>
      <c r="O250" s="9">
        <v>0.36199999999999999</v>
      </c>
      <c r="P250" s="9">
        <v>1.1791</v>
      </c>
      <c r="Q250" s="9">
        <v>29.719799999999999</v>
      </c>
      <c r="R250" s="9"/>
      <c r="S250" s="11"/>
    </row>
    <row r="251" spans="1:19" ht="15.75">
      <c r="A251" s="13">
        <v>49126</v>
      </c>
      <c r="B251" s="8">
        <f>CHOOSE( CONTROL!$C$32, 7.7036, 7.6987) * CHOOSE(CONTROL!$C$15, $D$11, 100%, $F$11)</f>
        <v>7.7035999999999998</v>
      </c>
      <c r="C251" s="8">
        <f>CHOOSE( CONTROL!$C$32, 7.7116, 7.7068) * CHOOSE(CONTROL!$C$15, $D$11, 100%, $F$11)</f>
        <v>7.7115999999999998</v>
      </c>
      <c r="D251" s="8">
        <f>CHOOSE( CONTROL!$C$32, 7.7334, 7.7285) * CHOOSE( CONTROL!$C$15, $D$11, 100%, $F$11)</f>
        <v>7.7333999999999996</v>
      </c>
      <c r="E251" s="12">
        <f>CHOOSE( CONTROL!$C$32, 7.7243, 7.7194) * CHOOSE( CONTROL!$C$15, $D$11, 100%, $F$11)</f>
        <v>7.7243000000000004</v>
      </c>
      <c r="F251" s="4">
        <f>CHOOSE( CONTROL!$C$32, 8.4014, 8.3965) * CHOOSE(CONTROL!$C$15, $D$11, 100%, $F$11)</f>
        <v>8.4014000000000006</v>
      </c>
      <c r="G251" s="8">
        <f>CHOOSE( CONTROL!$C$32, 7.5112, 7.5065) * CHOOSE( CONTROL!$C$15, $D$11, 100%, $F$11)</f>
        <v>7.5111999999999997</v>
      </c>
      <c r="H251" s="4">
        <f>CHOOSE( CONTROL!$C$32, 8.4404, 8.4357) * CHOOSE(CONTROL!$C$15, $D$11, 100%, $F$11)</f>
        <v>8.4404000000000003</v>
      </c>
      <c r="I251" s="8">
        <f>CHOOSE( CONTROL!$C$32, 7.4772, 7.4725) * CHOOSE(CONTROL!$C$15, $D$11, 100%, $F$11)</f>
        <v>7.4771999999999998</v>
      </c>
      <c r="J251" s="4">
        <f>CHOOSE( CONTROL!$C$32, 7.367, 7.3623) * CHOOSE(CONTROL!$C$15, $D$11, 100%, $F$11)</f>
        <v>7.367</v>
      </c>
      <c r="K251" s="4"/>
      <c r="L251" s="9">
        <v>30.7165</v>
      </c>
      <c r="M251" s="9">
        <v>12.063700000000001</v>
      </c>
      <c r="N251" s="9">
        <v>4.9444999999999997</v>
      </c>
      <c r="O251" s="9">
        <v>0.37409999999999999</v>
      </c>
      <c r="P251" s="9">
        <v>1.2183999999999999</v>
      </c>
      <c r="Q251" s="9">
        <v>30.7105</v>
      </c>
      <c r="R251" s="9"/>
      <c r="S251" s="11"/>
    </row>
    <row r="252" spans="1:19" ht="15.75">
      <c r="A252" s="13">
        <v>49157</v>
      </c>
      <c r="B252" s="8">
        <f>CHOOSE( CONTROL!$C$32, 7.1116, 7.1068) * CHOOSE(CONTROL!$C$15, $D$11, 100%, $F$11)</f>
        <v>7.1116000000000001</v>
      </c>
      <c r="C252" s="8">
        <f>CHOOSE( CONTROL!$C$32, 7.1197, 7.1149) * CHOOSE(CONTROL!$C$15, $D$11, 100%, $F$11)</f>
        <v>7.1196999999999999</v>
      </c>
      <c r="D252" s="8">
        <f>CHOOSE( CONTROL!$C$32, 7.1415, 7.1367) * CHOOSE( CONTROL!$C$15, $D$11, 100%, $F$11)</f>
        <v>7.1414999999999997</v>
      </c>
      <c r="E252" s="12">
        <f>CHOOSE( CONTROL!$C$32, 7.1324, 7.1276) * CHOOSE( CONTROL!$C$15, $D$11, 100%, $F$11)</f>
        <v>7.1323999999999996</v>
      </c>
      <c r="F252" s="4">
        <f>CHOOSE( CONTROL!$C$32, 7.8094, 7.8046) * CHOOSE(CONTROL!$C$15, $D$11, 100%, $F$11)</f>
        <v>7.8094000000000001</v>
      </c>
      <c r="G252" s="8">
        <f>CHOOSE( CONTROL!$C$32, 6.9331, 6.9284) * CHOOSE( CONTROL!$C$15, $D$11, 100%, $F$11)</f>
        <v>6.9330999999999996</v>
      </c>
      <c r="H252" s="4">
        <f>CHOOSE( CONTROL!$C$32, 7.8623, 7.8575) * CHOOSE(CONTROL!$C$15, $D$11, 100%, $F$11)</f>
        <v>7.8623000000000003</v>
      </c>
      <c r="I252" s="8">
        <f>CHOOSE( CONTROL!$C$32, 6.9089, 6.9042) * CHOOSE(CONTROL!$C$15, $D$11, 100%, $F$11)</f>
        <v>6.9089</v>
      </c>
      <c r="J252" s="4">
        <f>CHOOSE( CONTROL!$C$32, 6.7986, 6.794) * CHOOSE(CONTROL!$C$15, $D$11, 100%, $F$11)</f>
        <v>6.7986000000000004</v>
      </c>
      <c r="K252" s="4"/>
      <c r="L252" s="9">
        <v>30.7165</v>
      </c>
      <c r="M252" s="9">
        <v>12.063700000000001</v>
      </c>
      <c r="N252" s="9">
        <v>4.9444999999999997</v>
      </c>
      <c r="O252" s="9">
        <v>0.37409999999999999</v>
      </c>
      <c r="P252" s="9">
        <v>1.2183999999999999</v>
      </c>
      <c r="Q252" s="9">
        <v>30.7105</v>
      </c>
      <c r="R252" s="9"/>
      <c r="S252" s="11"/>
    </row>
    <row r="253" spans="1:19" ht="15.75">
      <c r="A253" s="13">
        <v>49188</v>
      </c>
      <c r="B253" s="8">
        <f>CHOOSE( CONTROL!$C$32, 6.9634, 6.9586) * CHOOSE(CONTROL!$C$15, $D$11, 100%, $F$11)</f>
        <v>6.9634</v>
      </c>
      <c r="C253" s="8">
        <f>CHOOSE( CONTROL!$C$32, 6.9715, 6.9666) * CHOOSE(CONTROL!$C$15, $D$11, 100%, $F$11)</f>
        <v>6.9714999999999998</v>
      </c>
      <c r="D253" s="8">
        <f>CHOOSE( CONTROL!$C$32, 6.9933, 6.9884) * CHOOSE( CONTROL!$C$15, $D$11, 100%, $F$11)</f>
        <v>6.9932999999999996</v>
      </c>
      <c r="E253" s="12">
        <f>CHOOSE( CONTROL!$C$32, 6.9842, 6.9793) * CHOOSE( CONTROL!$C$15, $D$11, 100%, $F$11)</f>
        <v>6.9842000000000004</v>
      </c>
      <c r="F253" s="4">
        <f>CHOOSE( CONTROL!$C$32, 7.6612, 7.6564) * CHOOSE(CONTROL!$C$15, $D$11, 100%, $F$11)</f>
        <v>7.6612</v>
      </c>
      <c r="G253" s="8">
        <f>CHOOSE( CONTROL!$C$32, 6.7883, 6.7836) * CHOOSE( CONTROL!$C$15, $D$11, 100%, $F$11)</f>
        <v>6.7882999999999996</v>
      </c>
      <c r="H253" s="4">
        <f>CHOOSE( CONTROL!$C$32, 7.7175, 7.7128) * CHOOSE(CONTROL!$C$15, $D$11, 100%, $F$11)</f>
        <v>7.7175000000000002</v>
      </c>
      <c r="I253" s="8">
        <f>CHOOSE( CONTROL!$C$32, 6.7664, 6.7618) * CHOOSE(CONTROL!$C$15, $D$11, 100%, $F$11)</f>
        <v>6.7664</v>
      </c>
      <c r="J253" s="4">
        <f>CHOOSE( CONTROL!$C$32, 6.6563, 6.6517) * CHOOSE(CONTROL!$C$15, $D$11, 100%, $F$11)</f>
        <v>6.6562999999999999</v>
      </c>
      <c r="K253" s="4"/>
      <c r="L253" s="9">
        <v>29.7257</v>
      </c>
      <c r="M253" s="9">
        <v>11.6745</v>
      </c>
      <c r="N253" s="9">
        <v>4.7850000000000001</v>
      </c>
      <c r="O253" s="9">
        <v>0.36199999999999999</v>
      </c>
      <c r="P253" s="9">
        <v>1.1791</v>
      </c>
      <c r="Q253" s="9">
        <v>29.719799999999999</v>
      </c>
      <c r="R253" s="9"/>
      <c r="S253" s="11"/>
    </row>
    <row r="254" spans="1:19" ht="15.75">
      <c r="A254" s="13">
        <v>49218</v>
      </c>
      <c r="B254" s="8">
        <f>7.2646 * CHOOSE(CONTROL!$C$15, $D$11, 100%, $F$11)</f>
        <v>7.2645999999999997</v>
      </c>
      <c r="C254" s="8">
        <f>7.27 * CHOOSE(CONTROL!$C$15, $D$11, 100%, $F$11)</f>
        <v>7.27</v>
      </c>
      <c r="D254" s="8">
        <f>7.2965 * CHOOSE( CONTROL!$C$15, $D$11, 100%, $F$11)</f>
        <v>7.2965</v>
      </c>
      <c r="E254" s="12">
        <f>7.2872 * CHOOSE( CONTROL!$C$15, $D$11, 100%, $F$11)</f>
        <v>7.2872000000000003</v>
      </c>
      <c r="F254" s="4">
        <f>7.9641 * CHOOSE(CONTROL!$C$15, $D$11, 100%, $F$11)</f>
        <v>7.9641000000000002</v>
      </c>
      <c r="G254" s="8">
        <f>7.0835 * CHOOSE( CONTROL!$C$15, $D$11, 100%, $F$11)</f>
        <v>7.0834999999999999</v>
      </c>
      <c r="H254" s="4">
        <f>8.0134 * CHOOSE(CONTROL!$C$15, $D$11, 100%, $F$11)</f>
        <v>8.0134000000000007</v>
      </c>
      <c r="I254" s="8">
        <f>7.0581 * CHOOSE(CONTROL!$C$15, $D$11, 100%, $F$11)</f>
        <v>7.0580999999999996</v>
      </c>
      <c r="J254" s="4">
        <f>6.9472 * CHOOSE(CONTROL!$C$15, $D$11, 100%, $F$11)</f>
        <v>6.9471999999999996</v>
      </c>
      <c r="K254" s="4"/>
      <c r="L254" s="9">
        <v>31.095300000000002</v>
      </c>
      <c r="M254" s="9">
        <v>12.063700000000001</v>
      </c>
      <c r="N254" s="9">
        <v>4.9444999999999997</v>
      </c>
      <c r="O254" s="9">
        <v>0.37409999999999999</v>
      </c>
      <c r="P254" s="9">
        <v>1.2183999999999999</v>
      </c>
      <c r="Q254" s="9">
        <v>30.7105</v>
      </c>
      <c r="R254" s="9"/>
      <c r="S254" s="11"/>
    </row>
    <row r="255" spans="1:19" ht="15.75">
      <c r="A255" s="13">
        <v>49249</v>
      </c>
      <c r="B255" s="8">
        <f>7.8323 * CHOOSE(CONTROL!$C$15, $D$11, 100%, $F$11)</f>
        <v>7.8323</v>
      </c>
      <c r="C255" s="8">
        <f>7.8375 * CHOOSE(CONTROL!$C$15, $D$11, 100%, $F$11)</f>
        <v>7.8375000000000004</v>
      </c>
      <c r="D255" s="8">
        <f>7.8267 * CHOOSE( CONTROL!$C$15, $D$11, 100%, $F$11)</f>
        <v>7.8266999999999998</v>
      </c>
      <c r="E255" s="12">
        <f>7.8301 * CHOOSE( CONTROL!$C$15, $D$11, 100%, $F$11)</f>
        <v>7.8300999999999998</v>
      </c>
      <c r="F255" s="4">
        <f>8.4812 * CHOOSE(CONTROL!$C$15, $D$11, 100%, $F$11)</f>
        <v>8.4811999999999994</v>
      </c>
      <c r="G255" s="8">
        <f>7.6429 * CHOOSE( CONTROL!$C$15, $D$11, 100%, $F$11)</f>
        <v>7.6429</v>
      </c>
      <c r="H255" s="4">
        <f>8.5184 * CHOOSE(CONTROL!$C$15, $D$11, 100%, $F$11)</f>
        <v>8.5183999999999997</v>
      </c>
      <c r="I255" s="8">
        <f>7.6294 * CHOOSE(CONTROL!$C$15, $D$11, 100%, $F$11)</f>
        <v>7.6294000000000004</v>
      </c>
      <c r="J255" s="4">
        <f>7.4926 * CHOOSE(CONTROL!$C$15, $D$11, 100%, $F$11)</f>
        <v>7.4926000000000004</v>
      </c>
      <c r="K255" s="4"/>
      <c r="L255" s="9">
        <v>28.360600000000002</v>
      </c>
      <c r="M255" s="9">
        <v>11.6745</v>
      </c>
      <c r="N255" s="9">
        <v>4.7850000000000001</v>
      </c>
      <c r="O255" s="9">
        <v>0.36199999999999999</v>
      </c>
      <c r="P255" s="9">
        <v>1.2509999999999999</v>
      </c>
      <c r="Q255" s="9">
        <v>29.719799999999999</v>
      </c>
      <c r="R255" s="9"/>
      <c r="S255" s="11"/>
    </row>
    <row r="256" spans="1:19" ht="15.75">
      <c r="A256" s="13">
        <v>49279</v>
      </c>
      <c r="B256" s="8">
        <f>7.8181 * CHOOSE(CONTROL!$C$15, $D$11, 100%, $F$11)</f>
        <v>7.8181000000000003</v>
      </c>
      <c r="C256" s="8">
        <f>7.8233 * CHOOSE(CONTROL!$C$15, $D$11, 100%, $F$11)</f>
        <v>7.8232999999999997</v>
      </c>
      <c r="D256" s="8">
        <f>7.8139 * CHOOSE( CONTROL!$C$15, $D$11, 100%, $F$11)</f>
        <v>7.8139000000000003</v>
      </c>
      <c r="E256" s="12">
        <f>7.8168 * CHOOSE( CONTROL!$C$15, $D$11, 100%, $F$11)</f>
        <v>7.8167999999999997</v>
      </c>
      <c r="F256" s="4">
        <f>8.467 * CHOOSE(CONTROL!$C$15, $D$11, 100%, $F$11)</f>
        <v>8.4670000000000005</v>
      </c>
      <c r="G256" s="8">
        <f>7.63 * CHOOSE( CONTROL!$C$15, $D$11, 100%, $F$11)</f>
        <v>7.63</v>
      </c>
      <c r="H256" s="4">
        <f>8.5045 * CHOOSE(CONTROL!$C$15, $D$11, 100%, $F$11)</f>
        <v>8.5045000000000002</v>
      </c>
      <c r="I256" s="8">
        <f>7.6201 * CHOOSE(CONTROL!$C$15, $D$11, 100%, $F$11)</f>
        <v>7.6200999999999999</v>
      </c>
      <c r="J256" s="4">
        <f>7.479 * CHOOSE(CONTROL!$C$15, $D$11, 100%, $F$11)</f>
        <v>7.4790000000000001</v>
      </c>
      <c r="K256" s="4"/>
      <c r="L256" s="9">
        <v>29.306000000000001</v>
      </c>
      <c r="M256" s="9">
        <v>12.063700000000001</v>
      </c>
      <c r="N256" s="9">
        <v>4.9444999999999997</v>
      </c>
      <c r="O256" s="9">
        <v>0.37409999999999999</v>
      </c>
      <c r="P256" s="9">
        <v>1.2927</v>
      </c>
      <c r="Q256" s="9">
        <v>30.7105</v>
      </c>
      <c r="R256" s="9"/>
      <c r="S256" s="11"/>
    </row>
    <row r="257" spans="1:19" ht="15.75">
      <c r="A257" s="13">
        <v>49310</v>
      </c>
      <c r="B257" s="8">
        <f>8.0163 * CHOOSE(CONTROL!$C$15, $D$11, 100%, $F$11)</f>
        <v>8.0162999999999993</v>
      </c>
      <c r="C257" s="8">
        <f>8.0215 * CHOOSE(CONTROL!$C$15, $D$11, 100%, $F$11)</f>
        <v>8.0214999999999996</v>
      </c>
      <c r="D257" s="8">
        <f>8.008 * CHOOSE( CONTROL!$C$15, $D$11, 100%, $F$11)</f>
        <v>8.0079999999999991</v>
      </c>
      <c r="E257" s="12">
        <f>8.0124 * CHOOSE( CONTROL!$C$15, $D$11, 100%, $F$11)</f>
        <v>8.0123999999999995</v>
      </c>
      <c r="F257" s="4">
        <f>8.6652 * CHOOSE(CONTROL!$C$15, $D$11, 100%, $F$11)</f>
        <v>8.6652000000000005</v>
      </c>
      <c r="G257" s="8">
        <f>7.8173 * CHOOSE( CONTROL!$C$15, $D$11, 100%, $F$11)</f>
        <v>7.8173000000000004</v>
      </c>
      <c r="H257" s="4">
        <f>8.6981 * CHOOSE(CONTROL!$C$15, $D$11, 100%, $F$11)</f>
        <v>8.6981000000000002</v>
      </c>
      <c r="I257" s="8">
        <f>7.7868 * CHOOSE(CONTROL!$C$15, $D$11, 100%, $F$11)</f>
        <v>7.7868000000000004</v>
      </c>
      <c r="J257" s="4">
        <f>7.6693 * CHOOSE(CONTROL!$C$15, $D$11, 100%, $F$11)</f>
        <v>7.6692999999999998</v>
      </c>
      <c r="K257" s="4"/>
      <c r="L257" s="9">
        <v>29.306000000000001</v>
      </c>
      <c r="M257" s="9">
        <v>12.063700000000001</v>
      </c>
      <c r="N257" s="9">
        <v>4.9444999999999997</v>
      </c>
      <c r="O257" s="9">
        <v>0.37409999999999999</v>
      </c>
      <c r="P257" s="9">
        <v>1.2927</v>
      </c>
      <c r="Q257" s="9">
        <v>30.645399999999999</v>
      </c>
      <c r="R257" s="9"/>
      <c r="S257" s="11"/>
    </row>
    <row r="258" spans="1:19" ht="15.75">
      <c r="A258" s="13">
        <v>49341</v>
      </c>
      <c r="B258" s="8">
        <f>7.4999 * CHOOSE(CONTROL!$C$15, $D$11, 100%, $F$11)</f>
        <v>7.4999000000000002</v>
      </c>
      <c r="C258" s="8">
        <f>7.5051 * CHOOSE(CONTROL!$C$15, $D$11, 100%, $F$11)</f>
        <v>7.5050999999999997</v>
      </c>
      <c r="D258" s="8">
        <f>7.4916 * CHOOSE( CONTROL!$C$15, $D$11, 100%, $F$11)</f>
        <v>7.4916</v>
      </c>
      <c r="E258" s="12">
        <f>7.496 * CHOOSE( CONTROL!$C$15, $D$11, 100%, $F$11)</f>
        <v>7.4960000000000004</v>
      </c>
      <c r="F258" s="4">
        <f>8.1488 * CHOOSE(CONTROL!$C$15, $D$11, 100%, $F$11)</f>
        <v>8.1487999999999996</v>
      </c>
      <c r="G258" s="8">
        <f>7.313 * CHOOSE( CONTROL!$C$15, $D$11, 100%, $F$11)</f>
        <v>7.3129999999999997</v>
      </c>
      <c r="H258" s="4">
        <f>8.1937 * CHOOSE(CONTROL!$C$15, $D$11, 100%, $F$11)</f>
        <v>8.1936999999999998</v>
      </c>
      <c r="I258" s="8">
        <f>7.2908 * CHOOSE(CONTROL!$C$15, $D$11, 100%, $F$11)</f>
        <v>7.2907999999999999</v>
      </c>
      <c r="J258" s="4">
        <f>7.1735 * CHOOSE(CONTROL!$C$15, $D$11, 100%, $F$11)</f>
        <v>7.1734999999999998</v>
      </c>
      <c r="K258" s="4"/>
      <c r="L258" s="9">
        <v>26.469899999999999</v>
      </c>
      <c r="M258" s="9">
        <v>10.8962</v>
      </c>
      <c r="N258" s="9">
        <v>4.4660000000000002</v>
      </c>
      <c r="O258" s="9">
        <v>0.33789999999999998</v>
      </c>
      <c r="P258" s="9">
        <v>1.1676</v>
      </c>
      <c r="Q258" s="9">
        <v>27.6797</v>
      </c>
      <c r="R258" s="9"/>
      <c r="S258" s="11"/>
    </row>
    <row r="259" spans="1:19" ht="15.75">
      <c r="A259" s="13">
        <v>49369</v>
      </c>
      <c r="B259" s="8">
        <f>7.3409 * CHOOSE(CONTROL!$C$15, $D$11, 100%, $F$11)</f>
        <v>7.3409000000000004</v>
      </c>
      <c r="C259" s="8">
        <f>7.346 * CHOOSE(CONTROL!$C$15, $D$11, 100%, $F$11)</f>
        <v>7.3460000000000001</v>
      </c>
      <c r="D259" s="8">
        <f>7.3322 * CHOOSE( CONTROL!$C$15, $D$11, 100%, $F$11)</f>
        <v>7.3322000000000003</v>
      </c>
      <c r="E259" s="12">
        <f>7.3367 * CHOOSE( CONTROL!$C$15, $D$11, 100%, $F$11)</f>
        <v>7.3367000000000004</v>
      </c>
      <c r="F259" s="4">
        <f>7.9898 * CHOOSE(CONTROL!$C$15, $D$11, 100%, $F$11)</f>
        <v>7.9897999999999998</v>
      </c>
      <c r="G259" s="8">
        <f>7.1574 * CHOOSE( CONTROL!$C$15, $D$11, 100%, $F$11)</f>
        <v>7.1574</v>
      </c>
      <c r="H259" s="4">
        <f>8.0384 * CHOOSE(CONTROL!$C$15, $D$11, 100%, $F$11)</f>
        <v>8.0383999999999993</v>
      </c>
      <c r="I259" s="8">
        <f>7.137 * CHOOSE(CONTROL!$C$15, $D$11, 100%, $F$11)</f>
        <v>7.1369999999999996</v>
      </c>
      <c r="J259" s="4">
        <f>7.0208 * CHOOSE(CONTROL!$C$15, $D$11, 100%, $F$11)</f>
        <v>7.0208000000000004</v>
      </c>
      <c r="K259" s="4"/>
      <c r="L259" s="9">
        <v>29.306000000000001</v>
      </c>
      <c r="M259" s="9">
        <v>12.063700000000001</v>
      </c>
      <c r="N259" s="9">
        <v>4.9444999999999997</v>
      </c>
      <c r="O259" s="9">
        <v>0.37409999999999999</v>
      </c>
      <c r="P259" s="9">
        <v>1.2927</v>
      </c>
      <c r="Q259" s="9">
        <v>30.645399999999999</v>
      </c>
      <c r="R259" s="9"/>
      <c r="S259" s="11"/>
    </row>
    <row r="260" spans="1:19" ht="15.75">
      <c r="A260" s="13">
        <v>49400</v>
      </c>
      <c r="B260" s="8">
        <f>7.4528 * CHOOSE(CONTROL!$C$15, $D$11, 100%, $F$11)</f>
        <v>7.4527999999999999</v>
      </c>
      <c r="C260" s="8">
        <f>7.4574 * CHOOSE(CONTROL!$C$15, $D$11, 100%, $F$11)</f>
        <v>7.4573999999999998</v>
      </c>
      <c r="D260" s="8">
        <f>7.4837 * CHOOSE( CONTROL!$C$15, $D$11, 100%, $F$11)</f>
        <v>7.4836999999999998</v>
      </c>
      <c r="E260" s="12">
        <f>7.4745 * CHOOSE( CONTROL!$C$15, $D$11, 100%, $F$11)</f>
        <v>7.4744999999999999</v>
      </c>
      <c r="F260" s="4">
        <f>8.1519 * CHOOSE(CONTROL!$C$15, $D$11, 100%, $F$11)</f>
        <v>8.1518999999999995</v>
      </c>
      <c r="G260" s="8">
        <f>7.266 * CHOOSE( CONTROL!$C$15, $D$11, 100%, $F$11)</f>
        <v>7.266</v>
      </c>
      <c r="H260" s="4">
        <f>8.1968 * CHOOSE(CONTROL!$C$15, $D$11, 100%, $F$11)</f>
        <v>8.1967999999999996</v>
      </c>
      <c r="I260" s="8">
        <f>7.2356 * CHOOSE(CONTROL!$C$15, $D$11, 100%, $F$11)</f>
        <v>7.2355999999999998</v>
      </c>
      <c r="J260" s="4">
        <f>7.1275 * CHOOSE(CONTROL!$C$15, $D$11, 100%, $F$11)</f>
        <v>7.1275000000000004</v>
      </c>
      <c r="K260" s="4"/>
      <c r="L260" s="9">
        <v>30.092199999999998</v>
      </c>
      <c r="M260" s="9">
        <v>11.6745</v>
      </c>
      <c r="N260" s="9">
        <v>4.7850000000000001</v>
      </c>
      <c r="O260" s="9">
        <v>0.36199999999999999</v>
      </c>
      <c r="P260" s="9">
        <v>1.1791</v>
      </c>
      <c r="Q260" s="9">
        <v>29.6568</v>
      </c>
      <c r="R260" s="9"/>
      <c r="S260" s="11"/>
    </row>
    <row r="261" spans="1:19" ht="15.75">
      <c r="A261" s="13">
        <v>49430</v>
      </c>
      <c r="B261" s="8">
        <f>CHOOSE( CONTROL!$C$32, 7.6568, 7.6519) * CHOOSE(CONTROL!$C$15, $D$11, 100%, $F$11)</f>
        <v>7.6567999999999996</v>
      </c>
      <c r="C261" s="8">
        <f>CHOOSE( CONTROL!$C$32, 7.6649, 7.66) * CHOOSE(CONTROL!$C$15, $D$11, 100%, $F$11)</f>
        <v>7.6649000000000003</v>
      </c>
      <c r="D261" s="8">
        <f>CHOOSE( CONTROL!$C$32, 7.6862, 7.6813) * CHOOSE( CONTROL!$C$15, $D$11, 100%, $F$11)</f>
        <v>7.6862000000000004</v>
      </c>
      <c r="E261" s="12">
        <f>CHOOSE( CONTROL!$C$32, 7.6772, 7.6723) * CHOOSE( CONTROL!$C$15, $D$11, 100%, $F$11)</f>
        <v>7.6772</v>
      </c>
      <c r="F261" s="4">
        <f>CHOOSE( CONTROL!$C$32, 8.3546, 8.3497) * CHOOSE(CONTROL!$C$15, $D$11, 100%, $F$11)</f>
        <v>8.3545999999999996</v>
      </c>
      <c r="G261" s="8">
        <f>CHOOSE( CONTROL!$C$32, 7.4649, 7.4601) * CHOOSE( CONTROL!$C$15, $D$11, 100%, $F$11)</f>
        <v>7.4649000000000001</v>
      </c>
      <c r="H261" s="4">
        <f>CHOOSE( CONTROL!$C$32, 8.3947, 8.39) * CHOOSE(CONTROL!$C$15, $D$11, 100%, $F$11)</f>
        <v>8.3947000000000003</v>
      </c>
      <c r="I261" s="8">
        <f>CHOOSE( CONTROL!$C$32, 7.4302, 7.4256) * CHOOSE(CONTROL!$C$15, $D$11, 100%, $F$11)</f>
        <v>7.4302000000000001</v>
      </c>
      <c r="J261" s="4">
        <f>CHOOSE( CONTROL!$C$32, 7.322, 7.3174) * CHOOSE(CONTROL!$C$15, $D$11, 100%, $F$11)</f>
        <v>7.3220000000000001</v>
      </c>
      <c r="K261" s="4"/>
      <c r="L261" s="9">
        <v>30.7165</v>
      </c>
      <c r="M261" s="9">
        <v>12.063700000000001</v>
      </c>
      <c r="N261" s="9">
        <v>4.9444999999999997</v>
      </c>
      <c r="O261" s="9">
        <v>0.37409999999999999</v>
      </c>
      <c r="P261" s="9">
        <v>1.2183999999999999</v>
      </c>
      <c r="Q261" s="9">
        <v>30.645399999999999</v>
      </c>
      <c r="R261" s="9"/>
      <c r="S261" s="11"/>
    </row>
    <row r="262" spans="1:19" ht="15.75">
      <c r="A262" s="14">
        <v>49461</v>
      </c>
      <c r="B262" s="8">
        <f>CHOOSE( CONTROL!$C$32, 7.5342, 7.5294) * CHOOSE(CONTROL!$C$15, $D$11, 100%, $F$11)</f>
        <v>7.5342000000000002</v>
      </c>
      <c r="C262" s="8">
        <f>CHOOSE( CONTROL!$C$32, 7.5423, 7.5375) * CHOOSE(CONTROL!$C$15, $D$11, 100%, $F$11)</f>
        <v>7.5423</v>
      </c>
      <c r="D262" s="8">
        <f>CHOOSE( CONTROL!$C$32, 7.5638, 7.559) * CHOOSE( CONTROL!$C$15, $D$11, 100%, $F$11)</f>
        <v>7.5637999999999996</v>
      </c>
      <c r="E262" s="12">
        <f>CHOOSE( CONTROL!$C$32, 7.5548, 7.55) * CHOOSE( CONTROL!$C$15, $D$11, 100%, $F$11)</f>
        <v>7.5548000000000002</v>
      </c>
      <c r="F262" s="4">
        <f>CHOOSE( CONTROL!$C$32, 8.232, 8.2272) * CHOOSE(CONTROL!$C$15, $D$11, 100%, $F$11)</f>
        <v>8.2319999999999993</v>
      </c>
      <c r="G262" s="8">
        <f>CHOOSE( CONTROL!$C$32, 7.3455, 7.3408) * CHOOSE( CONTROL!$C$15, $D$11, 100%, $F$11)</f>
        <v>7.3455000000000004</v>
      </c>
      <c r="H262" s="4">
        <f>CHOOSE( CONTROL!$C$32, 8.275, 8.2703) * CHOOSE(CONTROL!$C$15, $D$11, 100%, $F$11)</f>
        <v>8.2750000000000004</v>
      </c>
      <c r="I262" s="8">
        <f>CHOOSE( CONTROL!$C$32, 7.3134, 7.3088) * CHOOSE(CONTROL!$C$15, $D$11, 100%, $F$11)</f>
        <v>7.3133999999999997</v>
      </c>
      <c r="J262" s="4">
        <f>CHOOSE( CONTROL!$C$32, 7.2044, 7.1998) * CHOOSE(CONTROL!$C$15, $D$11, 100%, $F$11)</f>
        <v>7.2043999999999997</v>
      </c>
      <c r="K262" s="4"/>
      <c r="L262" s="9">
        <v>29.7257</v>
      </c>
      <c r="M262" s="9">
        <v>11.6745</v>
      </c>
      <c r="N262" s="9">
        <v>4.7850000000000001</v>
      </c>
      <c r="O262" s="9">
        <v>0.36199999999999999</v>
      </c>
      <c r="P262" s="9">
        <v>1.1791</v>
      </c>
      <c r="Q262" s="9">
        <v>29.6568</v>
      </c>
      <c r="R262" s="9"/>
      <c r="S262" s="11"/>
    </row>
    <row r="263" spans="1:19" ht="15.75">
      <c r="A263" s="14">
        <v>49491</v>
      </c>
      <c r="B263" s="8">
        <f>CHOOSE( CONTROL!$C$32, 7.8569, 7.8521) * CHOOSE(CONTROL!$C$15, $D$11, 100%, $F$11)</f>
        <v>7.8569000000000004</v>
      </c>
      <c r="C263" s="8">
        <f>CHOOSE( CONTROL!$C$32, 7.865, 7.8602) * CHOOSE(CONTROL!$C$15, $D$11, 100%, $F$11)</f>
        <v>7.8650000000000002</v>
      </c>
      <c r="D263" s="8">
        <f>CHOOSE( CONTROL!$C$32, 7.8867, 7.8819) * CHOOSE( CONTROL!$C$15, $D$11, 100%, $F$11)</f>
        <v>7.8867000000000003</v>
      </c>
      <c r="E263" s="12">
        <f>CHOOSE( CONTROL!$C$32, 7.8776, 7.8728) * CHOOSE( CONTROL!$C$15, $D$11, 100%, $F$11)</f>
        <v>7.8776000000000002</v>
      </c>
      <c r="F263" s="4">
        <f>CHOOSE( CONTROL!$C$32, 8.5547, 8.5499) * CHOOSE(CONTROL!$C$15, $D$11, 100%, $F$11)</f>
        <v>8.5547000000000004</v>
      </c>
      <c r="G263" s="8">
        <f>CHOOSE( CONTROL!$C$32, 7.661, 7.6563) * CHOOSE( CONTROL!$C$15, $D$11, 100%, $F$11)</f>
        <v>7.6609999999999996</v>
      </c>
      <c r="H263" s="4">
        <f>CHOOSE( CONTROL!$C$32, 8.5902, 8.5855) * CHOOSE(CONTROL!$C$15, $D$11, 100%, $F$11)</f>
        <v>8.5901999999999994</v>
      </c>
      <c r="I263" s="8">
        <f>CHOOSE( CONTROL!$C$32, 7.6245, 7.6199) * CHOOSE(CONTROL!$C$15, $D$11, 100%, $F$11)</f>
        <v>7.6245000000000003</v>
      </c>
      <c r="J263" s="4">
        <f>CHOOSE( CONTROL!$C$32, 7.5142, 7.5096) * CHOOSE(CONTROL!$C$15, $D$11, 100%, $F$11)</f>
        <v>7.5141999999999998</v>
      </c>
      <c r="K263" s="4"/>
      <c r="L263" s="9">
        <v>30.7165</v>
      </c>
      <c r="M263" s="9">
        <v>12.063700000000001</v>
      </c>
      <c r="N263" s="9">
        <v>4.9444999999999997</v>
      </c>
      <c r="O263" s="9">
        <v>0.37409999999999999</v>
      </c>
      <c r="P263" s="9">
        <v>1.2183999999999999</v>
      </c>
      <c r="Q263" s="9">
        <v>30.645399999999999</v>
      </c>
      <c r="R263" s="9"/>
      <c r="S263" s="11"/>
    </row>
    <row r="264" spans="1:19" ht="15.75">
      <c r="A264" s="14">
        <v>49522</v>
      </c>
      <c r="B264" s="8">
        <f>CHOOSE( CONTROL!$C$32, 7.2531, 7.2483) * CHOOSE(CONTROL!$C$15, $D$11, 100%, $F$11)</f>
        <v>7.2530999999999999</v>
      </c>
      <c r="C264" s="8">
        <f>CHOOSE( CONTROL!$C$32, 7.2612, 7.2564) * CHOOSE(CONTROL!$C$15, $D$11, 100%, $F$11)</f>
        <v>7.2611999999999997</v>
      </c>
      <c r="D264" s="8">
        <f>CHOOSE( CONTROL!$C$32, 7.283, 7.2782) * CHOOSE( CONTROL!$C$15, $D$11, 100%, $F$11)</f>
        <v>7.2830000000000004</v>
      </c>
      <c r="E264" s="12">
        <f>CHOOSE( CONTROL!$C$32, 7.2739, 7.2691) * CHOOSE( CONTROL!$C$15, $D$11, 100%, $F$11)</f>
        <v>7.2739000000000003</v>
      </c>
      <c r="F264" s="4">
        <f>CHOOSE( CONTROL!$C$32, 7.951, 7.9461) * CHOOSE(CONTROL!$C$15, $D$11, 100%, $F$11)</f>
        <v>7.9509999999999996</v>
      </c>
      <c r="G264" s="8">
        <f>CHOOSE( CONTROL!$C$32, 7.0714, 7.0667) * CHOOSE( CONTROL!$C$15, $D$11, 100%, $F$11)</f>
        <v>7.0713999999999997</v>
      </c>
      <c r="H264" s="4">
        <f>CHOOSE( CONTROL!$C$32, 8.0005, 7.9958) * CHOOSE(CONTROL!$C$15, $D$11, 100%, $F$11)</f>
        <v>8.0005000000000006</v>
      </c>
      <c r="I264" s="8">
        <f>CHOOSE( CONTROL!$C$32, 7.0448, 7.0402) * CHOOSE(CONTROL!$C$15, $D$11, 100%, $F$11)</f>
        <v>7.0448000000000004</v>
      </c>
      <c r="J264" s="4">
        <f>CHOOSE( CONTROL!$C$32, 6.9345, 6.9299) * CHOOSE(CONTROL!$C$15, $D$11, 100%, $F$11)</f>
        <v>6.9344999999999999</v>
      </c>
      <c r="K264" s="4"/>
      <c r="L264" s="9">
        <v>30.7165</v>
      </c>
      <c r="M264" s="9">
        <v>12.063700000000001</v>
      </c>
      <c r="N264" s="9">
        <v>4.9444999999999997</v>
      </c>
      <c r="O264" s="9">
        <v>0.37409999999999999</v>
      </c>
      <c r="P264" s="9">
        <v>1.2183999999999999</v>
      </c>
      <c r="Q264" s="9">
        <v>30.645399999999999</v>
      </c>
      <c r="R264" s="9"/>
      <c r="S264" s="11"/>
    </row>
    <row r="265" spans="1:19" ht="15.75">
      <c r="A265" s="14">
        <v>49553</v>
      </c>
      <c r="B265" s="8">
        <f>CHOOSE( CONTROL!$C$32, 7.102, 7.0971) * CHOOSE(CONTROL!$C$15, $D$11, 100%, $F$11)</f>
        <v>7.1020000000000003</v>
      </c>
      <c r="C265" s="8">
        <f>CHOOSE( CONTROL!$C$32, 7.11, 7.1052) * CHOOSE(CONTROL!$C$15, $D$11, 100%, $F$11)</f>
        <v>7.11</v>
      </c>
      <c r="D265" s="8">
        <f>CHOOSE( CONTROL!$C$32, 7.1318, 7.127) * CHOOSE( CONTROL!$C$15, $D$11, 100%, $F$11)</f>
        <v>7.1318000000000001</v>
      </c>
      <c r="E265" s="12">
        <f>CHOOSE( CONTROL!$C$32, 7.1227, 7.1179) * CHOOSE( CONTROL!$C$15, $D$11, 100%, $F$11)</f>
        <v>7.1227</v>
      </c>
      <c r="F265" s="4">
        <f>CHOOSE( CONTROL!$C$32, 7.7998, 7.7949) * CHOOSE(CONTROL!$C$15, $D$11, 100%, $F$11)</f>
        <v>7.7998000000000003</v>
      </c>
      <c r="G265" s="8">
        <f>CHOOSE( CONTROL!$C$32, 6.9237, 6.919) * CHOOSE( CONTROL!$C$15, $D$11, 100%, $F$11)</f>
        <v>6.9237000000000002</v>
      </c>
      <c r="H265" s="4">
        <f>CHOOSE( CONTROL!$C$32, 7.8528, 7.8481) * CHOOSE(CONTROL!$C$15, $D$11, 100%, $F$11)</f>
        <v>7.8528000000000002</v>
      </c>
      <c r="I265" s="8">
        <f>CHOOSE( CONTROL!$C$32, 6.8995, 6.8949) * CHOOSE(CONTROL!$C$15, $D$11, 100%, $F$11)</f>
        <v>6.8994999999999997</v>
      </c>
      <c r="J265" s="4">
        <f>CHOOSE( CONTROL!$C$32, 6.7894, 6.7847) * CHOOSE(CONTROL!$C$15, $D$11, 100%, $F$11)</f>
        <v>6.7893999999999997</v>
      </c>
      <c r="K265" s="4"/>
      <c r="L265" s="9">
        <v>29.7257</v>
      </c>
      <c r="M265" s="9">
        <v>11.6745</v>
      </c>
      <c r="N265" s="9">
        <v>4.7850000000000001</v>
      </c>
      <c r="O265" s="9">
        <v>0.36199999999999999</v>
      </c>
      <c r="P265" s="9">
        <v>1.1791</v>
      </c>
      <c r="Q265" s="9">
        <v>29.6568</v>
      </c>
      <c r="R265" s="9"/>
      <c r="S265" s="11"/>
    </row>
    <row r="266" spans="1:19" ht="15.75">
      <c r="A266" s="14">
        <v>49583</v>
      </c>
      <c r="B266" s="8">
        <f>7.4093 * CHOOSE(CONTROL!$C$15, $D$11, 100%, $F$11)</f>
        <v>7.4093</v>
      </c>
      <c r="C266" s="8">
        <f>7.4148 * CHOOSE(CONTROL!$C$15, $D$11, 100%, $F$11)</f>
        <v>7.4147999999999996</v>
      </c>
      <c r="D266" s="8">
        <f>7.4412 * CHOOSE( CONTROL!$C$15, $D$11, 100%, $F$11)</f>
        <v>7.4412000000000003</v>
      </c>
      <c r="E266" s="12">
        <f>7.4319 * CHOOSE( CONTROL!$C$15, $D$11, 100%, $F$11)</f>
        <v>7.4318999999999997</v>
      </c>
      <c r="F266" s="4">
        <f>8.1089 * CHOOSE(CONTROL!$C$15, $D$11, 100%, $F$11)</f>
        <v>8.1089000000000002</v>
      </c>
      <c r="G266" s="8">
        <f>7.2248 * CHOOSE( CONTROL!$C$15, $D$11, 100%, $F$11)</f>
        <v>7.2248000000000001</v>
      </c>
      <c r="H266" s="4">
        <f>8.1547 * CHOOSE(CONTROL!$C$15, $D$11, 100%, $F$11)</f>
        <v>8.1547000000000001</v>
      </c>
      <c r="I266" s="8">
        <f>7.1972 * CHOOSE(CONTROL!$C$15, $D$11, 100%, $F$11)</f>
        <v>7.1971999999999996</v>
      </c>
      <c r="J266" s="4">
        <f>7.0861 * CHOOSE(CONTROL!$C$15, $D$11, 100%, $F$11)</f>
        <v>7.0861000000000001</v>
      </c>
      <c r="K266" s="4"/>
      <c r="L266" s="9">
        <v>31.095300000000002</v>
      </c>
      <c r="M266" s="9">
        <v>12.063700000000001</v>
      </c>
      <c r="N266" s="9">
        <v>4.9444999999999997</v>
      </c>
      <c r="O266" s="9">
        <v>0.37409999999999999</v>
      </c>
      <c r="P266" s="9">
        <v>1.2183999999999999</v>
      </c>
      <c r="Q266" s="9">
        <v>30.645399999999999</v>
      </c>
      <c r="R266" s="9"/>
      <c r="S266" s="11"/>
    </row>
    <row r="267" spans="1:19" ht="15.75">
      <c r="A267" s="14">
        <v>49614</v>
      </c>
      <c r="B267" s="8">
        <f>7.9884 * CHOOSE(CONTROL!$C$15, $D$11, 100%, $F$11)</f>
        <v>7.9884000000000004</v>
      </c>
      <c r="C267" s="8">
        <f>7.9935 * CHOOSE(CONTROL!$C$15, $D$11, 100%, $F$11)</f>
        <v>7.9935</v>
      </c>
      <c r="D267" s="8">
        <f>7.9828 * CHOOSE( CONTROL!$C$15, $D$11, 100%, $F$11)</f>
        <v>7.9828000000000001</v>
      </c>
      <c r="E267" s="12">
        <f>7.9862 * CHOOSE( CONTROL!$C$15, $D$11, 100%, $F$11)</f>
        <v>7.9862000000000002</v>
      </c>
      <c r="F267" s="4">
        <f>8.6373 * CHOOSE(CONTROL!$C$15, $D$11, 100%, $F$11)</f>
        <v>8.6372999999999998</v>
      </c>
      <c r="G267" s="8">
        <f>7.7953 * CHOOSE( CONTROL!$C$15, $D$11, 100%, $F$11)</f>
        <v>7.7953000000000001</v>
      </c>
      <c r="H267" s="4">
        <f>8.6708 * CHOOSE(CONTROL!$C$15, $D$11, 100%, $F$11)</f>
        <v>8.6707999999999998</v>
      </c>
      <c r="I267" s="8">
        <f>7.7793 * CHOOSE(CONTROL!$C$15, $D$11, 100%, $F$11)</f>
        <v>7.7793000000000001</v>
      </c>
      <c r="J267" s="4">
        <f>7.6424 * CHOOSE(CONTROL!$C$15, $D$11, 100%, $F$11)</f>
        <v>7.6424000000000003</v>
      </c>
      <c r="K267" s="4"/>
      <c r="L267" s="9">
        <v>28.360600000000002</v>
      </c>
      <c r="M267" s="9">
        <v>11.6745</v>
      </c>
      <c r="N267" s="9">
        <v>4.7850000000000001</v>
      </c>
      <c r="O267" s="9">
        <v>0.36199999999999999</v>
      </c>
      <c r="P267" s="9">
        <v>1.2509999999999999</v>
      </c>
      <c r="Q267" s="9">
        <v>29.6568</v>
      </c>
      <c r="R267" s="9"/>
      <c r="S267" s="11"/>
    </row>
    <row r="268" spans="1:19" ht="15.75">
      <c r="A268" s="14">
        <v>49644</v>
      </c>
      <c r="B268" s="8">
        <f>7.9739 * CHOOSE(CONTROL!$C$15, $D$11, 100%, $F$11)</f>
        <v>7.9739000000000004</v>
      </c>
      <c r="C268" s="8">
        <f>7.9791 * CHOOSE(CONTROL!$C$15, $D$11, 100%, $F$11)</f>
        <v>7.9790999999999999</v>
      </c>
      <c r="D268" s="8">
        <f>7.9697 * CHOOSE( CONTROL!$C$15, $D$11, 100%, $F$11)</f>
        <v>7.9696999999999996</v>
      </c>
      <c r="E268" s="12">
        <f>7.9726 * CHOOSE( CONTROL!$C$15, $D$11, 100%, $F$11)</f>
        <v>7.9725999999999999</v>
      </c>
      <c r="F268" s="4">
        <f>8.6228 * CHOOSE(CONTROL!$C$15, $D$11, 100%, $F$11)</f>
        <v>8.6227999999999998</v>
      </c>
      <c r="G268" s="8">
        <f>7.7822 * CHOOSE( CONTROL!$C$15, $D$11, 100%, $F$11)</f>
        <v>7.7821999999999996</v>
      </c>
      <c r="H268" s="4">
        <f>8.6567 * CHOOSE(CONTROL!$C$15, $D$11, 100%, $F$11)</f>
        <v>8.6567000000000007</v>
      </c>
      <c r="I268" s="8">
        <f>7.7698 * CHOOSE(CONTROL!$C$15, $D$11, 100%, $F$11)</f>
        <v>7.7698</v>
      </c>
      <c r="J268" s="4">
        <f>7.6285 * CHOOSE(CONTROL!$C$15, $D$11, 100%, $F$11)</f>
        <v>7.6284999999999998</v>
      </c>
      <c r="K268" s="4"/>
      <c r="L268" s="9">
        <v>29.306000000000001</v>
      </c>
      <c r="M268" s="9">
        <v>12.063700000000001</v>
      </c>
      <c r="N268" s="9">
        <v>4.9444999999999997</v>
      </c>
      <c r="O268" s="9">
        <v>0.37409999999999999</v>
      </c>
      <c r="P268" s="9">
        <v>1.2927</v>
      </c>
      <c r="Q268" s="9">
        <v>30.645399999999999</v>
      </c>
      <c r="R268" s="9"/>
      <c r="S268" s="11"/>
    </row>
    <row r="269" spans="1:19" ht="15.75">
      <c r="A269" s="14">
        <v>49675</v>
      </c>
      <c r="B269" s="8">
        <f>8.2776 * CHOOSE(CONTROL!$C$15, $D$11, 100%, $F$11)</f>
        <v>8.2775999999999996</v>
      </c>
      <c r="C269" s="8">
        <f>8.2827 * CHOOSE(CONTROL!$C$15, $D$11, 100%, $F$11)</f>
        <v>8.2827000000000002</v>
      </c>
      <c r="D269" s="8">
        <f>8.2692 * CHOOSE( CONTROL!$C$15, $D$11, 100%, $F$11)</f>
        <v>8.2691999999999997</v>
      </c>
      <c r="E269" s="12">
        <f>8.2736 * CHOOSE( CONTROL!$C$15, $D$11, 100%, $F$11)</f>
        <v>8.2736000000000001</v>
      </c>
      <c r="F269" s="4">
        <f>8.9265 * CHOOSE(CONTROL!$C$15, $D$11, 100%, $F$11)</f>
        <v>8.9265000000000008</v>
      </c>
      <c r="G269" s="8">
        <f>8.0725 * CHOOSE( CONTROL!$C$15, $D$11, 100%, $F$11)</f>
        <v>8.0724999999999998</v>
      </c>
      <c r="H269" s="4">
        <f>8.9533 * CHOOSE(CONTROL!$C$15, $D$11, 100%, $F$11)</f>
        <v>8.9533000000000005</v>
      </c>
      <c r="I269" s="8">
        <f>8.0378 * CHOOSE(CONTROL!$C$15, $D$11, 100%, $F$11)</f>
        <v>8.0378000000000007</v>
      </c>
      <c r="J269" s="4">
        <f>7.9201 * CHOOSE(CONTROL!$C$15, $D$11, 100%, $F$11)</f>
        <v>7.9200999999999997</v>
      </c>
      <c r="K269" s="4"/>
      <c r="L269" s="9">
        <v>29.306000000000001</v>
      </c>
      <c r="M269" s="9">
        <v>12.063700000000001</v>
      </c>
      <c r="N269" s="9">
        <v>4.9444999999999997</v>
      </c>
      <c r="O269" s="9">
        <v>0.37409999999999999</v>
      </c>
      <c r="P269" s="9">
        <v>1.2927</v>
      </c>
      <c r="Q269" s="9">
        <v>30.580300000000001</v>
      </c>
      <c r="R269" s="9"/>
      <c r="S269" s="11"/>
    </row>
    <row r="270" spans="1:19" ht="15.75">
      <c r="A270" s="14">
        <v>49706</v>
      </c>
      <c r="B270" s="8">
        <f>7.7443 * CHOOSE(CONTROL!$C$15, $D$11, 100%, $F$11)</f>
        <v>7.7443</v>
      </c>
      <c r="C270" s="8">
        <f>7.7494 * CHOOSE(CONTROL!$C$15, $D$11, 100%, $F$11)</f>
        <v>7.7493999999999996</v>
      </c>
      <c r="D270" s="8">
        <f>7.7359 * CHOOSE( CONTROL!$C$15, $D$11, 100%, $F$11)</f>
        <v>7.7359</v>
      </c>
      <c r="E270" s="12">
        <f>7.7403 * CHOOSE( CONTROL!$C$15, $D$11, 100%, $F$11)</f>
        <v>7.7403000000000004</v>
      </c>
      <c r="F270" s="4">
        <f>8.3932 * CHOOSE(CONTROL!$C$15, $D$11, 100%, $F$11)</f>
        <v>8.3932000000000002</v>
      </c>
      <c r="G270" s="8">
        <f>7.5516 * CHOOSE( CONTROL!$C$15, $D$11, 100%, $F$11)</f>
        <v>7.5515999999999996</v>
      </c>
      <c r="H270" s="4">
        <f>8.4324 * CHOOSE(CONTROL!$C$15, $D$11, 100%, $F$11)</f>
        <v>8.4323999999999995</v>
      </c>
      <c r="I270" s="8">
        <f>7.5255 * CHOOSE(CONTROL!$C$15, $D$11, 100%, $F$11)</f>
        <v>7.5255000000000001</v>
      </c>
      <c r="J270" s="4">
        <f>7.4081 * CHOOSE(CONTROL!$C$15, $D$11, 100%, $F$11)</f>
        <v>7.4081000000000001</v>
      </c>
      <c r="K270" s="4"/>
      <c r="L270" s="9">
        <v>27.415299999999998</v>
      </c>
      <c r="M270" s="9">
        <v>11.285299999999999</v>
      </c>
      <c r="N270" s="9">
        <v>4.6254999999999997</v>
      </c>
      <c r="O270" s="9">
        <v>0.34989999999999999</v>
      </c>
      <c r="P270" s="9">
        <v>1.2093</v>
      </c>
      <c r="Q270" s="9">
        <v>28.607299999999999</v>
      </c>
      <c r="R270" s="9"/>
      <c r="S270" s="11"/>
    </row>
    <row r="271" spans="1:19" ht="15.75">
      <c r="A271" s="14">
        <v>49735</v>
      </c>
      <c r="B271" s="8">
        <f>7.58 * CHOOSE(CONTROL!$C$15, $D$11, 100%, $F$11)</f>
        <v>7.58</v>
      </c>
      <c r="C271" s="8">
        <f>7.5852 * CHOOSE(CONTROL!$C$15, $D$11, 100%, $F$11)</f>
        <v>7.5852000000000004</v>
      </c>
      <c r="D271" s="8">
        <f>7.5714 * CHOOSE( CONTROL!$C$15, $D$11, 100%, $F$11)</f>
        <v>7.5713999999999997</v>
      </c>
      <c r="E271" s="12">
        <f>7.5759 * CHOOSE( CONTROL!$C$15, $D$11, 100%, $F$11)</f>
        <v>7.5758999999999999</v>
      </c>
      <c r="F271" s="4">
        <f>8.2289 * CHOOSE(CONTROL!$C$15, $D$11, 100%, $F$11)</f>
        <v>8.2288999999999994</v>
      </c>
      <c r="G271" s="8">
        <f>7.391 * CHOOSE( CONTROL!$C$15, $D$11, 100%, $F$11)</f>
        <v>7.391</v>
      </c>
      <c r="H271" s="4">
        <f>8.272 * CHOOSE(CONTROL!$C$15, $D$11, 100%, $F$11)</f>
        <v>8.2720000000000002</v>
      </c>
      <c r="I271" s="8">
        <f>7.3667 * CHOOSE(CONTROL!$C$15, $D$11, 100%, $F$11)</f>
        <v>7.3666999999999998</v>
      </c>
      <c r="J271" s="4">
        <f>7.2504 * CHOOSE(CONTROL!$C$15, $D$11, 100%, $F$11)</f>
        <v>7.2504</v>
      </c>
      <c r="K271" s="4"/>
      <c r="L271" s="9">
        <v>29.306000000000001</v>
      </c>
      <c r="M271" s="9">
        <v>12.063700000000001</v>
      </c>
      <c r="N271" s="9">
        <v>4.9444999999999997</v>
      </c>
      <c r="O271" s="9">
        <v>0.37409999999999999</v>
      </c>
      <c r="P271" s="9">
        <v>1.2927</v>
      </c>
      <c r="Q271" s="9">
        <v>30.580300000000001</v>
      </c>
      <c r="R271" s="9"/>
      <c r="S271" s="11"/>
    </row>
    <row r="272" spans="1:19" ht="15.75">
      <c r="A272" s="14">
        <v>49766</v>
      </c>
      <c r="B272" s="8">
        <f>7.6955 * CHOOSE(CONTROL!$C$15, $D$11, 100%, $F$11)</f>
        <v>7.6955</v>
      </c>
      <c r="C272" s="8">
        <f>7.7002 * CHOOSE(CONTROL!$C$15, $D$11, 100%, $F$11)</f>
        <v>7.7001999999999997</v>
      </c>
      <c r="D272" s="8">
        <f>7.7265 * CHOOSE( CONTROL!$C$15, $D$11, 100%, $F$11)</f>
        <v>7.7264999999999997</v>
      </c>
      <c r="E272" s="12">
        <f>7.7173 * CHOOSE( CONTROL!$C$15, $D$11, 100%, $F$11)</f>
        <v>7.7172999999999998</v>
      </c>
      <c r="F272" s="4">
        <f>8.3947 * CHOOSE(CONTROL!$C$15, $D$11, 100%, $F$11)</f>
        <v>8.3947000000000003</v>
      </c>
      <c r="G272" s="8">
        <f>7.5031 * CHOOSE( CONTROL!$C$15, $D$11, 100%, $F$11)</f>
        <v>7.5030999999999999</v>
      </c>
      <c r="H272" s="4">
        <f>8.4339 * CHOOSE(CONTROL!$C$15, $D$11, 100%, $F$11)</f>
        <v>8.4338999999999995</v>
      </c>
      <c r="I272" s="8">
        <f>7.4688 * CHOOSE(CONTROL!$C$15, $D$11, 100%, $F$11)</f>
        <v>7.4687999999999999</v>
      </c>
      <c r="J272" s="4">
        <f>7.3606 * CHOOSE(CONTROL!$C$15, $D$11, 100%, $F$11)</f>
        <v>7.3605999999999998</v>
      </c>
      <c r="K272" s="4"/>
      <c r="L272" s="9">
        <v>30.092199999999998</v>
      </c>
      <c r="M272" s="9">
        <v>11.6745</v>
      </c>
      <c r="N272" s="9">
        <v>4.7850000000000001</v>
      </c>
      <c r="O272" s="9">
        <v>0.36199999999999999</v>
      </c>
      <c r="P272" s="9">
        <v>1.1791</v>
      </c>
      <c r="Q272" s="9">
        <v>29.593800000000002</v>
      </c>
      <c r="R272" s="9"/>
      <c r="S272" s="11"/>
    </row>
    <row r="273" spans="1:19" ht="15.75">
      <c r="A273" s="14">
        <v>49796</v>
      </c>
      <c r="B273" s="8">
        <f>CHOOSE( CONTROL!$C$32, 7.906, 7.9012) * CHOOSE(CONTROL!$C$15, $D$11, 100%, $F$11)</f>
        <v>7.9059999999999997</v>
      </c>
      <c r="C273" s="8">
        <f>CHOOSE( CONTROL!$C$32, 7.9141, 7.9093) * CHOOSE(CONTROL!$C$15, $D$11, 100%, $F$11)</f>
        <v>7.9141000000000004</v>
      </c>
      <c r="D273" s="8">
        <f>CHOOSE( CONTROL!$C$32, 7.9354, 7.9306) * CHOOSE( CONTROL!$C$15, $D$11, 100%, $F$11)</f>
        <v>7.9353999999999996</v>
      </c>
      <c r="E273" s="12">
        <f>CHOOSE( CONTROL!$C$32, 7.9264, 7.9216) * CHOOSE( CONTROL!$C$15, $D$11, 100%, $F$11)</f>
        <v>7.9264000000000001</v>
      </c>
      <c r="F273" s="4">
        <f>CHOOSE( CONTROL!$C$32, 8.6038, 8.599) * CHOOSE(CONTROL!$C$15, $D$11, 100%, $F$11)</f>
        <v>8.6037999999999997</v>
      </c>
      <c r="G273" s="8">
        <f>CHOOSE( CONTROL!$C$32, 7.7083, 7.7036) * CHOOSE( CONTROL!$C$15, $D$11, 100%, $F$11)</f>
        <v>7.7083000000000004</v>
      </c>
      <c r="H273" s="4">
        <f>CHOOSE( CONTROL!$C$32, 8.6382, 8.6334) * CHOOSE(CONTROL!$C$15, $D$11, 100%, $F$11)</f>
        <v>8.6381999999999994</v>
      </c>
      <c r="I273" s="8">
        <f>CHOOSE( CONTROL!$C$32, 7.6696, 7.665) * CHOOSE(CONTROL!$C$15, $D$11, 100%, $F$11)</f>
        <v>7.6696</v>
      </c>
      <c r="J273" s="4">
        <f>CHOOSE( CONTROL!$C$32, 7.5613, 7.5567) * CHOOSE(CONTROL!$C$15, $D$11, 100%, $F$11)</f>
        <v>7.5613000000000001</v>
      </c>
      <c r="K273" s="4"/>
      <c r="L273" s="9">
        <v>30.7165</v>
      </c>
      <c r="M273" s="9">
        <v>12.063700000000001</v>
      </c>
      <c r="N273" s="9">
        <v>4.9444999999999997</v>
      </c>
      <c r="O273" s="9">
        <v>0.37409999999999999</v>
      </c>
      <c r="P273" s="9">
        <v>1.2183999999999999</v>
      </c>
      <c r="Q273" s="9">
        <v>30.580300000000001</v>
      </c>
      <c r="R273" s="9"/>
      <c r="S273" s="11"/>
    </row>
    <row r="274" spans="1:19" ht="15.75">
      <c r="A274" s="14">
        <v>49827</v>
      </c>
      <c r="B274" s="8">
        <f>CHOOSE( CONTROL!$C$32, 7.7795, 7.7746) * CHOOSE(CONTROL!$C$15, $D$11, 100%, $F$11)</f>
        <v>7.7794999999999996</v>
      </c>
      <c r="C274" s="8">
        <f>CHOOSE( CONTROL!$C$32, 7.7876, 7.7827) * CHOOSE(CONTROL!$C$15, $D$11, 100%, $F$11)</f>
        <v>7.7876000000000003</v>
      </c>
      <c r="D274" s="8">
        <f>CHOOSE( CONTROL!$C$32, 7.8091, 7.8042) * CHOOSE( CONTROL!$C$15, $D$11, 100%, $F$11)</f>
        <v>7.8090999999999999</v>
      </c>
      <c r="E274" s="12">
        <f>CHOOSE( CONTROL!$C$32, 7.8001, 7.7952) * CHOOSE( CONTROL!$C$15, $D$11, 100%, $F$11)</f>
        <v>7.8000999999999996</v>
      </c>
      <c r="F274" s="4">
        <f>CHOOSE( CONTROL!$C$32, 8.4773, 8.4725) * CHOOSE(CONTROL!$C$15, $D$11, 100%, $F$11)</f>
        <v>8.4772999999999996</v>
      </c>
      <c r="G274" s="8">
        <f>CHOOSE( CONTROL!$C$32, 7.585, 7.5803) * CHOOSE( CONTROL!$C$15, $D$11, 100%, $F$11)</f>
        <v>7.585</v>
      </c>
      <c r="H274" s="4">
        <f>CHOOSE( CONTROL!$C$32, 8.5146, 8.5098) * CHOOSE(CONTROL!$C$15, $D$11, 100%, $F$11)</f>
        <v>8.5145999999999997</v>
      </c>
      <c r="I274" s="8">
        <f>CHOOSE( CONTROL!$C$32, 7.549, 7.5444) * CHOOSE(CONTROL!$C$15, $D$11, 100%, $F$11)</f>
        <v>7.5490000000000004</v>
      </c>
      <c r="J274" s="4">
        <f>CHOOSE( CONTROL!$C$32, 7.4399, 7.4352) * CHOOSE(CONTROL!$C$15, $D$11, 100%, $F$11)</f>
        <v>7.4398999999999997</v>
      </c>
      <c r="K274" s="4"/>
      <c r="L274" s="9">
        <v>29.7257</v>
      </c>
      <c r="M274" s="9">
        <v>11.6745</v>
      </c>
      <c r="N274" s="9">
        <v>4.7850000000000001</v>
      </c>
      <c r="O274" s="9">
        <v>0.36199999999999999</v>
      </c>
      <c r="P274" s="9">
        <v>1.1791</v>
      </c>
      <c r="Q274" s="9">
        <v>29.593800000000002</v>
      </c>
      <c r="R274" s="9"/>
      <c r="S274" s="11"/>
    </row>
    <row r="275" spans="1:19" ht="15.75">
      <c r="A275" s="14">
        <v>49857</v>
      </c>
      <c r="B275" s="8">
        <f>CHOOSE( CONTROL!$C$32, 8.1127, 8.1079) * CHOOSE(CONTROL!$C$15, $D$11, 100%, $F$11)</f>
        <v>8.1127000000000002</v>
      </c>
      <c r="C275" s="8">
        <f>CHOOSE( CONTROL!$C$32, 8.1208, 8.116) * CHOOSE(CONTROL!$C$15, $D$11, 100%, $F$11)</f>
        <v>8.1207999999999991</v>
      </c>
      <c r="D275" s="8">
        <f>CHOOSE( CONTROL!$C$32, 8.1425, 8.1377) * CHOOSE( CONTROL!$C$15, $D$11, 100%, $F$11)</f>
        <v>8.1425000000000001</v>
      </c>
      <c r="E275" s="12">
        <f>CHOOSE( CONTROL!$C$32, 8.1334, 8.1286) * CHOOSE( CONTROL!$C$15, $D$11, 100%, $F$11)</f>
        <v>8.1334</v>
      </c>
      <c r="F275" s="4">
        <f>CHOOSE( CONTROL!$C$32, 8.8105, 8.8057) * CHOOSE(CONTROL!$C$15, $D$11, 100%, $F$11)</f>
        <v>8.8104999999999993</v>
      </c>
      <c r="G275" s="8">
        <f>CHOOSE( CONTROL!$C$32, 7.9108, 7.9061) * CHOOSE( CONTROL!$C$15, $D$11, 100%, $F$11)</f>
        <v>7.9108000000000001</v>
      </c>
      <c r="H275" s="4">
        <f>CHOOSE( CONTROL!$C$32, 8.84, 8.8353) * CHOOSE(CONTROL!$C$15, $D$11, 100%, $F$11)</f>
        <v>8.84</v>
      </c>
      <c r="I275" s="8">
        <f>CHOOSE( CONTROL!$C$32, 7.8702, 7.8656) * CHOOSE(CONTROL!$C$15, $D$11, 100%, $F$11)</f>
        <v>7.8701999999999996</v>
      </c>
      <c r="J275" s="4">
        <f>CHOOSE( CONTROL!$C$32, 7.7598, 7.7552) * CHOOSE(CONTROL!$C$15, $D$11, 100%, $F$11)</f>
        <v>7.7598000000000003</v>
      </c>
      <c r="K275" s="4"/>
      <c r="L275" s="9">
        <v>30.7165</v>
      </c>
      <c r="M275" s="9">
        <v>12.063700000000001</v>
      </c>
      <c r="N275" s="9">
        <v>4.9444999999999997</v>
      </c>
      <c r="O275" s="9">
        <v>0.37409999999999999</v>
      </c>
      <c r="P275" s="9">
        <v>1.2183999999999999</v>
      </c>
      <c r="Q275" s="9">
        <v>30.580300000000001</v>
      </c>
      <c r="R275" s="9"/>
      <c r="S275" s="11"/>
    </row>
    <row r="276" spans="1:19" ht="15.75">
      <c r="A276" s="14">
        <v>49888</v>
      </c>
      <c r="B276" s="8">
        <f>CHOOSE( CONTROL!$C$32, 7.4892, 7.4844) * CHOOSE(CONTROL!$C$15, $D$11, 100%, $F$11)</f>
        <v>7.4892000000000003</v>
      </c>
      <c r="C276" s="8">
        <f>CHOOSE( CONTROL!$C$32, 7.4973, 7.4924) * CHOOSE(CONTROL!$C$15, $D$11, 100%, $F$11)</f>
        <v>7.4973000000000001</v>
      </c>
      <c r="D276" s="8">
        <f>CHOOSE( CONTROL!$C$32, 7.5191, 7.5143) * CHOOSE( CONTROL!$C$15, $D$11, 100%, $F$11)</f>
        <v>7.5190999999999999</v>
      </c>
      <c r="E276" s="12">
        <f>CHOOSE( CONTROL!$C$32, 7.51, 7.5051) * CHOOSE( CONTROL!$C$15, $D$11, 100%, $F$11)</f>
        <v>7.51</v>
      </c>
      <c r="F276" s="4">
        <f>CHOOSE( CONTROL!$C$32, 8.187, 8.1822) * CHOOSE(CONTROL!$C$15, $D$11, 100%, $F$11)</f>
        <v>8.1869999999999994</v>
      </c>
      <c r="G276" s="8">
        <f>CHOOSE( CONTROL!$C$32, 7.3019, 7.2972) * CHOOSE( CONTROL!$C$15, $D$11, 100%, $F$11)</f>
        <v>7.3018999999999998</v>
      </c>
      <c r="H276" s="4">
        <f>CHOOSE( CONTROL!$C$32, 8.231, 8.2263) * CHOOSE(CONTROL!$C$15, $D$11, 100%, $F$11)</f>
        <v>8.2309999999999999</v>
      </c>
      <c r="I276" s="8">
        <f>CHOOSE( CONTROL!$C$32, 7.2716, 7.2669) * CHOOSE(CONTROL!$C$15, $D$11, 100%, $F$11)</f>
        <v>7.2716000000000003</v>
      </c>
      <c r="J276" s="4">
        <f>CHOOSE( CONTROL!$C$32, 7.1612, 7.1565) * CHOOSE(CONTROL!$C$15, $D$11, 100%, $F$11)</f>
        <v>7.1612</v>
      </c>
      <c r="K276" s="4"/>
      <c r="L276" s="9">
        <v>30.7165</v>
      </c>
      <c r="M276" s="9">
        <v>12.063700000000001</v>
      </c>
      <c r="N276" s="9">
        <v>4.9444999999999997</v>
      </c>
      <c r="O276" s="9">
        <v>0.37409999999999999</v>
      </c>
      <c r="P276" s="9">
        <v>1.2183999999999999</v>
      </c>
      <c r="Q276" s="9">
        <v>30.580300000000001</v>
      </c>
      <c r="R276" s="9"/>
      <c r="S276" s="11"/>
    </row>
    <row r="277" spans="1:19" ht="15.75">
      <c r="A277" s="14">
        <v>49919</v>
      </c>
      <c r="B277" s="8">
        <f>CHOOSE( CONTROL!$C$32, 7.3331, 7.3282) * CHOOSE(CONTROL!$C$15, $D$11, 100%, $F$11)</f>
        <v>7.3331</v>
      </c>
      <c r="C277" s="8">
        <f>CHOOSE( CONTROL!$C$32, 7.3411, 7.3363) * CHOOSE(CONTROL!$C$15, $D$11, 100%, $F$11)</f>
        <v>7.3411</v>
      </c>
      <c r="D277" s="8">
        <f>CHOOSE( CONTROL!$C$32, 7.3629, 7.3581) * CHOOSE( CONTROL!$C$15, $D$11, 100%, $F$11)</f>
        <v>7.3628999999999998</v>
      </c>
      <c r="E277" s="12">
        <f>CHOOSE( CONTROL!$C$32, 7.3538, 7.349) * CHOOSE( CONTROL!$C$15, $D$11, 100%, $F$11)</f>
        <v>7.3537999999999997</v>
      </c>
      <c r="F277" s="4">
        <f>CHOOSE( CONTROL!$C$32, 8.0309, 8.026) * CHOOSE(CONTROL!$C$15, $D$11, 100%, $F$11)</f>
        <v>8.0309000000000008</v>
      </c>
      <c r="G277" s="8">
        <f>CHOOSE( CONTROL!$C$32, 7.1494, 7.1447) * CHOOSE( CONTROL!$C$15, $D$11, 100%, $F$11)</f>
        <v>7.1494</v>
      </c>
      <c r="H277" s="4">
        <f>CHOOSE( CONTROL!$C$32, 8.0785, 8.0738) * CHOOSE(CONTROL!$C$15, $D$11, 100%, $F$11)</f>
        <v>8.0785</v>
      </c>
      <c r="I277" s="8">
        <f>CHOOSE( CONTROL!$C$32, 7.1215, 7.1169) * CHOOSE(CONTROL!$C$15, $D$11, 100%, $F$11)</f>
        <v>7.1215000000000002</v>
      </c>
      <c r="J277" s="4">
        <f>CHOOSE( CONTROL!$C$32, 7.0112, 7.0066) * CHOOSE(CONTROL!$C$15, $D$11, 100%, $F$11)</f>
        <v>7.0111999999999997</v>
      </c>
      <c r="K277" s="4"/>
      <c r="L277" s="9">
        <v>29.7257</v>
      </c>
      <c r="M277" s="9">
        <v>11.6745</v>
      </c>
      <c r="N277" s="9">
        <v>4.7850000000000001</v>
      </c>
      <c r="O277" s="9">
        <v>0.36199999999999999</v>
      </c>
      <c r="P277" s="9">
        <v>1.1791</v>
      </c>
      <c r="Q277" s="9">
        <v>29.593800000000002</v>
      </c>
      <c r="R277" s="9"/>
      <c r="S277" s="11"/>
    </row>
    <row r="278" spans="1:19" ht="15.75">
      <c r="A278" s="14">
        <v>49949</v>
      </c>
      <c r="B278" s="8">
        <f>7.6507 * CHOOSE(CONTROL!$C$15, $D$11, 100%, $F$11)</f>
        <v>7.6506999999999996</v>
      </c>
      <c r="C278" s="8">
        <f>7.6561 * CHOOSE(CONTROL!$C$15, $D$11, 100%, $F$11)</f>
        <v>7.6561000000000003</v>
      </c>
      <c r="D278" s="8">
        <f>7.6826 * CHOOSE( CONTROL!$C$15, $D$11, 100%, $F$11)</f>
        <v>7.6825999999999999</v>
      </c>
      <c r="E278" s="12">
        <f>7.6733 * CHOOSE( CONTROL!$C$15, $D$11, 100%, $F$11)</f>
        <v>7.6733000000000002</v>
      </c>
      <c r="F278" s="4">
        <f>8.3502 * CHOOSE(CONTROL!$C$15, $D$11, 100%, $F$11)</f>
        <v>8.3501999999999992</v>
      </c>
      <c r="G278" s="8">
        <f>7.4606 * CHOOSE( CONTROL!$C$15, $D$11, 100%, $F$11)</f>
        <v>7.4606000000000003</v>
      </c>
      <c r="H278" s="4">
        <f>8.3905 * CHOOSE(CONTROL!$C$15, $D$11, 100%, $F$11)</f>
        <v>8.3904999999999994</v>
      </c>
      <c r="I278" s="8">
        <f>7.429 * CHOOSE(CONTROL!$C$15, $D$11, 100%, $F$11)</f>
        <v>7.4290000000000003</v>
      </c>
      <c r="J278" s="4">
        <f>7.3179 * CHOOSE(CONTROL!$C$15, $D$11, 100%, $F$11)</f>
        <v>7.3178999999999998</v>
      </c>
      <c r="K278" s="4"/>
      <c r="L278" s="9">
        <v>31.095300000000002</v>
      </c>
      <c r="M278" s="9">
        <v>12.063700000000001</v>
      </c>
      <c r="N278" s="9">
        <v>4.9444999999999997</v>
      </c>
      <c r="O278" s="9">
        <v>0.37409999999999999</v>
      </c>
      <c r="P278" s="9">
        <v>1.2183999999999999</v>
      </c>
      <c r="Q278" s="9">
        <v>30.580300000000001</v>
      </c>
      <c r="R278" s="9"/>
      <c r="S278" s="11"/>
    </row>
    <row r="279" spans="1:19" ht="15.75">
      <c r="A279" s="14">
        <v>49980</v>
      </c>
      <c r="B279" s="8">
        <f>8.2487 * CHOOSE(CONTROL!$C$15, $D$11, 100%, $F$11)</f>
        <v>8.2486999999999995</v>
      </c>
      <c r="C279" s="8">
        <f>8.2539 * CHOOSE(CONTROL!$C$15, $D$11, 100%, $F$11)</f>
        <v>8.2538999999999998</v>
      </c>
      <c r="D279" s="8">
        <f>8.2431 * CHOOSE( CONTROL!$C$15, $D$11, 100%, $F$11)</f>
        <v>8.2431000000000001</v>
      </c>
      <c r="E279" s="12">
        <f>8.2465 * CHOOSE( CONTROL!$C$15, $D$11, 100%, $F$11)</f>
        <v>8.2464999999999993</v>
      </c>
      <c r="F279" s="4">
        <f>8.8976 * CHOOSE(CONTROL!$C$15, $D$11, 100%, $F$11)</f>
        <v>8.8976000000000006</v>
      </c>
      <c r="G279" s="8">
        <f>8.0496 * CHOOSE( CONTROL!$C$15, $D$11, 100%, $F$11)</f>
        <v>8.0495999999999999</v>
      </c>
      <c r="H279" s="4">
        <f>8.9251 * CHOOSE(CONTROL!$C$15, $D$11, 100%, $F$11)</f>
        <v>8.9251000000000005</v>
      </c>
      <c r="I279" s="8">
        <f>8.0294 * CHOOSE(CONTROL!$C$15, $D$11, 100%, $F$11)</f>
        <v>8.0294000000000008</v>
      </c>
      <c r="J279" s="4">
        <f>7.8924 * CHOOSE(CONTROL!$C$15, $D$11, 100%, $F$11)</f>
        <v>7.8924000000000003</v>
      </c>
      <c r="K279" s="4"/>
      <c r="L279" s="9">
        <v>28.360600000000002</v>
      </c>
      <c r="M279" s="9">
        <v>11.6745</v>
      </c>
      <c r="N279" s="9">
        <v>4.7850000000000001</v>
      </c>
      <c r="O279" s="9">
        <v>0.36199999999999999</v>
      </c>
      <c r="P279" s="9">
        <v>1.2509999999999999</v>
      </c>
      <c r="Q279" s="9">
        <v>29.593800000000002</v>
      </c>
      <c r="R279" s="9"/>
      <c r="S279" s="11"/>
    </row>
    <row r="280" spans="1:19" ht="15.75">
      <c r="A280" s="14">
        <v>50010</v>
      </c>
      <c r="B280" s="8">
        <f>8.2337 * CHOOSE(CONTROL!$C$15, $D$11, 100%, $F$11)</f>
        <v>8.2337000000000007</v>
      </c>
      <c r="C280" s="8">
        <f>8.2389 * CHOOSE(CONTROL!$C$15, $D$11, 100%, $F$11)</f>
        <v>8.2388999999999992</v>
      </c>
      <c r="D280" s="8">
        <f>8.2295 * CHOOSE( CONTROL!$C$15, $D$11, 100%, $F$11)</f>
        <v>8.2294999999999998</v>
      </c>
      <c r="E280" s="12">
        <f>8.2324 * CHOOSE( CONTROL!$C$15, $D$11, 100%, $F$11)</f>
        <v>8.2324000000000002</v>
      </c>
      <c r="F280" s="4">
        <f>8.8826 * CHOOSE(CONTROL!$C$15, $D$11, 100%, $F$11)</f>
        <v>8.8826000000000001</v>
      </c>
      <c r="G280" s="8">
        <f>8.036 * CHOOSE( CONTROL!$C$15, $D$11, 100%, $F$11)</f>
        <v>8.0359999999999996</v>
      </c>
      <c r="H280" s="4">
        <f>8.9105 * CHOOSE(CONTROL!$C$15, $D$11, 100%, $F$11)</f>
        <v>8.9105000000000008</v>
      </c>
      <c r="I280" s="8">
        <f>8.0194 * CHOOSE(CONTROL!$C$15, $D$11, 100%, $F$11)</f>
        <v>8.0193999999999992</v>
      </c>
      <c r="J280" s="4">
        <f>7.878 * CHOOSE(CONTROL!$C$15, $D$11, 100%, $F$11)</f>
        <v>7.8780000000000001</v>
      </c>
      <c r="K280" s="4"/>
      <c r="L280" s="9">
        <v>29.306000000000001</v>
      </c>
      <c r="M280" s="9">
        <v>12.063700000000001</v>
      </c>
      <c r="N280" s="9">
        <v>4.9444999999999997</v>
      </c>
      <c r="O280" s="9">
        <v>0.37409999999999999</v>
      </c>
      <c r="P280" s="9">
        <v>1.2927</v>
      </c>
      <c r="Q280" s="9">
        <v>30.580300000000001</v>
      </c>
      <c r="R280" s="9"/>
      <c r="S280" s="11"/>
    </row>
    <row r="281" spans="1:19" ht="15.75">
      <c r="A281" s="14">
        <v>50041</v>
      </c>
      <c r="B281" s="8">
        <f>8.5473 * CHOOSE(CONTROL!$C$15, $D$11, 100%, $F$11)</f>
        <v>8.5472999999999999</v>
      </c>
      <c r="C281" s="8">
        <f>8.5525 * CHOOSE(CONTROL!$C$15, $D$11, 100%, $F$11)</f>
        <v>8.5525000000000002</v>
      </c>
      <c r="D281" s="8">
        <f>8.539 * CHOOSE( CONTROL!$C$15, $D$11, 100%, $F$11)</f>
        <v>8.5389999999999997</v>
      </c>
      <c r="E281" s="12">
        <f>8.5434 * CHOOSE( CONTROL!$C$15, $D$11, 100%, $F$11)</f>
        <v>8.5434000000000001</v>
      </c>
      <c r="F281" s="4">
        <f>9.1962 * CHOOSE(CONTROL!$C$15, $D$11, 100%, $F$11)</f>
        <v>9.1961999999999993</v>
      </c>
      <c r="G281" s="8">
        <f>8.336 * CHOOSE( CONTROL!$C$15, $D$11, 100%, $F$11)</f>
        <v>8.3360000000000003</v>
      </c>
      <c r="H281" s="4">
        <f>9.2168 * CHOOSE(CONTROL!$C$15, $D$11, 100%, $F$11)</f>
        <v>9.2167999999999992</v>
      </c>
      <c r="I281" s="8">
        <f>8.2969 * CHOOSE(CONTROL!$C$15, $D$11, 100%, $F$11)</f>
        <v>8.2969000000000008</v>
      </c>
      <c r="J281" s="4">
        <f>8.1791 * CHOOSE(CONTROL!$C$15, $D$11, 100%, $F$11)</f>
        <v>8.1791</v>
      </c>
      <c r="K281" s="4"/>
      <c r="L281" s="9">
        <v>29.306000000000001</v>
      </c>
      <c r="M281" s="9">
        <v>12.063700000000001</v>
      </c>
      <c r="N281" s="9">
        <v>4.9444999999999997</v>
      </c>
      <c r="O281" s="9">
        <v>0.37409999999999999</v>
      </c>
      <c r="P281" s="9">
        <v>1.2927</v>
      </c>
      <c r="Q281" s="9">
        <v>30.5152</v>
      </c>
      <c r="R281" s="9"/>
      <c r="S281" s="11"/>
    </row>
    <row r="282" spans="1:19" ht="15.75">
      <c r="A282" s="14">
        <v>50072</v>
      </c>
      <c r="B282" s="8">
        <f>7.9966 * CHOOSE(CONTROL!$C$15, $D$11, 100%, $F$11)</f>
        <v>7.9965999999999999</v>
      </c>
      <c r="C282" s="8">
        <f>8.0018 * CHOOSE(CONTROL!$C$15, $D$11, 100%, $F$11)</f>
        <v>8.0017999999999994</v>
      </c>
      <c r="D282" s="8">
        <f>7.9883 * CHOOSE( CONTROL!$C$15, $D$11, 100%, $F$11)</f>
        <v>7.9882999999999997</v>
      </c>
      <c r="E282" s="12">
        <f>7.9927 * CHOOSE( CONTROL!$C$15, $D$11, 100%, $F$11)</f>
        <v>7.9927000000000001</v>
      </c>
      <c r="F282" s="4">
        <f>8.6455 * CHOOSE(CONTROL!$C$15, $D$11, 100%, $F$11)</f>
        <v>8.6455000000000002</v>
      </c>
      <c r="G282" s="8">
        <f>7.7981 * CHOOSE( CONTROL!$C$15, $D$11, 100%, $F$11)</f>
        <v>7.7980999999999998</v>
      </c>
      <c r="H282" s="4">
        <f>8.6789 * CHOOSE(CONTROL!$C$15, $D$11, 100%, $F$11)</f>
        <v>8.6789000000000005</v>
      </c>
      <c r="I282" s="8">
        <f>7.7679 * CHOOSE(CONTROL!$C$15, $D$11, 100%, $F$11)</f>
        <v>7.7679</v>
      </c>
      <c r="J282" s="4">
        <f>7.6504 * CHOOSE(CONTROL!$C$15, $D$11, 100%, $F$11)</f>
        <v>7.6504000000000003</v>
      </c>
      <c r="K282" s="4"/>
      <c r="L282" s="9">
        <v>26.469899999999999</v>
      </c>
      <c r="M282" s="9">
        <v>10.8962</v>
      </c>
      <c r="N282" s="9">
        <v>4.4660000000000002</v>
      </c>
      <c r="O282" s="9">
        <v>0.33789999999999998</v>
      </c>
      <c r="P282" s="9">
        <v>1.1676</v>
      </c>
      <c r="Q282" s="9">
        <v>27.562100000000001</v>
      </c>
      <c r="R282" s="9"/>
      <c r="S282" s="11"/>
    </row>
    <row r="283" spans="1:19" ht="15.75">
      <c r="A283" s="14">
        <v>50100</v>
      </c>
      <c r="B283" s="8">
        <f>7.827 * CHOOSE(CONTROL!$C$15, $D$11, 100%, $F$11)</f>
        <v>7.827</v>
      </c>
      <c r="C283" s="8">
        <f>7.8322 * CHOOSE(CONTROL!$C$15, $D$11, 100%, $F$11)</f>
        <v>7.8322000000000003</v>
      </c>
      <c r="D283" s="8">
        <f>7.8183 * CHOOSE( CONTROL!$C$15, $D$11, 100%, $F$11)</f>
        <v>7.8182999999999998</v>
      </c>
      <c r="E283" s="12">
        <f>7.8228 * CHOOSE( CONTROL!$C$15, $D$11, 100%, $F$11)</f>
        <v>7.8228</v>
      </c>
      <c r="F283" s="4">
        <f>8.4759 * CHOOSE(CONTROL!$C$15, $D$11, 100%, $F$11)</f>
        <v>8.4758999999999993</v>
      </c>
      <c r="G283" s="8">
        <f>7.6322 * CHOOSE( CONTROL!$C$15, $D$11, 100%, $F$11)</f>
        <v>7.6322000000000001</v>
      </c>
      <c r="H283" s="4">
        <f>8.5132 * CHOOSE(CONTROL!$C$15, $D$11, 100%, $F$11)</f>
        <v>8.5131999999999994</v>
      </c>
      <c r="I283" s="8">
        <f>7.6039 * CHOOSE(CONTROL!$C$15, $D$11, 100%, $F$11)</f>
        <v>7.6039000000000003</v>
      </c>
      <c r="J283" s="4">
        <f>7.4875 * CHOOSE(CONTROL!$C$15, $D$11, 100%, $F$11)</f>
        <v>7.4874999999999998</v>
      </c>
      <c r="K283" s="4"/>
      <c r="L283" s="9">
        <v>29.306000000000001</v>
      </c>
      <c r="M283" s="9">
        <v>12.063700000000001</v>
      </c>
      <c r="N283" s="9">
        <v>4.9444999999999997</v>
      </c>
      <c r="O283" s="9">
        <v>0.37409999999999999</v>
      </c>
      <c r="P283" s="9">
        <v>1.2927</v>
      </c>
      <c r="Q283" s="9">
        <v>30.5152</v>
      </c>
      <c r="R283" s="9"/>
      <c r="S283" s="11"/>
    </row>
    <row r="284" spans="1:19" ht="15.75">
      <c r="A284" s="14">
        <v>50131</v>
      </c>
      <c r="B284" s="8">
        <f>7.9463 * CHOOSE(CONTROL!$C$15, $D$11, 100%, $F$11)</f>
        <v>7.9462999999999999</v>
      </c>
      <c r="C284" s="8">
        <f>7.9509 * CHOOSE(CONTROL!$C$15, $D$11, 100%, $F$11)</f>
        <v>7.9508999999999999</v>
      </c>
      <c r="D284" s="8">
        <f>7.9772 * CHOOSE( CONTROL!$C$15, $D$11, 100%, $F$11)</f>
        <v>7.9771999999999998</v>
      </c>
      <c r="E284" s="12">
        <f>7.968 * CHOOSE( CONTROL!$C$15, $D$11, 100%, $F$11)</f>
        <v>7.968</v>
      </c>
      <c r="F284" s="4">
        <f>8.6454 * CHOOSE(CONTROL!$C$15, $D$11, 100%, $F$11)</f>
        <v>8.6454000000000004</v>
      </c>
      <c r="G284" s="8">
        <f>7.748 * CHOOSE( CONTROL!$C$15, $D$11, 100%, $F$11)</f>
        <v>7.7480000000000002</v>
      </c>
      <c r="H284" s="4">
        <f>8.6788 * CHOOSE(CONTROL!$C$15, $D$11, 100%, $F$11)</f>
        <v>8.6788000000000007</v>
      </c>
      <c r="I284" s="8">
        <f>7.7096 * CHOOSE(CONTROL!$C$15, $D$11, 100%, $F$11)</f>
        <v>7.7096</v>
      </c>
      <c r="J284" s="4">
        <f>7.6013 * CHOOSE(CONTROL!$C$15, $D$11, 100%, $F$11)</f>
        <v>7.6013000000000002</v>
      </c>
      <c r="K284" s="4"/>
      <c r="L284" s="9">
        <v>30.092199999999998</v>
      </c>
      <c r="M284" s="9">
        <v>11.6745</v>
      </c>
      <c r="N284" s="9">
        <v>4.7850000000000001</v>
      </c>
      <c r="O284" s="9">
        <v>0.36199999999999999</v>
      </c>
      <c r="P284" s="9">
        <v>1.1791</v>
      </c>
      <c r="Q284" s="9">
        <v>29.530799999999999</v>
      </c>
      <c r="R284" s="9"/>
      <c r="S284" s="11"/>
    </row>
    <row r="285" spans="1:19" ht="15.75">
      <c r="A285" s="14">
        <v>50161</v>
      </c>
      <c r="B285" s="8">
        <f>CHOOSE( CONTROL!$C$32, 8.1634, 8.1586) * CHOOSE(CONTROL!$C$15, $D$11, 100%, $F$11)</f>
        <v>8.1633999999999993</v>
      </c>
      <c r="C285" s="8">
        <f>CHOOSE( CONTROL!$C$32, 8.1715, 8.1667) * CHOOSE(CONTROL!$C$15, $D$11, 100%, $F$11)</f>
        <v>8.1715</v>
      </c>
      <c r="D285" s="8">
        <f>CHOOSE( CONTROL!$C$32, 8.1928, 8.188) * CHOOSE( CONTROL!$C$15, $D$11, 100%, $F$11)</f>
        <v>8.1928000000000001</v>
      </c>
      <c r="E285" s="12">
        <f>CHOOSE( CONTROL!$C$32, 8.1838, 8.179) * CHOOSE( CONTROL!$C$15, $D$11, 100%, $F$11)</f>
        <v>8.1837999999999997</v>
      </c>
      <c r="F285" s="4">
        <f>CHOOSE( CONTROL!$C$32, 8.8612, 8.8564) * CHOOSE(CONTROL!$C$15, $D$11, 100%, $F$11)</f>
        <v>8.8612000000000002</v>
      </c>
      <c r="G285" s="8">
        <f>CHOOSE( CONTROL!$C$32, 7.9597, 7.955) * CHOOSE( CONTROL!$C$15, $D$11, 100%, $F$11)</f>
        <v>7.9596999999999998</v>
      </c>
      <c r="H285" s="4">
        <f>CHOOSE( CONTROL!$C$32, 8.8896, 8.8848) * CHOOSE(CONTROL!$C$15, $D$11, 100%, $F$11)</f>
        <v>8.8895999999999997</v>
      </c>
      <c r="I285" s="8">
        <f>CHOOSE( CONTROL!$C$32, 7.9169, 7.9122) * CHOOSE(CONTROL!$C$15, $D$11, 100%, $F$11)</f>
        <v>7.9169</v>
      </c>
      <c r="J285" s="4">
        <f>CHOOSE( CONTROL!$C$32, 7.8085, 7.8038) * CHOOSE(CONTROL!$C$15, $D$11, 100%, $F$11)</f>
        <v>7.8085000000000004</v>
      </c>
      <c r="K285" s="4"/>
      <c r="L285" s="9">
        <v>30.7165</v>
      </c>
      <c r="M285" s="9">
        <v>12.063700000000001</v>
      </c>
      <c r="N285" s="9">
        <v>4.9444999999999997</v>
      </c>
      <c r="O285" s="9">
        <v>0.37409999999999999</v>
      </c>
      <c r="P285" s="9">
        <v>1.2183999999999999</v>
      </c>
      <c r="Q285" s="9">
        <v>30.5152</v>
      </c>
      <c r="R285" s="9"/>
      <c r="S285" s="11"/>
    </row>
    <row r="286" spans="1:19" ht="15.75">
      <c r="A286" s="14">
        <v>50192</v>
      </c>
      <c r="B286" s="8">
        <f>CHOOSE( CONTROL!$C$32, 8.0327, 8.0279) * CHOOSE(CONTROL!$C$15, $D$11, 100%, $F$11)</f>
        <v>8.0327000000000002</v>
      </c>
      <c r="C286" s="8">
        <f>CHOOSE( CONTROL!$C$32, 8.0408, 8.036) * CHOOSE(CONTROL!$C$15, $D$11, 100%, $F$11)</f>
        <v>8.0408000000000008</v>
      </c>
      <c r="D286" s="8">
        <f>CHOOSE( CONTROL!$C$32, 8.0623, 8.0575) * CHOOSE( CONTROL!$C$15, $D$11, 100%, $F$11)</f>
        <v>8.0623000000000005</v>
      </c>
      <c r="E286" s="12">
        <f>CHOOSE( CONTROL!$C$32, 8.0533, 8.0485) * CHOOSE( CONTROL!$C$15, $D$11, 100%, $F$11)</f>
        <v>8.0533000000000001</v>
      </c>
      <c r="F286" s="4">
        <f>CHOOSE( CONTROL!$C$32, 8.7306, 8.7257) * CHOOSE(CONTROL!$C$15, $D$11, 100%, $F$11)</f>
        <v>8.7306000000000008</v>
      </c>
      <c r="G286" s="8">
        <f>CHOOSE( CONTROL!$C$32, 7.8324, 7.8276) * CHOOSE( CONTROL!$C$15, $D$11, 100%, $F$11)</f>
        <v>7.8323999999999998</v>
      </c>
      <c r="H286" s="4">
        <f>CHOOSE( CONTROL!$C$32, 8.7619, 8.7572) * CHOOSE(CONTROL!$C$15, $D$11, 100%, $F$11)</f>
        <v>8.7619000000000007</v>
      </c>
      <c r="I286" s="8">
        <f>CHOOSE( CONTROL!$C$32, 7.7923, 7.7876) * CHOOSE(CONTROL!$C$15, $D$11, 100%, $F$11)</f>
        <v>7.7923</v>
      </c>
      <c r="J286" s="4">
        <f>CHOOSE( CONTROL!$C$32, 7.683, 7.6784) * CHOOSE(CONTROL!$C$15, $D$11, 100%, $F$11)</f>
        <v>7.6829999999999998</v>
      </c>
      <c r="K286" s="4"/>
      <c r="L286" s="9">
        <v>29.7257</v>
      </c>
      <c r="M286" s="9">
        <v>11.6745</v>
      </c>
      <c r="N286" s="9">
        <v>4.7850000000000001</v>
      </c>
      <c r="O286" s="9">
        <v>0.36199999999999999</v>
      </c>
      <c r="P286" s="9">
        <v>1.1791</v>
      </c>
      <c r="Q286" s="9">
        <v>29.530799999999999</v>
      </c>
      <c r="R286" s="9"/>
      <c r="S286" s="11"/>
    </row>
    <row r="287" spans="1:19" ht="15.75">
      <c r="A287" s="14">
        <v>50222</v>
      </c>
      <c r="B287" s="8">
        <f>CHOOSE( CONTROL!$C$32, 8.3769, 8.372) * CHOOSE(CONTROL!$C$15, $D$11, 100%, $F$11)</f>
        <v>8.3768999999999991</v>
      </c>
      <c r="C287" s="8">
        <f>CHOOSE( CONTROL!$C$32, 8.385, 8.3801) * CHOOSE(CONTROL!$C$15, $D$11, 100%, $F$11)</f>
        <v>8.3849999999999998</v>
      </c>
      <c r="D287" s="8">
        <f>CHOOSE( CONTROL!$C$32, 8.4067, 8.4019) * CHOOSE( CONTROL!$C$15, $D$11, 100%, $F$11)</f>
        <v>8.4067000000000007</v>
      </c>
      <c r="E287" s="12">
        <f>CHOOSE( CONTROL!$C$32, 8.3976, 8.3928) * CHOOSE( CONTROL!$C$15, $D$11, 100%, $F$11)</f>
        <v>8.3976000000000006</v>
      </c>
      <c r="F287" s="4">
        <f>CHOOSE( CONTROL!$C$32, 9.0747, 9.0699) * CHOOSE(CONTROL!$C$15, $D$11, 100%, $F$11)</f>
        <v>9.0747</v>
      </c>
      <c r="G287" s="8">
        <f>CHOOSE( CONTROL!$C$32, 8.1688, 8.1641) * CHOOSE( CONTROL!$C$15, $D$11, 100%, $F$11)</f>
        <v>8.1687999999999992</v>
      </c>
      <c r="H287" s="4">
        <f>CHOOSE( CONTROL!$C$32, 9.098, 9.0933) * CHOOSE(CONTROL!$C$15, $D$11, 100%, $F$11)</f>
        <v>9.0980000000000008</v>
      </c>
      <c r="I287" s="8">
        <f>CHOOSE( CONTROL!$C$32, 8.124, 8.1193) * CHOOSE(CONTROL!$C$15, $D$11, 100%, $F$11)</f>
        <v>8.1240000000000006</v>
      </c>
      <c r="J287" s="4">
        <f>CHOOSE( CONTROL!$C$32, 8.0134, 8.0088) * CHOOSE(CONTROL!$C$15, $D$11, 100%, $F$11)</f>
        <v>8.0134000000000007</v>
      </c>
      <c r="K287" s="4"/>
      <c r="L287" s="9">
        <v>30.7165</v>
      </c>
      <c r="M287" s="9">
        <v>12.063700000000001</v>
      </c>
      <c r="N287" s="9">
        <v>4.9444999999999997</v>
      </c>
      <c r="O287" s="9">
        <v>0.37409999999999999</v>
      </c>
      <c r="P287" s="9">
        <v>1.2183999999999999</v>
      </c>
      <c r="Q287" s="9">
        <v>30.5152</v>
      </c>
      <c r="R287" s="9"/>
      <c r="S287" s="11"/>
    </row>
    <row r="288" spans="1:19" ht="15.75">
      <c r="A288" s="14">
        <v>50253</v>
      </c>
      <c r="B288" s="8">
        <f>CHOOSE( CONTROL!$C$32, 7.733, 7.7281) * CHOOSE(CONTROL!$C$15, $D$11, 100%, $F$11)</f>
        <v>7.7329999999999997</v>
      </c>
      <c r="C288" s="8">
        <f>CHOOSE( CONTROL!$C$32, 7.7411, 7.7362) * CHOOSE(CONTROL!$C$15, $D$11, 100%, $F$11)</f>
        <v>7.7411000000000003</v>
      </c>
      <c r="D288" s="8">
        <f>CHOOSE( CONTROL!$C$32, 7.7629, 7.758) * CHOOSE( CONTROL!$C$15, $D$11, 100%, $F$11)</f>
        <v>7.7629000000000001</v>
      </c>
      <c r="E288" s="12">
        <f>CHOOSE( CONTROL!$C$32, 7.7538, 7.7489) * CHOOSE( CONTROL!$C$15, $D$11, 100%, $F$11)</f>
        <v>7.7538</v>
      </c>
      <c r="F288" s="4">
        <f>CHOOSE( CONTROL!$C$32, 8.4308, 8.4259) * CHOOSE(CONTROL!$C$15, $D$11, 100%, $F$11)</f>
        <v>8.4307999999999996</v>
      </c>
      <c r="G288" s="8">
        <f>CHOOSE( CONTROL!$C$32, 7.54, 7.5353) * CHOOSE( CONTROL!$C$15, $D$11, 100%, $F$11)</f>
        <v>7.54</v>
      </c>
      <c r="H288" s="4">
        <f>CHOOSE( CONTROL!$C$32, 8.4691, 8.4644) * CHOOSE(CONTROL!$C$15, $D$11, 100%, $F$11)</f>
        <v>8.4690999999999992</v>
      </c>
      <c r="I288" s="8">
        <f>CHOOSE( CONTROL!$C$32, 7.5057, 7.5011) * CHOOSE(CONTROL!$C$15, $D$11, 100%, $F$11)</f>
        <v>7.5057</v>
      </c>
      <c r="J288" s="4">
        <f>CHOOSE( CONTROL!$C$32, 7.3952, 7.3906) * CHOOSE(CONTROL!$C$15, $D$11, 100%, $F$11)</f>
        <v>7.3952</v>
      </c>
      <c r="K288" s="4"/>
      <c r="L288" s="9">
        <v>30.7165</v>
      </c>
      <c r="M288" s="9">
        <v>12.063700000000001</v>
      </c>
      <c r="N288" s="9">
        <v>4.9444999999999997</v>
      </c>
      <c r="O288" s="9">
        <v>0.37409999999999999</v>
      </c>
      <c r="P288" s="9">
        <v>1.2183999999999999</v>
      </c>
      <c r="Q288" s="9">
        <v>30.5152</v>
      </c>
      <c r="R288" s="9"/>
      <c r="S288" s="11"/>
    </row>
    <row r="289" spans="1:19" ht="15.75">
      <c r="A289" s="14">
        <v>50284</v>
      </c>
      <c r="B289" s="8">
        <f>CHOOSE( CONTROL!$C$32, 7.5717, 7.5669) * CHOOSE(CONTROL!$C$15, $D$11, 100%, $F$11)</f>
        <v>7.5716999999999999</v>
      </c>
      <c r="C289" s="8">
        <f>CHOOSE( CONTROL!$C$32, 7.5798, 7.575) * CHOOSE(CONTROL!$C$15, $D$11, 100%, $F$11)</f>
        <v>7.5797999999999996</v>
      </c>
      <c r="D289" s="8">
        <f>CHOOSE( CONTROL!$C$32, 7.6016, 7.5968) * CHOOSE( CONTROL!$C$15, $D$11, 100%, $F$11)</f>
        <v>7.6016000000000004</v>
      </c>
      <c r="E289" s="12">
        <f>CHOOSE( CONTROL!$C$32, 7.5925, 7.5877) * CHOOSE( CONTROL!$C$15, $D$11, 100%, $F$11)</f>
        <v>7.5925000000000002</v>
      </c>
      <c r="F289" s="4">
        <f>CHOOSE( CONTROL!$C$32, 8.2695, 8.2647) * CHOOSE(CONTROL!$C$15, $D$11, 100%, $F$11)</f>
        <v>8.2695000000000007</v>
      </c>
      <c r="G289" s="8">
        <f>CHOOSE( CONTROL!$C$32, 7.3825, 7.3778) * CHOOSE( CONTROL!$C$15, $D$11, 100%, $F$11)</f>
        <v>7.3825000000000003</v>
      </c>
      <c r="H289" s="4">
        <f>CHOOSE( CONTROL!$C$32, 8.3116, 8.3069) * CHOOSE(CONTROL!$C$15, $D$11, 100%, $F$11)</f>
        <v>8.3116000000000003</v>
      </c>
      <c r="I289" s="8">
        <f>CHOOSE( CONTROL!$C$32, 7.3508, 7.3461) * CHOOSE(CONTROL!$C$15, $D$11, 100%, $F$11)</f>
        <v>7.3507999999999996</v>
      </c>
      <c r="J289" s="4">
        <f>CHOOSE( CONTROL!$C$32, 7.2404, 7.2357) * CHOOSE(CONTROL!$C$15, $D$11, 100%, $F$11)</f>
        <v>7.2404000000000002</v>
      </c>
      <c r="K289" s="4"/>
      <c r="L289" s="9">
        <v>29.7257</v>
      </c>
      <c r="M289" s="9">
        <v>11.6745</v>
      </c>
      <c r="N289" s="9">
        <v>4.7850000000000001</v>
      </c>
      <c r="O289" s="9">
        <v>0.36199999999999999</v>
      </c>
      <c r="P289" s="9">
        <v>1.1791</v>
      </c>
      <c r="Q289" s="9">
        <v>29.530799999999999</v>
      </c>
      <c r="R289" s="9"/>
      <c r="S289" s="11"/>
    </row>
    <row r="290" spans="1:19" ht="15.75">
      <c r="A290" s="14">
        <v>50314</v>
      </c>
      <c r="B290" s="8">
        <f>7.9 * CHOOSE(CONTROL!$C$15, $D$11, 100%, $F$11)</f>
        <v>7.9</v>
      </c>
      <c r="C290" s="8">
        <f>7.9054 * CHOOSE(CONTROL!$C$15, $D$11, 100%, $F$11)</f>
        <v>7.9054000000000002</v>
      </c>
      <c r="D290" s="8">
        <f>7.9318 * CHOOSE( CONTROL!$C$15, $D$11, 100%, $F$11)</f>
        <v>7.9318</v>
      </c>
      <c r="E290" s="12">
        <f>7.9225 * CHOOSE( CONTROL!$C$15, $D$11, 100%, $F$11)</f>
        <v>7.9225000000000003</v>
      </c>
      <c r="F290" s="4">
        <f>8.5995 * CHOOSE(CONTROL!$C$15, $D$11, 100%, $F$11)</f>
        <v>8.5995000000000008</v>
      </c>
      <c r="G290" s="8">
        <f>7.704 * CHOOSE( CONTROL!$C$15, $D$11, 100%, $F$11)</f>
        <v>7.7039999999999997</v>
      </c>
      <c r="H290" s="4">
        <f>8.6339 * CHOOSE(CONTROL!$C$15, $D$11, 100%, $F$11)</f>
        <v>8.6339000000000006</v>
      </c>
      <c r="I290" s="8">
        <f>7.6685 * CHOOSE(CONTROL!$C$15, $D$11, 100%, $F$11)</f>
        <v>7.6684999999999999</v>
      </c>
      <c r="J290" s="4">
        <f>7.5572 * CHOOSE(CONTROL!$C$15, $D$11, 100%, $F$11)</f>
        <v>7.5571999999999999</v>
      </c>
      <c r="K290" s="4"/>
      <c r="L290" s="9">
        <v>31.095300000000002</v>
      </c>
      <c r="M290" s="9">
        <v>12.063700000000001</v>
      </c>
      <c r="N290" s="9">
        <v>4.9444999999999997</v>
      </c>
      <c r="O290" s="9">
        <v>0.37409999999999999</v>
      </c>
      <c r="P290" s="9">
        <v>1.2183999999999999</v>
      </c>
      <c r="Q290" s="9">
        <v>30.5152</v>
      </c>
      <c r="R290" s="9"/>
      <c r="S290" s="11"/>
    </row>
    <row r="291" spans="1:19" ht="15.75">
      <c r="A291" s="14">
        <v>50345</v>
      </c>
      <c r="B291" s="8">
        <f>8.5175 * CHOOSE(CONTROL!$C$15, $D$11, 100%, $F$11)</f>
        <v>8.5175000000000001</v>
      </c>
      <c r="C291" s="8">
        <f>8.5227 * CHOOSE(CONTROL!$C$15, $D$11, 100%, $F$11)</f>
        <v>8.5227000000000004</v>
      </c>
      <c r="D291" s="8">
        <f>8.512 * CHOOSE( CONTROL!$C$15, $D$11, 100%, $F$11)</f>
        <v>8.5120000000000005</v>
      </c>
      <c r="E291" s="12">
        <f>8.5154 * CHOOSE( CONTROL!$C$15, $D$11, 100%, $F$11)</f>
        <v>8.5153999999999996</v>
      </c>
      <c r="F291" s="4">
        <f>9.1664 * CHOOSE(CONTROL!$C$15, $D$11, 100%, $F$11)</f>
        <v>9.1663999999999994</v>
      </c>
      <c r="G291" s="8">
        <f>8.3121 * CHOOSE( CONTROL!$C$15, $D$11, 100%, $F$11)</f>
        <v>8.3120999999999992</v>
      </c>
      <c r="H291" s="4">
        <f>9.1876 * CHOOSE(CONTROL!$C$15, $D$11, 100%, $F$11)</f>
        <v>9.1875999999999998</v>
      </c>
      <c r="I291" s="8">
        <f>8.2876 * CHOOSE(CONTROL!$C$15, $D$11, 100%, $F$11)</f>
        <v>8.2875999999999994</v>
      </c>
      <c r="J291" s="4">
        <f>8.1505 * CHOOSE(CONTROL!$C$15, $D$11, 100%, $F$11)</f>
        <v>8.1504999999999992</v>
      </c>
      <c r="K291" s="4"/>
      <c r="L291" s="9">
        <v>28.360600000000002</v>
      </c>
      <c r="M291" s="9">
        <v>11.6745</v>
      </c>
      <c r="N291" s="9">
        <v>4.7850000000000001</v>
      </c>
      <c r="O291" s="9">
        <v>0.36199999999999999</v>
      </c>
      <c r="P291" s="9">
        <v>1.2509999999999999</v>
      </c>
      <c r="Q291" s="9">
        <v>29.530799999999999</v>
      </c>
      <c r="R291" s="9"/>
      <c r="S291" s="11"/>
    </row>
    <row r="292" spans="1:19" ht="15.75">
      <c r="A292" s="14">
        <v>50375</v>
      </c>
      <c r="B292" s="8">
        <f>8.5021 * CHOOSE(CONTROL!$C$15, $D$11, 100%, $F$11)</f>
        <v>8.5021000000000004</v>
      </c>
      <c r="C292" s="8">
        <f>8.5073 * CHOOSE(CONTROL!$C$15, $D$11, 100%, $F$11)</f>
        <v>8.5073000000000008</v>
      </c>
      <c r="D292" s="8">
        <f>8.4979 * CHOOSE( CONTROL!$C$15, $D$11, 100%, $F$11)</f>
        <v>8.4978999999999996</v>
      </c>
      <c r="E292" s="12">
        <f>8.5008 * CHOOSE( CONTROL!$C$15, $D$11, 100%, $F$11)</f>
        <v>8.5007999999999999</v>
      </c>
      <c r="F292" s="4">
        <f>9.151 * CHOOSE(CONTROL!$C$15, $D$11, 100%, $F$11)</f>
        <v>9.1509999999999998</v>
      </c>
      <c r="G292" s="8">
        <f>8.2981 * CHOOSE( CONTROL!$C$15, $D$11, 100%, $F$11)</f>
        <v>8.2980999999999998</v>
      </c>
      <c r="H292" s="4">
        <f>9.1726 * CHOOSE(CONTROL!$C$15, $D$11, 100%, $F$11)</f>
        <v>9.1725999999999992</v>
      </c>
      <c r="I292" s="8">
        <f>8.2771 * CHOOSE(CONTROL!$C$15, $D$11, 100%, $F$11)</f>
        <v>8.2771000000000008</v>
      </c>
      <c r="J292" s="4">
        <f>8.1357 * CHOOSE(CONTROL!$C$15, $D$11, 100%, $F$11)</f>
        <v>8.1356999999999999</v>
      </c>
      <c r="K292" s="4"/>
      <c r="L292" s="9">
        <v>29.306000000000001</v>
      </c>
      <c r="M292" s="9">
        <v>12.063700000000001</v>
      </c>
      <c r="N292" s="9">
        <v>4.9444999999999997</v>
      </c>
      <c r="O292" s="9">
        <v>0.37409999999999999</v>
      </c>
      <c r="P292" s="9">
        <v>1.2927</v>
      </c>
      <c r="Q292" s="9">
        <v>30.5152</v>
      </c>
      <c r="R292" s="9"/>
      <c r="S292" s="11"/>
    </row>
    <row r="293" spans="1:19" ht="15.75">
      <c r="A293" s="13">
        <v>50436</v>
      </c>
      <c r="B293" s="8">
        <f>8.8259 * CHOOSE(CONTROL!$C$15, $D$11, 100%, $F$11)</f>
        <v>8.8259000000000007</v>
      </c>
      <c r="C293" s="8">
        <f>8.8311 * CHOOSE(CONTROL!$C$15, $D$11, 100%, $F$11)</f>
        <v>8.8310999999999993</v>
      </c>
      <c r="D293" s="8">
        <f>8.8176 * CHOOSE( CONTROL!$C$15, $D$11, 100%, $F$11)</f>
        <v>8.8176000000000005</v>
      </c>
      <c r="E293" s="12">
        <f>8.822 * CHOOSE( CONTROL!$C$15, $D$11, 100%, $F$11)</f>
        <v>8.8219999999999992</v>
      </c>
      <c r="F293" s="4">
        <f>9.4748 * CHOOSE(CONTROL!$C$15, $D$11, 100%, $F$11)</f>
        <v>9.4748000000000001</v>
      </c>
      <c r="G293" s="8">
        <f>8.6081 * CHOOSE( CONTROL!$C$15, $D$11, 100%, $F$11)</f>
        <v>8.6081000000000003</v>
      </c>
      <c r="H293" s="4">
        <f>9.4889 * CHOOSE(CONTROL!$C$15, $D$11, 100%, $F$11)</f>
        <v>9.4888999999999992</v>
      </c>
      <c r="I293" s="8">
        <f>8.5645 * CHOOSE(CONTROL!$C$15, $D$11, 100%, $F$11)</f>
        <v>8.5645000000000007</v>
      </c>
      <c r="J293" s="4">
        <f>8.4466 * CHOOSE(CONTROL!$C$15, $D$11, 100%, $F$11)</f>
        <v>8.4466000000000001</v>
      </c>
      <c r="K293" s="4"/>
      <c r="L293" s="9">
        <v>29.306000000000001</v>
      </c>
      <c r="M293" s="9">
        <v>12.063700000000001</v>
      </c>
      <c r="N293" s="9">
        <v>4.9444999999999997</v>
      </c>
      <c r="O293" s="9">
        <v>0.37409999999999999</v>
      </c>
      <c r="P293" s="9">
        <v>1.2927</v>
      </c>
      <c r="Q293" s="9">
        <v>30.451899999999998</v>
      </c>
      <c r="R293" s="9"/>
      <c r="S293" s="11"/>
    </row>
    <row r="294" spans="1:19" ht="15.75">
      <c r="A294" s="13">
        <v>50464</v>
      </c>
      <c r="B294" s="8">
        <f>8.2572 * CHOOSE(CONTROL!$C$15, $D$11, 100%, $F$11)</f>
        <v>8.2571999999999992</v>
      </c>
      <c r="C294" s="8">
        <f>8.2624 * CHOOSE(CONTROL!$C$15, $D$11, 100%, $F$11)</f>
        <v>8.2623999999999995</v>
      </c>
      <c r="D294" s="8">
        <f>8.2489 * CHOOSE( CONTROL!$C$15, $D$11, 100%, $F$11)</f>
        <v>8.2489000000000008</v>
      </c>
      <c r="E294" s="12">
        <f>8.2533 * CHOOSE( CONTROL!$C$15, $D$11, 100%, $F$11)</f>
        <v>8.2532999999999994</v>
      </c>
      <c r="F294" s="4">
        <f>8.9061 * CHOOSE(CONTROL!$C$15, $D$11, 100%, $F$11)</f>
        <v>8.9061000000000003</v>
      </c>
      <c r="G294" s="8">
        <f>8.0526 * CHOOSE( CONTROL!$C$15, $D$11, 100%, $F$11)</f>
        <v>8.0526</v>
      </c>
      <c r="H294" s="4">
        <f>8.9334 * CHOOSE(CONTROL!$C$15, $D$11, 100%, $F$11)</f>
        <v>8.9334000000000007</v>
      </c>
      <c r="I294" s="8">
        <f>8.0182 * CHOOSE(CONTROL!$C$15, $D$11, 100%, $F$11)</f>
        <v>8.0182000000000002</v>
      </c>
      <c r="J294" s="4">
        <f>7.9006 * CHOOSE(CONTROL!$C$15, $D$11, 100%, $F$11)</f>
        <v>7.9005999999999998</v>
      </c>
      <c r="K294" s="4"/>
      <c r="L294" s="9">
        <v>26.469899999999999</v>
      </c>
      <c r="M294" s="9">
        <v>10.8962</v>
      </c>
      <c r="N294" s="9">
        <v>4.4660000000000002</v>
      </c>
      <c r="O294" s="9">
        <v>0.33789999999999998</v>
      </c>
      <c r="P294" s="9">
        <v>1.1676</v>
      </c>
      <c r="Q294" s="9">
        <v>27.504999999999999</v>
      </c>
      <c r="R294" s="9"/>
      <c r="S294" s="11"/>
    </row>
    <row r="295" spans="1:19" ht="15.75">
      <c r="A295" s="13">
        <v>50495</v>
      </c>
      <c r="B295" s="8">
        <f>8.082 * CHOOSE(CONTROL!$C$15, $D$11, 100%, $F$11)</f>
        <v>8.0820000000000007</v>
      </c>
      <c r="C295" s="8">
        <f>8.0872 * CHOOSE(CONTROL!$C$15, $D$11, 100%, $F$11)</f>
        <v>8.0871999999999993</v>
      </c>
      <c r="D295" s="8">
        <f>8.0734 * CHOOSE( CONTROL!$C$15, $D$11, 100%, $F$11)</f>
        <v>8.0733999999999995</v>
      </c>
      <c r="E295" s="12">
        <f>8.0779 * CHOOSE( CONTROL!$C$15, $D$11, 100%, $F$11)</f>
        <v>8.0778999999999996</v>
      </c>
      <c r="F295" s="4">
        <f>8.7309 * CHOOSE(CONTROL!$C$15, $D$11, 100%, $F$11)</f>
        <v>8.7309000000000001</v>
      </c>
      <c r="G295" s="8">
        <f>7.8813 * CHOOSE( CONTROL!$C$15, $D$11, 100%, $F$11)</f>
        <v>7.8813000000000004</v>
      </c>
      <c r="H295" s="4">
        <f>8.7623 * CHOOSE(CONTROL!$C$15, $D$11, 100%, $F$11)</f>
        <v>8.7622999999999998</v>
      </c>
      <c r="I295" s="8">
        <f>7.8489 * CHOOSE(CONTROL!$C$15, $D$11, 100%, $F$11)</f>
        <v>7.8489000000000004</v>
      </c>
      <c r="J295" s="4">
        <f>7.7324 * CHOOSE(CONTROL!$C$15, $D$11, 100%, $F$11)</f>
        <v>7.7324000000000002</v>
      </c>
      <c r="K295" s="4"/>
      <c r="L295" s="9">
        <v>29.306000000000001</v>
      </c>
      <c r="M295" s="9">
        <v>12.063700000000001</v>
      </c>
      <c r="N295" s="9">
        <v>4.9444999999999997</v>
      </c>
      <c r="O295" s="9">
        <v>0.37409999999999999</v>
      </c>
      <c r="P295" s="9">
        <v>1.2927</v>
      </c>
      <c r="Q295" s="9">
        <v>30.451899999999998</v>
      </c>
      <c r="R295" s="9"/>
      <c r="S295" s="11"/>
    </row>
    <row r="296" spans="1:19" ht="15.75">
      <c r="A296" s="13">
        <v>50525</v>
      </c>
      <c r="B296" s="8">
        <f>8.2052 * CHOOSE(CONTROL!$C$15, $D$11, 100%, $F$11)</f>
        <v>8.2051999999999996</v>
      </c>
      <c r="C296" s="8">
        <f>8.2098 * CHOOSE(CONTROL!$C$15, $D$11, 100%, $F$11)</f>
        <v>8.2097999999999995</v>
      </c>
      <c r="D296" s="8">
        <f>8.2361 * CHOOSE( CONTROL!$C$15, $D$11, 100%, $F$11)</f>
        <v>8.2361000000000004</v>
      </c>
      <c r="E296" s="12">
        <f>8.2269 * CHOOSE( CONTROL!$C$15, $D$11, 100%, $F$11)</f>
        <v>8.2269000000000005</v>
      </c>
      <c r="F296" s="4">
        <f>8.9044 * CHOOSE(CONTROL!$C$15, $D$11, 100%, $F$11)</f>
        <v>8.9044000000000008</v>
      </c>
      <c r="G296" s="8">
        <f>8.0009 * CHOOSE( CONTROL!$C$15, $D$11, 100%, $F$11)</f>
        <v>8.0008999999999997</v>
      </c>
      <c r="H296" s="4">
        <f>8.9317 * CHOOSE(CONTROL!$C$15, $D$11, 100%, $F$11)</f>
        <v>8.9316999999999993</v>
      </c>
      <c r="I296" s="8">
        <f>7.9583 * CHOOSE(CONTROL!$C$15, $D$11, 100%, $F$11)</f>
        <v>7.9583000000000004</v>
      </c>
      <c r="J296" s="4">
        <f>7.8499 * CHOOSE(CONTROL!$C$15, $D$11, 100%, $F$11)</f>
        <v>7.8498999999999999</v>
      </c>
      <c r="K296" s="4"/>
      <c r="L296" s="9">
        <v>30.092199999999998</v>
      </c>
      <c r="M296" s="9">
        <v>11.6745</v>
      </c>
      <c r="N296" s="9">
        <v>4.7850000000000001</v>
      </c>
      <c r="O296" s="9">
        <v>0.36199999999999999</v>
      </c>
      <c r="P296" s="9">
        <v>1.1791</v>
      </c>
      <c r="Q296" s="9">
        <v>29.4696</v>
      </c>
      <c r="R296" s="9"/>
      <c r="S296" s="11"/>
    </row>
    <row r="297" spans="1:19" ht="15.75">
      <c r="A297" s="13">
        <v>50556</v>
      </c>
      <c r="B297" s="8">
        <f>CHOOSE( CONTROL!$C$32, 8.4292, 8.4244) * CHOOSE(CONTROL!$C$15, $D$11, 100%, $F$11)</f>
        <v>8.4291999999999998</v>
      </c>
      <c r="C297" s="8">
        <f>CHOOSE( CONTROL!$C$32, 8.4373, 8.4325) * CHOOSE(CONTROL!$C$15, $D$11, 100%, $F$11)</f>
        <v>8.4373000000000005</v>
      </c>
      <c r="D297" s="8">
        <f>CHOOSE( CONTROL!$C$32, 8.4586, 8.4538) * CHOOSE( CONTROL!$C$15, $D$11, 100%, $F$11)</f>
        <v>8.4586000000000006</v>
      </c>
      <c r="E297" s="12">
        <f>CHOOSE( CONTROL!$C$32, 8.4496, 8.4448) * CHOOSE( CONTROL!$C$15, $D$11, 100%, $F$11)</f>
        <v>8.4496000000000002</v>
      </c>
      <c r="F297" s="4">
        <f>CHOOSE( CONTROL!$C$32, 9.1271, 9.1222) * CHOOSE(CONTROL!$C$15, $D$11, 100%, $F$11)</f>
        <v>9.1271000000000004</v>
      </c>
      <c r="G297" s="8">
        <f>CHOOSE( CONTROL!$C$32, 8.2193, 8.2146) * CHOOSE( CONTROL!$C$15, $D$11, 100%, $F$11)</f>
        <v>8.2193000000000005</v>
      </c>
      <c r="H297" s="4">
        <f>CHOOSE( CONTROL!$C$32, 9.1492, 9.1445) * CHOOSE(CONTROL!$C$15, $D$11, 100%, $F$11)</f>
        <v>9.1492000000000004</v>
      </c>
      <c r="I297" s="8">
        <f>CHOOSE( CONTROL!$C$32, 8.1722, 8.1676) * CHOOSE(CONTROL!$C$15, $D$11, 100%, $F$11)</f>
        <v>8.1722000000000001</v>
      </c>
      <c r="J297" s="4">
        <f>CHOOSE( CONTROL!$C$32, 8.0637, 8.0591) * CHOOSE(CONTROL!$C$15, $D$11, 100%, $F$11)</f>
        <v>8.0637000000000008</v>
      </c>
      <c r="K297" s="4"/>
      <c r="L297" s="9">
        <v>30.7165</v>
      </c>
      <c r="M297" s="9">
        <v>12.063700000000001</v>
      </c>
      <c r="N297" s="9">
        <v>4.9444999999999997</v>
      </c>
      <c r="O297" s="9">
        <v>0.37409999999999999</v>
      </c>
      <c r="P297" s="9">
        <v>1.2183999999999999</v>
      </c>
      <c r="Q297" s="9">
        <v>30.451899999999998</v>
      </c>
      <c r="R297" s="9"/>
      <c r="S297" s="11"/>
    </row>
    <row r="298" spans="1:19" ht="15.75">
      <c r="A298" s="13">
        <v>50586</v>
      </c>
      <c r="B298" s="8">
        <f>CHOOSE( CONTROL!$C$32, 8.2943, 8.2895) * CHOOSE(CONTROL!$C$15, $D$11, 100%, $F$11)</f>
        <v>8.2942999999999998</v>
      </c>
      <c r="C298" s="8">
        <f>CHOOSE( CONTROL!$C$32, 8.3024, 8.2975) * CHOOSE(CONTROL!$C$15, $D$11, 100%, $F$11)</f>
        <v>8.3024000000000004</v>
      </c>
      <c r="D298" s="8">
        <f>CHOOSE( CONTROL!$C$32, 8.3239, 8.319) * CHOOSE( CONTROL!$C$15, $D$11, 100%, $F$11)</f>
        <v>8.3239000000000001</v>
      </c>
      <c r="E298" s="12">
        <f>CHOOSE( CONTROL!$C$32, 8.3149, 8.31) * CHOOSE( CONTROL!$C$15, $D$11, 100%, $F$11)</f>
        <v>8.3148999999999997</v>
      </c>
      <c r="F298" s="4">
        <f>CHOOSE( CONTROL!$C$32, 8.9921, 8.9873) * CHOOSE(CONTROL!$C$15, $D$11, 100%, $F$11)</f>
        <v>8.9921000000000006</v>
      </c>
      <c r="G298" s="8">
        <f>CHOOSE( CONTROL!$C$32, 8.0878, 8.0831) * CHOOSE( CONTROL!$C$15, $D$11, 100%, $F$11)</f>
        <v>8.0877999999999997</v>
      </c>
      <c r="H298" s="4">
        <f>CHOOSE( CONTROL!$C$32, 9.0174, 9.0127) * CHOOSE(CONTROL!$C$15, $D$11, 100%, $F$11)</f>
        <v>9.0174000000000003</v>
      </c>
      <c r="I298" s="8">
        <f>CHOOSE( CONTROL!$C$32, 8.0435, 8.0389) * CHOOSE(CONTROL!$C$15, $D$11, 100%, $F$11)</f>
        <v>8.0434999999999999</v>
      </c>
      <c r="J298" s="4">
        <f>CHOOSE( CONTROL!$C$32, 7.9341, 7.9295) * CHOOSE(CONTROL!$C$15, $D$11, 100%, $F$11)</f>
        <v>7.9340999999999999</v>
      </c>
      <c r="K298" s="4"/>
      <c r="L298" s="9">
        <v>29.7257</v>
      </c>
      <c r="M298" s="9">
        <v>11.6745</v>
      </c>
      <c r="N298" s="9">
        <v>4.7850000000000001</v>
      </c>
      <c r="O298" s="9">
        <v>0.36199999999999999</v>
      </c>
      <c r="P298" s="9">
        <v>1.1791</v>
      </c>
      <c r="Q298" s="9">
        <v>29.4696</v>
      </c>
      <c r="R298" s="9"/>
      <c r="S298" s="11"/>
    </row>
    <row r="299" spans="1:19" ht="15.75">
      <c r="A299" s="13">
        <v>50617</v>
      </c>
      <c r="B299" s="8">
        <f>CHOOSE( CONTROL!$C$32, 8.6497, 8.6448) * CHOOSE(CONTROL!$C$15, $D$11, 100%, $F$11)</f>
        <v>8.6496999999999993</v>
      </c>
      <c r="C299" s="8">
        <f>CHOOSE( CONTROL!$C$32, 8.6578, 8.6529) * CHOOSE(CONTROL!$C$15, $D$11, 100%, $F$11)</f>
        <v>8.6577999999999999</v>
      </c>
      <c r="D299" s="8">
        <f>CHOOSE( CONTROL!$C$32, 8.6795, 8.6747) * CHOOSE( CONTROL!$C$15, $D$11, 100%, $F$11)</f>
        <v>8.6795000000000009</v>
      </c>
      <c r="E299" s="12">
        <f>CHOOSE( CONTROL!$C$32, 8.6704, 8.6656) * CHOOSE( CONTROL!$C$15, $D$11, 100%, $F$11)</f>
        <v>8.6704000000000008</v>
      </c>
      <c r="F299" s="4">
        <f>CHOOSE( CONTROL!$C$32, 9.3475, 9.3427) * CHOOSE(CONTROL!$C$15, $D$11, 100%, $F$11)</f>
        <v>9.3475000000000001</v>
      </c>
      <c r="G299" s="8">
        <f>CHOOSE( CONTROL!$C$32, 8.4353, 8.4306) * CHOOSE( CONTROL!$C$15, $D$11, 100%, $F$11)</f>
        <v>8.4352999999999998</v>
      </c>
      <c r="H299" s="4">
        <f>CHOOSE( CONTROL!$C$32, 9.3645, 9.3598) * CHOOSE(CONTROL!$C$15, $D$11, 100%, $F$11)</f>
        <v>9.3644999999999996</v>
      </c>
      <c r="I299" s="8">
        <f>CHOOSE( CONTROL!$C$32, 8.386, 8.3814) * CHOOSE(CONTROL!$C$15, $D$11, 100%, $F$11)</f>
        <v>8.3859999999999992</v>
      </c>
      <c r="J299" s="4">
        <f>CHOOSE( CONTROL!$C$32, 8.2753, 8.2707) * CHOOSE(CONTROL!$C$15, $D$11, 100%, $F$11)</f>
        <v>8.2752999999999997</v>
      </c>
      <c r="K299" s="4"/>
      <c r="L299" s="9">
        <v>30.7165</v>
      </c>
      <c r="M299" s="9">
        <v>12.063700000000001</v>
      </c>
      <c r="N299" s="9">
        <v>4.9444999999999997</v>
      </c>
      <c r="O299" s="9">
        <v>0.37409999999999999</v>
      </c>
      <c r="P299" s="9">
        <v>1.2183999999999999</v>
      </c>
      <c r="Q299" s="9">
        <v>30.451899999999998</v>
      </c>
      <c r="R299" s="9"/>
      <c r="S299" s="11"/>
    </row>
    <row r="300" spans="1:19" ht="15.75">
      <c r="A300" s="13">
        <v>50648</v>
      </c>
      <c r="B300" s="8">
        <f>CHOOSE( CONTROL!$C$32, 7.9847, 7.9799) * CHOOSE(CONTROL!$C$15, $D$11, 100%, $F$11)</f>
        <v>7.9847000000000001</v>
      </c>
      <c r="C300" s="8">
        <f>CHOOSE( CONTROL!$C$32, 7.9928, 7.988) * CHOOSE(CONTROL!$C$15, $D$11, 100%, $F$11)</f>
        <v>7.9927999999999999</v>
      </c>
      <c r="D300" s="8">
        <f>CHOOSE( CONTROL!$C$32, 8.0146, 8.0098) * CHOOSE( CONTROL!$C$15, $D$11, 100%, $F$11)</f>
        <v>8.0145999999999997</v>
      </c>
      <c r="E300" s="12">
        <f>CHOOSE( CONTROL!$C$32, 8.0055, 8.0007) * CHOOSE( CONTROL!$C$15, $D$11, 100%, $F$11)</f>
        <v>8.0054999999999996</v>
      </c>
      <c r="F300" s="4">
        <f>CHOOSE( CONTROL!$C$32, 8.6825, 8.6777) * CHOOSE(CONTROL!$C$15, $D$11, 100%, $F$11)</f>
        <v>8.6824999999999992</v>
      </c>
      <c r="G300" s="8">
        <f>CHOOSE( CONTROL!$C$32, 7.7859, 7.7812) * CHOOSE( CONTROL!$C$15, $D$11, 100%, $F$11)</f>
        <v>7.7858999999999998</v>
      </c>
      <c r="H300" s="4">
        <f>CHOOSE( CONTROL!$C$32, 8.715, 8.7103) * CHOOSE(CONTROL!$C$15, $D$11, 100%, $F$11)</f>
        <v>8.7149999999999999</v>
      </c>
      <c r="I300" s="8">
        <f>CHOOSE( CONTROL!$C$32, 7.7475, 7.7429) * CHOOSE(CONTROL!$C$15, $D$11, 100%, $F$11)</f>
        <v>7.7474999999999996</v>
      </c>
      <c r="J300" s="4">
        <f>CHOOSE( CONTROL!$C$32, 7.6369, 7.6323) * CHOOSE(CONTROL!$C$15, $D$11, 100%, $F$11)</f>
        <v>7.6368999999999998</v>
      </c>
      <c r="K300" s="4"/>
      <c r="L300" s="9">
        <v>30.7165</v>
      </c>
      <c r="M300" s="9">
        <v>12.063700000000001</v>
      </c>
      <c r="N300" s="9">
        <v>4.9444999999999997</v>
      </c>
      <c r="O300" s="9">
        <v>0.37409999999999999</v>
      </c>
      <c r="P300" s="9">
        <v>1.2183999999999999</v>
      </c>
      <c r="Q300" s="9">
        <v>30.451899999999998</v>
      </c>
      <c r="R300" s="9"/>
      <c r="S300" s="11"/>
    </row>
    <row r="301" spans="1:19" ht="15.75">
      <c r="A301" s="13">
        <v>50678</v>
      </c>
      <c r="B301" s="8">
        <f>CHOOSE( CONTROL!$C$32, 7.8182, 7.8134) * CHOOSE(CONTROL!$C$15, $D$11, 100%, $F$11)</f>
        <v>7.8182</v>
      </c>
      <c r="C301" s="8">
        <f>CHOOSE( CONTROL!$C$32, 7.8263, 7.8214) * CHOOSE(CONTROL!$C$15, $D$11, 100%, $F$11)</f>
        <v>7.8262999999999998</v>
      </c>
      <c r="D301" s="8">
        <f>CHOOSE( CONTROL!$C$32, 7.8481, 7.8432) * CHOOSE( CONTROL!$C$15, $D$11, 100%, $F$11)</f>
        <v>7.8480999999999996</v>
      </c>
      <c r="E301" s="12">
        <f>CHOOSE( CONTROL!$C$32, 7.839, 7.8341) * CHOOSE( CONTROL!$C$15, $D$11, 100%, $F$11)</f>
        <v>7.8390000000000004</v>
      </c>
      <c r="F301" s="4">
        <f>CHOOSE( CONTROL!$C$32, 8.516, 8.5112) * CHOOSE(CONTROL!$C$15, $D$11, 100%, $F$11)</f>
        <v>8.516</v>
      </c>
      <c r="G301" s="8">
        <f>CHOOSE( CONTROL!$C$32, 7.6232, 7.6185) * CHOOSE( CONTROL!$C$15, $D$11, 100%, $F$11)</f>
        <v>7.6231999999999998</v>
      </c>
      <c r="H301" s="4">
        <f>CHOOSE( CONTROL!$C$32, 8.5524, 8.5477) * CHOOSE(CONTROL!$C$15, $D$11, 100%, $F$11)</f>
        <v>8.5524000000000004</v>
      </c>
      <c r="I301" s="8">
        <f>CHOOSE( CONTROL!$C$32, 7.5875, 7.5829) * CHOOSE(CONTROL!$C$15, $D$11, 100%, $F$11)</f>
        <v>7.5875000000000004</v>
      </c>
      <c r="J301" s="4">
        <f>CHOOSE( CONTROL!$C$32, 7.477, 7.4724) * CHOOSE(CONTROL!$C$15, $D$11, 100%, $F$11)</f>
        <v>7.4770000000000003</v>
      </c>
      <c r="K301" s="4"/>
      <c r="L301" s="9">
        <v>29.7257</v>
      </c>
      <c r="M301" s="9">
        <v>11.6745</v>
      </c>
      <c r="N301" s="9">
        <v>4.7850000000000001</v>
      </c>
      <c r="O301" s="9">
        <v>0.36199999999999999</v>
      </c>
      <c r="P301" s="9">
        <v>1.1791</v>
      </c>
      <c r="Q301" s="9">
        <v>29.4696</v>
      </c>
      <c r="R301" s="9"/>
      <c r="S301" s="11"/>
    </row>
    <row r="302" spans="1:19" ht="15.75">
      <c r="A302" s="13">
        <v>50709</v>
      </c>
      <c r="B302" s="8">
        <f>8.1574 * CHOOSE(CONTROL!$C$15, $D$11, 100%, $F$11)</f>
        <v>8.1574000000000009</v>
      </c>
      <c r="C302" s="8">
        <f>8.1628 * CHOOSE(CONTROL!$C$15, $D$11, 100%, $F$11)</f>
        <v>8.1628000000000007</v>
      </c>
      <c r="D302" s="8">
        <f>8.1892 * CHOOSE( CONTROL!$C$15, $D$11, 100%, $F$11)</f>
        <v>8.1891999999999996</v>
      </c>
      <c r="E302" s="12">
        <f>8.1799 * CHOOSE( CONTROL!$C$15, $D$11, 100%, $F$11)</f>
        <v>8.1798999999999999</v>
      </c>
      <c r="F302" s="4">
        <f>8.8569 * CHOOSE(CONTROL!$C$15, $D$11, 100%, $F$11)</f>
        <v>8.8568999999999996</v>
      </c>
      <c r="G302" s="8">
        <f>7.9554 * CHOOSE( CONTROL!$C$15, $D$11, 100%, $F$11)</f>
        <v>7.9554</v>
      </c>
      <c r="H302" s="4">
        <f>8.8853 * CHOOSE(CONTROL!$C$15, $D$11, 100%, $F$11)</f>
        <v>8.8853000000000009</v>
      </c>
      <c r="I302" s="8">
        <f>7.9157 * CHOOSE(CONTROL!$C$15, $D$11, 100%, $F$11)</f>
        <v>7.9157000000000002</v>
      </c>
      <c r="J302" s="4">
        <f>7.8043 * CHOOSE(CONTROL!$C$15, $D$11, 100%, $F$11)</f>
        <v>7.8042999999999996</v>
      </c>
      <c r="K302" s="4"/>
      <c r="L302" s="9">
        <v>31.095300000000002</v>
      </c>
      <c r="M302" s="9">
        <v>12.063700000000001</v>
      </c>
      <c r="N302" s="9">
        <v>4.9444999999999997</v>
      </c>
      <c r="O302" s="9">
        <v>0.37409999999999999</v>
      </c>
      <c r="P302" s="9">
        <v>1.2183999999999999</v>
      </c>
      <c r="Q302" s="9">
        <v>30.451899999999998</v>
      </c>
      <c r="R302" s="9"/>
      <c r="S302" s="11"/>
    </row>
    <row r="303" spans="1:19" ht="15.75">
      <c r="A303" s="13">
        <v>50739</v>
      </c>
      <c r="B303" s="8">
        <f>8.7951 * CHOOSE(CONTROL!$C$15, $D$11, 100%, $F$11)</f>
        <v>8.7950999999999997</v>
      </c>
      <c r="C303" s="8">
        <f>8.8003 * CHOOSE(CONTROL!$C$15, $D$11, 100%, $F$11)</f>
        <v>8.8003</v>
      </c>
      <c r="D303" s="8">
        <f>8.7896 * CHOOSE( CONTROL!$C$15, $D$11, 100%, $F$11)</f>
        <v>8.7896000000000001</v>
      </c>
      <c r="E303" s="12">
        <f>8.793 * CHOOSE( CONTROL!$C$15, $D$11, 100%, $F$11)</f>
        <v>8.7929999999999993</v>
      </c>
      <c r="F303" s="4">
        <f>9.4441 * CHOOSE(CONTROL!$C$15, $D$11, 100%, $F$11)</f>
        <v>9.4441000000000006</v>
      </c>
      <c r="G303" s="8">
        <f>8.5833 * CHOOSE( CONTROL!$C$15, $D$11, 100%, $F$11)</f>
        <v>8.5832999999999995</v>
      </c>
      <c r="H303" s="4">
        <f>9.4588 * CHOOSE(CONTROL!$C$15, $D$11, 100%, $F$11)</f>
        <v>9.4588000000000001</v>
      </c>
      <c r="I303" s="8">
        <f>8.5543 * CHOOSE(CONTROL!$C$15, $D$11, 100%, $F$11)</f>
        <v>8.5542999999999996</v>
      </c>
      <c r="J303" s="4">
        <f>8.417 * CHOOSE(CONTROL!$C$15, $D$11, 100%, $F$11)</f>
        <v>8.4169999999999998</v>
      </c>
      <c r="K303" s="4"/>
      <c r="L303" s="9">
        <v>28.360600000000002</v>
      </c>
      <c r="M303" s="9">
        <v>11.6745</v>
      </c>
      <c r="N303" s="9">
        <v>4.7850000000000001</v>
      </c>
      <c r="O303" s="9">
        <v>0.36199999999999999</v>
      </c>
      <c r="P303" s="9">
        <v>1.2509999999999999</v>
      </c>
      <c r="Q303" s="9">
        <v>29.4696</v>
      </c>
      <c r="R303" s="9"/>
      <c r="S303" s="11"/>
    </row>
    <row r="304" spans="1:19" ht="15.75">
      <c r="A304" s="13">
        <v>50770</v>
      </c>
      <c r="B304" s="8">
        <f>8.7792 * CHOOSE(CONTROL!$C$15, $D$11, 100%, $F$11)</f>
        <v>8.7791999999999994</v>
      </c>
      <c r="C304" s="8">
        <f>8.7844 * CHOOSE(CONTROL!$C$15, $D$11, 100%, $F$11)</f>
        <v>8.7843999999999998</v>
      </c>
      <c r="D304" s="8">
        <f>8.775 * CHOOSE( CONTROL!$C$15, $D$11, 100%, $F$11)</f>
        <v>8.7750000000000004</v>
      </c>
      <c r="E304" s="12">
        <f>8.7779 * CHOOSE( CONTROL!$C$15, $D$11, 100%, $F$11)</f>
        <v>8.7779000000000007</v>
      </c>
      <c r="F304" s="4">
        <f>9.4281 * CHOOSE(CONTROL!$C$15, $D$11, 100%, $F$11)</f>
        <v>9.4281000000000006</v>
      </c>
      <c r="G304" s="8">
        <f>8.5687 * CHOOSE( CONTROL!$C$15, $D$11, 100%, $F$11)</f>
        <v>8.5686999999999998</v>
      </c>
      <c r="H304" s="4">
        <f>9.4432 * CHOOSE(CONTROL!$C$15, $D$11, 100%, $F$11)</f>
        <v>9.4431999999999992</v>
      </c>
      <c r="I304" s="8">
        <f>8.5433 * CHOOSE(CONTROL!$C$15, $D$11, 100%, $F$11)</f>
        <v>8.5433000000000003</v>
      </c>
      <c r="J304" s="4">
        <f>8.4017 * CHOOSE(CONTROL!$C$15, $D$11, 100%, $F$11)</f>
        <v>8.4016999999999999</v>
      </c>
      <c r="K304" s="4"/>
      <c r="L304" s="9">
        <v>29.306000000000001</v>
      </c>
      <c r="M304" s="9">
        <v>12.063700000000001</v>
      </c>
      <c r="N304" s="9">
        <v>4.9444999999999997</v>
      </c>
      <c r="O304" s="9">
        <v>0.37409999999999999</v>
      </c>
      <c r="P304" s="9">
        <v>1.2927</v>
      </c>
      <c r="Q304" s="9">
        <v>30.451899999999998</v>
      </c>
      <c r="R304" s="9"/>
      <c r="S304" s="11"/>
    </row>
    <row r="305" spans="1:19" ht="15.75">
      <c r="A305" s="13">
        <v>50801</v>
      </c>
      <c r="B305" s="8">
        <f>9.1137 * CHOOSE(CONTROL!$C$15, $D$11, 100%, $F$11)</f>
        <v>9.1136999999999997</v>
      </c>
      <c r="C305" s="8">
        <f>9.1188 * CHOOSE(CONTROL!$C$15, $D$11, 100%, $F$11)</f>
        <v>9.1188000000000002</v>
      </c>
      <c r="D305" s="8">
        <f>9.1053 * CHOOSE( CONTROL!$C$15, $D$11, 100%, $F$11)</f>
        <v>9.1052999999999997</v>
      </c>
      <c r="E305" s="12">
        <f>9.1097 * CHOOSE( CONTROL!$C$15, $D$11, 100%, $F$11)</f>
        <v>9.1097000000000001</v>
      </c>
      <c r="F305" s="4">
        <f>9.7626 * CHOOSE(CONTROL!$C$15, $D$11, 100%, $F$11)</f>
        <v>9.7626000000000008</v>
      </c>
      <c r="G305" s="8">
        <f>8.8891 * CHOOSE( CONTROL!$C$15, $D$11, 100%, $F$11)</f>
        <v>8.8890999999999991</v>
      </c>
      <c r="H305" s="4">
        <f>9.7699 * CHOOSE(CONTROL!$C$15, $D$11, 100%, $F$11)</f>
        <v>9.7698999999999998</v>
      </c>
      <c r="I305" s="8">
        <f>8.8409 * CHOOSE(CONTROL!$C$15, $D$11, 100%, $F$11)</f>
        <v>8.8408999999999995</v>
      </c>
      <c r="J305" s="4">
        <f>8.7228 * CHOOSE(CONTROL!$C$15, $D$11, 100%, $F$11)</f>
        <v>8.7227999999999994</v>
      </c>
      <c r="K305" s="4"/>
      <c r="L305" s="9">
        <v>29.306000000000001</v>
      </c>
      <c r="M305" s="9">
        <v>12.063700000000001</v>
      </c>
      <c r="N305" s="9">
        <v>4.9444999999999997</v>
      </c>
      <c r="O305" s="9">
        <v>0.37409999999999999</v>
      </c>
      <c r="P305" s="9">
        <v>1.2927</v>
      </c>
      <c r="Q305" s="9">
        <v>30.386800000000001</v>
      </c>
      <c r="R305" s="9"/>
      <c r="S305" s="11"/>
    </row>
    <row r="306" spans="1:19" ht="15.75">
      <c r="A306" s="13">
        <v>50829</v>
      </c>
      <c r="B306" s="8">
        <f>8.5263 * CHOOSE(CONTROL!$C$15, $D$11, 100%, $F$11)</f>
        <v>8.5263000000000009</v>
      </c>
      <c r="C306" s="8">
        <f>8.5315 * CHOOSE(CONTROL!$C$15, $D$11, 100%, $F$11)</f>
        <v>8.5314999999999994</v>
      </c>
      <c r="D306" s="8">
        <f>8.518 * CHOOSE( CONTROL!$C$15, $D$11, 100%, $F$11)</f>
        <v>8.5180000000000007</v>
      </c>
      <c r="E306" s="12">
        <f>8.5224 * CHOOSE( CONTROL!$C$15, $D$11, 100%, $F$11)</f>
        <v>8.5223999999999993</v>
      </c>
      <c r="F306" s="4">
        <f>9.1752 * CHOOSE(CONTROL!$C$15, $D$11, 100%, $F$11)</f>
        <v>9.1752000000000002</v>
      </c>
      <c r="G306" s="8">
        <f>8.3154 * CHOOSE( CONTROL!$C$15, $D$11, 100%, $F$11)</f>
        <v>8.3154000000000003</v>
      </c>
      <c r="H306" s="4">
        <f>9.1962 * CHOOSE(CONTROL!$C$15, $D$11, 100%, $F$11)</f>
        <v>9.1961999999999993</v>
      </c>
      <c r="I306" s="8">
        <f>8.2767 * CHOOSE(CONTROL!$C$15, $D$11, 100%, $F$11)</f>
        <v>8.2766999999999999</v>
      </c>
      <c r="J306" s="4">
        <f>8.1589 * CHOOSE(CONTROL!$C$15, $D$11, 100%, $F$11)</f>
        <v>8.1588999999999992</v>
      </c>
      <c r="K306" s="4"/>
      <c r="L306" s="9">
        <v>26.469899999999999</v>
      </c>
      <c r="M306" s="9">
        <v>10.8962</v>
      </c>
      <c r="N306" s="9">
        <v>4.4660000000000002</v>
      </c>
      <c r="O306" s="9">
        <v>0.33789999999999998</v>
      </c>
      <c r="P306" s="9">
        <v>1.1676</v>
      </c>
      <c r="Q306" s="9">
        <v>27.446200000000001</v>
      </c>
      <c r="R306" s="9"/>
      <c r="S306" s="11"/>
    </row>
    <row r="307" spans="1:19" ht="15.75">
      <c r="A307" s="13">
        <v>50860</v>
      </c>
      <c r="B307" s="8">
        <f>8.3454 * CHOOSE(CONTROL!$C$15, $D$11, 100%, $F$11)</f>
        <v>8.3453999999999997</v>
      </c>
      <c r="C307" s="8">
        <f>8.3506 * CHOOSE(CONTROL!$C$15, $D$11, 100%, $F$11)</f>
        <v>8.3506</v>
      </c>
      <c r="D307" s="8">
        <f>8.3368 * CHOOSE( CONTROL!$C$15, $D$11, 100%, $F$11)</f>
        <v>8.3368000000000002</v>
      </c>
      <c r="E307" s="12">
        <f>8.3413 * CHOOSE( CONTROL!$C$15, $D$11, 100%, $F$11)</f>
        <v>8.3413000000000004</v>
      </c>
      <c r="F307" s="4">
        <f>8.9943 * CHOOSE(CONTROL!$C$15, $D$11, 100%, $F$11)</f>
        <v>8.9943000000000008</v>
      </c>
      <c r="G307" s="8">
        <f>8.1385 * CHOOSE( CONTROL!$C$15, $D$11, 100%, $F$11)</f>
        <v>8.1385000000000005</v>
      </c>
      <c r="H307" s="4">
        <f>9.0195 * CHOOSE(CONTROL!$C$15, $D$11, 100%, $F$11)</f>
        <v>9.0195000000000007</v>
      </c>
      <c r="I307" s="8">
        <f>8.1019 * CHOOSE(CONTROL!$C$15, $D$11, 100%, $F$11)</f>
        <v>8.1019000000000005</v>
      </c>
      <c r="J307" s="4">
        <f>7.9852 * CHOOSE(CONTROL!$C$15, $D$11, 100%, $F$11)</f>
        <v>7.9851999999999999</v>
      </c>
      <c r="K307" s="4"/>
      <c r="L307" s="9">
        <v>29.306000000000001</v>
      </c>
      <c r="M307" s="9">
        <v>12.063700000000001</v>
      </c>
      <c r="N307" s="9">
        <v>4.9444999999999997</v>
      </c>
      <c r="O307" s="9">
        <v>0.37409999999999999</v>
      </c>
      <c r="P307" s="9">
        <v>1.2927</v>
      </c>
      <c r="Q307" s="9">
        <v>30.386800000000001</v>
      </c>
      <c r="R307" s="9"/>
      <c r="S307" s="11"/>
    </row>
    <row r="308" spans="1:19" ht="15.75">
      <c r="A308" s="13">
        <v>50890</v>
      </c>
      <c r="B308" s="8">
        <f>8.4726 * CHOOSE(CONTROL!$C$15, $D$11, 100%, $F$11)</f>
        <v>8.4725999999999999</v>
      </c>
      <c r="C308" s="8">
        <f>8.4772 * CHOOSE(CONTROL!$C$15, $D$11, 100%, $F$11)</f>
        <v>8.4771999999999998</v>
      </c>
      <c r="D308" s="8">
        <f>8.5035 * CHOOSE( CONTROL!$C$15, $D$11, 100%, $F$11)</f>
        <v>8.5035000000000007</v>
      </c>
      <c r="E308" s="12">
        <f>8.4943 * CHOOSE( CONTROL!$C$15, $D$11, 100%, $F$11)</f>
        <v>8.4943000000000008</v>
      </c>
      <c r="F308" s="4">
        <f>9.1718 * CHOOSE(CONTROL!$C$15, $D$11, 100%, $F$11)</f>
        <v>9.1717999999999993</v>
      </c>
      <c r="G308" s="8">
        <f>8.262 * CHOOSE( CONTROL!$C$15, $D$11, 100%, $F$11)</f>
        <v>8.2620000000000005</v>
      </c>
      <c r="H308" s="4">
        <f>9.1929 * CHOOSE(CONTROL!$C$15, $D$11, 100%, $F$11)</f>
        <v>9.1928999999999998</v>
      </c>
      <c r="I308" s="8">
        <f>8.2152 * CHOOSE(CONTROL!$C$15, $D$11, 100%, $F$11)</f>
        <v>8.2151999999999994</v>
      </c>
      <c r="J308" s="4">
        <f>8.1066 * CHOOSE(CONTROL!$C$15, $D$11, 100%, $F$11)</f>
        <v>8.1066000000000003</v>
      </c>
      <c r="K308" s="4"/>
      <c r="L308" s="9">
        <v>30.092199999999998</v>
      </c>
      <c r="M308" s="9">
        <v>11.6745</v>
      </c>
      <c r="N308" s="9">
        <v>4.7850000000000001</v>
      </c>
      <c r="O308" s="9">
        <v>0.36199999999999999</v>
      </c>
      <c r="P308" s="9">
        <v>1.1791</v>
      </c>
      <c r="Q308" s="9">
        <v>29.406600000000001</v>
      </c>
      <c r="R308" s="9"/>
      <c r="S308" s="11"/>
    </row>
    <row r="309" spans="1:19" ht="15.75">
      <c r="A309" s="13">
        <v>50921</v>
      </c>
      <c r="B309" s="8">
        <f>CHOOSE( CONTROL!$C$32, 8.7038, 8.6989) * CHOOSE(CONTROL!$C$15, $D$11, 100%, $F$11)</f>
        <v>8.7037999999999993</v>
      </c>
      <c r="C309" s="8">
        <f>CHOOSE( CONTROL!$C$32, 8.7118, 8.707) * CHOOSE(CONTROL!$C$15, $D$11, 100%, $F$11)</f>
        <v>8.7118000000000002</v>
      </c>
      <c r="D309" s="8">
        <f>CHOOSE( CONTROL!$C$32, 8.7332, 8.7283) * CHOOSE( CONTROL!$C$15, $D$11, 100%, $F$11)</f>
        <v>8.7332000000000001</v>
      </c>
      <c r="E309" s="12">
        <f>CHOOSE( CONTROL!$C$32, 8.7242, 8.7193) * CHOOSE( CONTROL!$C$15, $D$11, 100%, $F$11)</f>
        <v>8.7241999999999997</v>
      </c>
      <c r="F309" s="4">
        <f>CHOOSE( CONTROL!$C$32, 9.4016, 9.3967) * CHOOSE(CONTROL!$C$15, $D$11, 100%, $F$11)</f>
        <v>9.4016000000000002</v>
      </c>
      <c r="G309" s="8">
        <f>CHOOSE( CONTROL!$C$32, 8.4875, 8.4827) * CHOOSE( CONTROL!$C$15, $D$11, 100%, $F$11)</f>
        <v>8.4875000000000007</v>
      </c>
      <c r="H309" s="4">
        <f>CHOOSE( CONTROL!$C$32, 9.4173, 9.4126) * CHOOSE(CONTROL!$C$15, $D$11, 100%, $F$11)</f>
        <v>9.4172999999999991</v>
      </c>
      <c r="I309" s="8">
        <f>CHOOSE( CONTROL!$C$32, 8.4359, 8.4313) * CHOOSE(CONTROL!$C$15, $D$11, 100%, $F$11)</f>
        <v>8.4359000000000002</v>
      </c>
      <c r="J309" s="4">
        <f>CHOOSE( CONTROL!$C$32, 8.3273, 8.3226) * CHOOSE(CONTROL!$C$15, $D$11, 100%, $F$11)</f>
        <v>8.3272999999999993</v>
      </c>
      <c r="K309" s="4"/>
      <c r="L309" s="9">
        <v>30.7165</v>
      </c>
      <c r="M309" s="9">
        <v>12.063700000000001</v>
      </c>
      <c r="N309" s="9">
        <v>4.9444999999999997</v>
      </c>
      <c r="O309" s="9">
        <v>0.37409999999999999</v>
      </c>
      <c r="P309" s="9">
        <v>1.2183999999999999</v>
      </c>
      <c r="Q309" s="9">
        <v>30.386800000000001</v>
      </c>
      <c r="R309" s="9"/>
      <c r="S309" s="11"/>
    </row>
    <row r="310" spans="1:19" ht="15.75">
      <c r="A310" s="13">
        <v>50951</v>
      </c>
      <c r="B310" s="8">
        <f>CHOOSE( CONTROL!$C$32, 8.5644, 8.5596) * CHOOSE(CONTROL!$C$15, $D$11, 100%, $F$11)</f>
        <v>8.5643999999999991</v>
      </c>
      <c r="C310" s="8">
        <f>CHOOSE( CONTROL!$C$32, 8.5725, 8.5676) * CHOOSE(CONTROL!$C$15, $D$11, 100%, $F$11)</f>
        <v>8.5724999999999998</v>
      </c>
      <c r="D310" s="8">
        <f>CHOOSE( CONTROL!$C$32, 8.594, 8.5892) * CHOOSE( CONTROL!$C$15, $D$11, 100%, $F$11)</f>
        <v>8.5939999999999994</v>
      </c>
      <c r="E310" s="12">
        <f>CHOOSE( CONTROL!$C$32, 8.585, 8.5802) * CHOOSE( CONTROL!$C$15, $D$11, 100%, $F$11)</f>
        <v>8.5850000000000009</v>
      </c>
      <c r="F310" s="4">
        <f>CHOOSE( CONTROL!$C$32, 9.2622, 9.2574) * CHOOSE(CONTROL!$C$15, $D$11, 100%, $F$11)</f>
        <v>9.2622</v>
      </c>
      <c r="G310" s="8">
        <f>CHOOSE( CONTROL!$C$32, 8.3516, 8.3469) * CHOOSE( CONTROL!$C$15, $D$11, 100%, $F$11)</f>
        <v>8.3515999999999995</v>
      </c>
      <c r="H310" s="4">
        <f>CHOOSE( CONTROL!$C$32, 9.2812, 9.2765) * CHOOSE(CONTROL!$C$15, $D$11, 100%, $F$11)</f>
        <v>9.2812000000000001</v>
      </c>
      <c r="I310" s="8">
        <f>CHOOSE( CONTROL!$C$32, 8.303, 8.2983) * CHOOSE(CONTROL!$C$15, $D$11, 100%, $F$11)</f>
        <v>8.3030000000000008</v>
      </c>
      <c r="J310" s="4">
        <f>CHOOSE( CONTROL!$C$32, 8.1934, 8.1888) * CHOOSE(CONTROL!$C$15, $D$11, 100%, $F$11)</f>
        <v>8.1934000000000005</v>
      </c>
      <c r="K310" s="4"/>
      <c r="L310" s="9">
        <v>29.7257</v>
      </c>
      <c r="M310" s="9">
        <v>11.6745</v>
      </c>
      <c r="N310" s="9">
        <v>4.7850000000000001</v>
      </c>
      <c r="O310" s="9">
        <v>0.36199999999999999</v>
      </c>
      <c r="P310" s="9">
        <v>1.1791</v>
      </c>
      <c r="Q310" s="9">
        <v>29.406600000000001</v>
      </c>
      <c r="R310" s="9"/>
      <c r="S310" s="11"/>
    </row>
    <row r="311" spans="1:19" ht="15.75">
      <c r="A311" s="13">
        <v>50982</v>
      </c>
      <c r="B311" s="8">
        <f>CHOOSE( CONTROL!$C$32, 8.9314, 8.9266) * CHOOSE(CONTROL!$C$15, $D$11, 100%, $F$11)</f>
        <v>8.9314</v>
      </c>
      <c r="C311" s="8">
        <f>CHOOSE( CONTROL!$C$32, 8.9395, 8.9347) * CHOOSE(CONTROL!$C$15, $D$11, 100%, $F$11)</f>
        <v>8.9395000000000007</v>
      </c>
      <c r="D311" s="8">
        <f>CHOOSE( CONTROL!$C$32, 8.9612, 8.9564) * CHOOSE( CONTROL!$C$15, $D$11, 100%, $F$11)</f>
        <v>8.9611999999999998</v>
      </c>
      <c r="E311" s="12">
        <f>CHOOSE( CONTROL!$C$32, 8.9521, 8.9473) * CHOOSE( CONTROL!$C$15, $D$11, 100%, $F$11)</f>
        <v>8.9520999999999997</v>
      </c>
      <c r="F311" s="4">
        <f>CHOOSE( CONTROL!$C$32, 9.6292, 9.6244) * CHOOSE(CONTROL!$C$15, $D$11, 100%, $F$11)</f>
        <v>9.6292000000000009</v>
      </c>
      <c r="G311" s="8">
        <f>CHOOSE( CONTROL!$C$32, 8.7104, 8.7057) * CHOOSE( CONTROL!$C$15, $D$11, 100%, $F$11)</f>
        <v>8.7103999999999999</v>
      </c>
      <c r="H311" s="4">
        <f>CHOOSE( CONTROL!$C$32, 9.6396, 9.6349) * CHOOSE(CONTROL!$C$15, $D$11, 100%, $F$11)</f>
        <v>9.6395999999999997</v>
      </c>
      <c r="I311" s="8">
        <f>CHOOSE( CONTROL!$C$32, 8.6566, 8.652) * CHOOSE(CONTROL!$C$15, $D$11, 100%, $F$11)</f>
        <v>8.6565999999999992</v>
      </c>
      <c r="J311" s="4">
        <f>CHOOSE( CONTROL!$C$32, 8.5458, 8.5412) * CHOOSE(CONTROL!$C$15, $D$11, 100%, $F$11)</f>
        <v>8.5457999999999998</v>
      </c>
      <c r="K311" s="4"/>
      <c r="L311" s="9">
        <v>30.7165</v>
      </c>
      <c r="M311" s="9">
        <v>12.063700000000001</v>
      </c>
      <c r="N311" s="9">
        <v>4.9444999999999997</v>
      </c>
      <c r="O311" s="9">
        <v>0.37409999999999999</v>
      </c>
      <c r="P311" s="9">
        <v>1.2183999999999999</v>
      </c>
      <c r="Q311" s="9">
        <v>30.386800000000001</v>
      </c>
      <c r="R311" s="9"/>
      <c r="S311" s="11"/>
    </row>
    <row r="312" spans="1:19" ht="15.75">
      <c r="A312" s="13">
        <v>51013</v>
      </c>
      <c r="B312" s="8">
        <f>CHOOSE( CONTROL!$C$32, 8.2447, 8.2399) * CHOOSE(CONTROL!$C$15, $D$11, 100%, $F$11)</f>
        <v>8.2446999999999999</v>
      </c>
      <c r="C312" s="8">
        <f>CHOOSE( CONTROL!$C$32, 8.2528, 8.2479) * CHOOSE(CONTROL!$C$15, $D$11, 100%, $F$11)</f>
        <v>8.2528000000000006</v>
      </c>
      <c r="D312" s="8">
        <f>CHOOSE( CONTROL!$C$32, 8.2746, 8.2697) * CHOOSE( CONTROL!$C$15, $D$11, 100%, $F$11)</f>
        <v>8.2745999999999995</v>
      </c>
      <c r="E312" s="12">
        <f>CHOOSE( CONTROL!$C$32, 8.2655, 8.2606) * CHOOSE( CONTROL!$C$15, $D$11, 100%, $F$11)</f>
        <v>8.2654999999999994</v>
      </c>
      <c r="F312" s="4">
        <f>CHOOSE( CONTROL!$C$32, 8.9425, 8.9377) * CHOOSE(CONTROL!$C$15, $D$11, 100%, $F$11)</f>
        <v>8.9425000000000008</v>
      </c>
      <c r="G312" s="8">
        <f>CHOOSE( CONTROL!$C$32, 8.0398, 8.0351) * CHOOSE( CONTROL!$C$15, $D$11, 100%, $F$11)</f>
        <v>8.0397999999999996</v>
      </c>
      <c r="H312" s="4">
        <f>CHOOSE( CONTROL!$C$32, 8.9689, 8.9642) * CHOOSE(CONTROL!$C$15, $D$11, 100%, $F$11)</f>
        <v>8.9688999999999997</v>
      </c>
      <c r="I312" s="8">
        <f>CHOOSE( CONTROL!$C$32, 7.9973, 7.9926) * CHOOSE(CONTROL!$C$15, $D$11, 100%, $F$11)</f>
        <v>7.9973000000000001</v>
      </c>
      <c r="J312" s="4">
        <f>CHOOSE( CONTROL!$C$32, 7.8865, 7.8819) * CHOOSE(CONTROL!$C$15, $D$11, 100%, $F$11)</f>
        <v>7.8864999999999998</v>
      </c>
      <c r="K312" s="4"/>
      <c r="L312" s="9">
        <v>30.7165</v>
      </c>
      <c r="M312" s="9">
        <v>12.063700000000001</v>
      </c>
      <c r="N312" s="9">
        <v>4.9444999999999997</v>
      </c>
      <c r="O312" s="9">
        <v>0.37409999999999999</v>
      </c>
      <c r="P312" s="9">
        <v>1.2183999999999999</v>
      </c>
      <c r="Q312" s="9">
        <v>30.386800000000001</v>
      </c>
      <c r="R312" s="9"/>
      <c r="S312" s="11"/>
    </row>
    <row r="313" spans="1:19" ht="15.75">
      <c r="A313" s="13">
        <v>51043</v>
      </c>
      <c r="B313" s="8">
        <f>CHOOSE( CONTROL!$C$32, 8.0727, 8.0679) * CHOOSE(CONTROL!$C$15, $D$11, 100%, $F$11)</f>
        <v>8.0726999999999993</v>
      </c>
      <c r="C313" s="8">
        <f>CHOOSE( CONTROL!$C$32, 8.0808, 8.076) * CHOOSE(CONTROL!$C$15, $D$11, 100%, $F$11)</f>
        <v>8.0808</v>
      </c>
      <c r="D313" s="8">
        <f>CHOOSE( CONTROL!$C$32, 8.1026, 8.0978) * CHOOSE( CONTROL!$C$15, $D$11, 100%, $F$11)</f>
        <v>8.1026000000000007</v>
      </c>
      <c r="E313" s="12">
        <f>CHOOSE( CONTROL!$C$32, 8.0935, 8.0887) * CHOOSE( CONTROL!$C$15, $D$11, 100%, $F$11)</f>
        <v>8.0935000000000006</v>
      </c>
      <c r="F313" s="4">
        <f>CHOOSE( CONTROL!$C$32, 8.7705, 8.7657) * CHOOSE(CONTROL!$C$15, $D$11, 100%, $F$11)</f>
        <v>8.7705000000000002</v>
      </c>
      <c r="G313" s="8">
        <f>CHOOSE( CONTROL!$C$32, 7.8718, 7.8671) * CHOOSE( CONTROL!$C$15, $D$11, 100%, $F$11)</f>
        <v>7.8718000000000004</v>
      </c>
      <c r="H313" s="4">
        <f>CHOOSE( CONTROL!$C$32, 8.801, 8.7963) * CHOOSE(CONTROL!$C$15, $D$11, 100%, $F$11)</f>
        <v>8.8010000000000002</v>
      </c>
      <c r="I313" s="8">
        <f>CHOOSE( CONTROL!$C$32, 7.832, 7.8274) * CHOOSE(CONTROL!$C$15, $D$11, 100%, $F$11)</f>
        <v>7.8319999999999999</v>
      </c>
      <c r="J313" s="4">
        <f>CHOOSE( CONTROL!$C$32, 7.7214, 7.7168) * CHOOSE(CONTROL!$C$15, $D$11, 100%, $F$11)</f>
        <v>7.7214</v>
      </c>
      <c r="K313" s="4"/>
      <c r="L313" s="9">
        <v>29.7257</v>
      </c>
      <c r="M313" s="9">
        <v>11.6745</v>
      </c>
      <c r="N313" s="9">
        <v>4.7850000000000001</v>
      </c>
      <c r="O313" s="9">
        <v>0.36199999999999999</v>
      </c>
      <c r="P313" s="9">
        <v>1.1791</v>
      </c>
      <c r="Q313" s="9">
        <v>29.406600000000001</v>
      </c>
      <c r="R313" s="9"/>
      <c r="S313" s="11"/>
    </row>
    <row r="314" spans="1:19" ht="15.75">
      <c r="A314" s="13">
        <v>51074</v>
      </c>
      <c r="B314" s="8">
        <f>8.4232 * CHOOSE(CONTROL!$C$15, $D$11, 100%, $F$11)</f>
        <v>8.4231999999999996</v>
      </c>
      <c r="C314" s="8">
        <f>8.4287 * CHOOSE(CONTROL!$C$15, $D$11, 100%, $F$11)</f>
        <v>8.4286999999999992</v>
      </c>
      <c r="D314" s="8">
        <f>8.4551 * CHOOSE( CONTROL!$C$15, $D$11, 100%, $F$11)</f>
        <v>8.4550999999999998</v>
      </c>
      <c r="E314" s="12">
        <f>8.4458 * CHOOSE( CONTROL!$C$15, $D$11, 100%, $F$11)</f>
        <v>8.4458000000000002</v>
      </c>
      <c r="F314" s="4">
        <f>9.1228 * CHOOSE(CONTROL!$C$15, $D$11, 100%, $F$11)</f>
        <v>9.1227999999999998</v>
      </c>
      <c r="G314" s="8">
        <f>8.2151 * CHOOSE( CONTROL!$C$15, $D$11, 100%, $F$11)</f>
        <v>8.2150999999999996</v>
      </c>
      <c r="H314" s="4">
        <f>9.145 * CHOOSE(CONTROL!$C$15, $D$11, 100%, $F$11)</f>
        <v>9.1449999999999996</v>
      </c>
      <c r="I314" s="8">
        <f>8.1711 * CHOOSE(CONTROL!$C$15, $D$11, 100%, $F$11)</f>
        <v>8.1710999999999991</v>
      </c>
      <c r="J314" s="4">
        <f>8.0596 * CHOOSE(CONTROL!$C$15, $D$11, 100%, $F$11)</f>
        <v>8.0595999999999997</v>
      </c>
      <c r="K314" s="4"/>
      <c r="L314" s="9">
        <v>31.095300000000002</v>
      </c>
      <c r="M314" s="9">
        <v>12.063700000000001</v>
      </c>
      <c r="N314" s="9">
        <v>4.9444999999999997</v>
      </c>
      <c r="O314" s="9">
        <v>0.37409999999999999</v>
      </c>
      <c r="P314" s="9">
        <v>1.2183999999999999</v>
      </c>
      <c r="Q314" s="9">
        <v>30.386800000000001</v>
      </c>
      <c r="R314" s="9"/>
      <c r="S314" s="11"/>
    </row>
    <row r="315" spans="1:19" ht="15.75">
      <c r="A315" s="13">
        <v>51104</v>
      </c>
      <c r="B315" s="8">
        <f>9.0819 * CHOOSE(CONTROL!$C$15, $D$11, 100%, $F$11)</f>
        <v>9.0818999999999992</v>
      </c>
      <c r="C315" s="8">
        <f>9.087 * CHOOSE(CONTROL!$C$15, $D$11, 100%, $F$11)</f>
        <v>9.0869999999999997</v>
      </c>
      <c r="D315" s="8">
        <f>9.0763 * CHOOSE( CONTROL!$C$15, $D$11, 100%, $F$11)</f>
        <v>9.0762999999999998</v>
      </c>
      <c r="E315" s="12">
        <f>9.0797 * CHOOSE( CONTROL!$C$15, $D$11, 100%, $F$11)</f>
        <v>9.0797000000000008</v>
      </c>
      <c r="F315" s="4">
        <f>9.7308 * CHOOSE(CONTROL!$C$15, $D$11, 100%, $F$11)</f>
        <v>9.7308000000000003</v>
      </c>
      <c r="G315" s="8">
        <f>8.8633 * CHOOSE( CONTROL!$C$15, $D$11, 100%, $F$11)</f>
        <v>8.8633000000000006</v>
      </c>
      <c r="H315" s="4">
        <f>9.7388 * CHOOSE(CONTROL!$C$15, $D$11, 100%, $F$11)</f>
        <v>9.7387999999999995</v>
      </c>
      <c r="I315" s="8">
        <f>8.8297 * CHOOSE(CONTROL!$C$15, $D$11, 100%, $F$11)</f>
        <v>8.8297000000000008</v>
      </c>
      <c r="J315" s="4">
        <f>8.6923 * CHOOSE(CONTROL!$C$15, $D$11, 100%, $F$11)</f>
        <v>8.6922999999999995</v>
      </c>
      <c r="K315" s="4"/>
      <c r="L315" s="9">
        <v>28.360600000000002</v>
      </c>
      <c r="M315" s="9">
        <v>11.6745</v>
      </c>
      <c r="N315" s="9">
        <v>4.7850000000000001</v>
      </c>
      <c r="O315" s="9">
        <v>0.36199999999999999</v>
      </c>
      <c r="P315" s="9">
        <v>1.2509999999999999</v>
      </c>
      <c r="Q315" s="9">
        <v>29.406600000000001</v>
      </c>
      <c r="R315" s="9"/>
      <c r="S315" s="11"/>
    </row>
    <row r="316" spans="1:19" ht="15.75">
      <c r="A316" s="13">
        <v>51135</v>
      </c>
      <c r="B316" s="8">
        <f>9.0654 * CHOOSE(CONTROL!$C$15, $D$11, 100%, $F$11)</f>
        <v>9.0654000000000003</v>
      </c>
      <c r="C316" s="8">
        <f>9.0706 * CHOOSE(CONTROL!$C$15, $D$11, 100%, $F$11)</f>
        <v>9.0706000000000007</v>
      </c>
      <c r="D316" s="8">
        <f>9.0612 * CHOOSE( CONTROL!$C$15, $D$11, 100%, $F$11)</f>
        <v>9.0611999999999995</v>
      </c>
      <c r="E316" s="12">
        <f>9.0641 * CHOOSE( CONTROL!$C$15, $D$11, 100%, $F$11)</f>
        <v>9.0640999999999998</v>
      </c>
      <c r="F316" s="4">
        <f>9.7143 * CHOOSE(CONTROL!$C$15, $D$11, 100%, $F$11)</f>
        <v>9.7142999999999997</v>
      </c>
      <c r="G316" s="8">
        <f>8.8482 * CHOOSE( CONTROL!$C$15, $D$11, 100%, $F$11)</f>
        <v>8.8482000000000003</v>
      </c>
      <c r="H316" s="4">
        <f>9.7228 * CHOOSE(CONTROL!$C$15, $D$11, 100%, $F$11)</f>
        <v>9.7227999999999994</v>
      </c>
      <c r="I316" s="8">
        <f>8.8182 * CHOOSE(CONTROL!$C$15, $D$11, 100%, $F$11)</f>
        <v>8.8181999999999992</v>
      </c>
      <c r="J316" s="4">
        <f>8.6765 * CHOOSE(CONTROL!$C$15, $D$11, 100%, $F$11)</f>
        <v>8.6765000000000008</v>
      </c>
      <c r="K316" s="4"/>
      <c r="L316" s="9">
        <v>29.306000000000001</v>
      </c>
      <c r="M316" s="9">
        <v>12.063700000000001</v>
      </c>
      <c r="N316" s="9">
        <v>4.9444999999999997</v>
      </c>
      <c r="O316" s="9">
        <v>0.37409999999999999</v>
      </c>
      <c r="P316" s="9">
        <v>1.2927</v>
      </c>
      <c r="Q316" s="9">
        <v>30.386800000000001</v>
      </c>
      <c r="R316" s="9"/>
      <c r="S316" s="11"/>
    </row>
    <row r="317" spans="1:19" ht="15.75">
      <c r="A317" s="13">
        <v>51166</v>
      </c>
      <c r="B317" s="8">
        <f>9.4108 * CHOOSE(CONTROL!$C$15, $D$11, 100%, $F$11)</f>
        <v>9.4108000000000001</v>
      </c>
      <c r="C317" s="8">
        <f>9.416 * CHOOSE(CONTROL!$C$15, $D$11, 100%, $F$11)</f>
        <v>9.4160000000000004</v>
      </c>
      <c r="D317" s="8">
        <f>9.4024 * CHOOSE( CONTROL!$C$15, $D$11, 100%, $F$11)</f>
        <v>9.4024000000000001</v>
      </c>
      <c r="E317" s="12">
        <f>9.4068 * CHOOSE( CONTROL!$C$15, $D$11, 100%, $F$11)</f>
        <v>9.4068000000000005</v>
      </c>
      <c r="F317" s="4">
        <f>10.0597 * CHOOSE(CONTROL!$C$15, $D$11, 100%, $F$11)</f>
        <v>10.059699999999999</v>
      </c>
      <c r="G317" s="8">
        <f>9.1793 * CHOOSE( CONTROL!$C$15, $D$11, 100%, $F$11)</f>
        <v>9.1792999999999996</v>
      </c>
      <c r="H317" s="4">
        <f>10.0601 * CHOOSE(CONTROL!$C$15, $D$11, 100%, $F$11)</f>
        <v>10.0601</v>
      </c>
      <c r="I317" s="8">
        <f>9.1263 * CHOOSE(CONTROL!$C$15, $D$11, 100%, $F$11)</f>
        <v>9.1263000000000005</v>
      </c>
      <c r="J317" s="4">
        <f>9.0081 * CHOOSE(CONTROL!$C$15, $D$11, 100%, $F$11)</f>
        <v>9.0081000000000007</v>
      </c>
      <c r="K317" s="4"/>
      <c r="L317" s="9">
        <v>29.306000000000001</v>
      </c>
      <c r="M317" s="9">
        <v>12.063700000000001</v>
      </c>
      <c r="N317" s="9">
        <v>4.9444999999999997</v>
      </c>
      <c r="O317" s="9">
        <v>0.37409999999999999</v>
      </c>
      <c r="P317" s="9">
        <v>1.2927</v>
      </c>
      <c r="Q317" s="9">
        <v>30.3217</v>
      </c>
      <c r="R317" s="9"/>
      <c r="S317" s="11"/>
    </row>
    <row r="318" spans="1:19" ht="15.75">
      <c r="A318" s="13">
        <v>51194</v>
      </c>
      <c r="B318" s="8">
        <f>8.8042 * CHOOSE(CONTROL!$C$15, $D$11, 100%, $F$11)</f>
        <v>8.8041999999999998</v>
      </c>
      <c r="C318" s="8">
        <f>8.8094 * CHOOSE(CONTROL!$C$15, $D$11, 100%, $F$11)</f>
        <v>8.8094000000000001</v>
      </c>
      <c r="D318" s="8">
        <f>8.7959 * CHOOSE( CONTROL!$C$15, $D$11, 100%, $F$11)</f>
        <v>8.7958999999999996</v>
      </c>
      <c r="E318" s="12">
        <f>8.8003 * CHOOSE( CONTROL!$C$15, $D$11, 100%, $F$11)</f>
        <v>8.8003</v>
      </c>
      <c r="F318" s="4">
        <f>9.4531 * CHOOSE(CONTROL!$C$15, $D$11, 100%, $F$11)</f>
        <v>9.4530999999999992</v>
      </c>
      <c r="G318" s="8">
        <f>8.5869 * CHOOSE( CONTROL!$C$15, $D$11, 100%, $F$11)</f>
        <v>8.5869</v>
      </c>
      <c r="H318" s="4">
        <f>9.4677 * CHOOSE(CONTROL!$C$15, $D$11, 100%, $F$11)</f>
        <v>9.4677000000000007</v>
      </c>
      <c r="I318" s="8">
        <f>8.5437 * CHOOSE(CONTROL!$C$15, $D$11, 100%, $F$11)</f>
        <v>8.5436999999999994</v>
      </c>
      <c r="J318" s="4">
        <f>8.4258 * CHOOSE(CONTROL!$C$15, $D$11, 100%, $F$11)</f>
        <v>8.4258000000000006</v>
      </c>
      <c r="K318" s="4"/>
      <c r="L318" s="9">
        <v>27.415299999999998</v>
      </c>
      <c r="M318" s="9">
        <v>11.285299999999999</v>
      </c>
      <c r="N318" s="9">
        <v>4.6254999999999997</v>
      </c>
      <c r="O318" s="9">
        <v>0.34989999999999999</v>
      </c>
      <c r="P318" s="9">
        <v>1.2093</v>
      </c>
      <c r="Q318" s="9">
        <v>28.365500000000001</v>
      </c>
      <c r="R318" s="9"/>
      <c r="S318" s="11"/>
    </row>
    <row r="319" spans="1:19" ht="15.75">
      <c r="A319" s="13">
        <v>51226</v>
      </c>
      <c r="B319" s="8">
        <f>8.6174 * CHOOSE(CONTROL!$C$15, $D$11, 100%, $F$11)</f>
        <v>8.6173999999999999</v>
      </c>
      <c r="C319" s="8">
        <f>8.6226 * CHOOSE(CONTROL!$C$15, $D$11, 100%, $F$11)</f>
        <v>8.6226000000000003</v>
      </c>
      <c r="D319" s="8">
        <f>8.6088 * CHOOSE( CONTROL!$C$15, $D$11, 100%, $F$11)</f>
        <v>8.6088000000000005</v>
      </c>
      <c r="E319" s="12">
        <f>8.6133 * CHOOSE( CONTROL!$C$15, $D$11, 100%, $F$11)</f>
        <v>8.6133000000000006</v>
      </c>
      <c r="F319" s="4">
        <f>9.2663 * CHOOSE(CONTROL!$C$15, $D$11, 100%, $F$11)</f>
        <v>9.2662999999999993</v>
      </c>
      <c r="G319" s="8">
        <f>8.4042 * CHOOSE( CONTROL!$C$15, $D$11, 100%, $F$11)</f>
        <v>8.4041999999999994</v>
      </c>
      <c r="H319" s="4">
        <f>9.2852 * CHOOSE(CONTROL!$C$15, $D$11, 100%, $F$11)</f>
        <v>9.2851999999999997</v>
      </c>
      <c r="I319" s="8">
        <f>8.3632 * CHOOSE(CONTROL!$C$15, $D$11, 100%, $F$11)</f>
        <v>8.3632000000000009</v>
      </c>
      <c r="J319" s="4">
        <f>8.2464 * CHOOSE(CONTROL!$C$15, $D$11, 100%, $F$11)</f>
        <v>8.2463999999999995</v>
      </c>
      <c r="K319" s="4"/>
      <c r="L319" s="9">
        <v>29.306000000000001</v>
      </c>
      <c r="M319" s="9">
        <v>12.063700000000001</v>
      </c>
      <c r="N319" s="9">
        <v>4.9444999999999997</v>
      </c>
      <c r="O319" s="9">
        <v>0.37409999999999999</v>
      </c>
      <c r="P319" s="9">
        <v>1.2927</v>
      </c>
      <c r="Q319" s="9">
        <v>30.3217</v>
      </c>
      <c r="R319" s="9"/>
      <c r="S319" s="11"/>
    </row>
    <row r="320" spans="1:19" ht="15.75">
      <c r="A320" s="13">
        <v>51256</v>
      </c>
      <c r="B320" s="8">
        <f>8.7487 * CHOOSE(CONTROL!$C$15, $D$11, 100%, $F$11)</f>
        <v>8.7486999999999995</v>
      </c>
      <c r="C320" s="8">
        <f>8.7533 * CHOOSE(CONTROL!$C$15, $D$11, 100%, $F$11)</f>
        <v>8.7532999999999994</v>
      </c>
      <c r="D320" s="8">
        <f>8.7796 * CHOOSE( CONTROL!$C$15, $D$11, 100%, $F$11)</f>
        <v>8.7796000000000003</v>
      </c>
      <c r="E320" s="12">
        <f>8.7704 * CHOOSE( CONTROL!$C$15, $D$11, 100%, $F$11)</f>
        <v>8.7704000000000004</v>
      </c>
      <c r="F320" s="4">
        <f>9.4479 * CHOOSE(CONTROL!$C$15, $D$11, 100%, $F$11)</f>
        <v>9.4479000000000006</v>
      </c>
      <c r="G320" s="8">
        <f>8.5317 * CHOOSE( CONTROL!$C$15, $D$11, 100%, $F$11)</f>
        <v>8.5317000000000007</v>
      </c>
      <c r="H320" s="4">
        <f>9.4626 * CHOOSE(CONTROL!$C$15, $D$11, 100%, $F$11)</f>
        <v>9.4626000000000001</v>
      </c>
      <c r="I320" s="8">
        <f>8.4804 * CHOOSE(CONTROL!$C$15, $D$11, 100%, $F$11)</f>
        <v>8.4803999999999995</v>
      </c>
      <c r="J320" s="4">
        <f>8.3717 * CHOOSE(CONTROL!$C$15, $D$11, 100%, $F$11)</f>
        <v>8.3717000000000006</v>
      </c>
      <c r="K320" s="4"/>
      <c r="L320" s="9">
        <v>30.092199999999998</v>
      </c>
      <c r="M320" s="9">
        <v>11.6745</v>
      </c>
      <c r="N320" s="9">
        <v>4.7850000000000001</v>
      </c>
      <c r="O320" s="9">
        <v>0.36199999999999999</v>
      </c>
      <c r="P320" s="9">
        <v>1.1791</v>
      </c>
      <c r="Q320" s="9">
        <v>29.343599999999999</v>
      </c>
      <c r="R320" s="9"/>
      <c r="S320" s="11"/>
    </row>
    <row r="321" spans="1:19" ht="15.75">
      <c r="A321" s="13">
        <v>51287</v>
      </c>
      <c r="B321" s="8">
        <f>CHOOSE( CONTROL!$C$32, 8.9873, 8.9824) * CHOOSE(CONTROL!$C$15, $D$11, 100%, $F$11)</f>
        <v>8.9872999999999994</v>
      </c>
      <c r="C321" s="8">
        <f>CHOOSE( CONTROL!$C$32, 8.9953, 8.9905) * CHOOSE(CONTROL!$C$15, $D$11, 100%, $F$11)</f>
        <v>8.9953000000000003</v>
      </c>
      <c r="D321" s="8">
        <f>CHOOSE( CONTROL!$C$32, 9.0167, 9.0118) * CHOOSE( CONTROL!$C$15, $D$11, 100%, $F$11)</f>
        <v>9.0167000000000002</v>
      </c>
      <c r="E321" s="12">
        <f>CHOOSE( CONTROL!$C$32, 9.0077, 9.0028) * CHOOSE( CONTROL!$C$15, $D$11, 100%, $F$11)</f>
        <v>9.0076999999999998</v>
      </c>
      <c r="F321" s="4">
        <f>CHOOSE( CONTROL!$C$32, 9.6851, 9.6802) * CHOOSE(CONTROL!$C$15, $D$11, 100%, $F$11)</f>
        <v>9.6851000000000003</v>
      </c>
      <c r="G321" s="8">
        <f>CHOOSE( CONTROL!$C$32, 8.7644, 8.7596) * CHOOSE( CONTROL!$C$15, $D$11, 100%, $F$11)</f>
        <v>8.7644000000000002</v>
      </c>
      <c r="H321" s="4">
        <f>CHOOSE( CONTROL!$C$32, 9.6942, 9.6895) * CHOOSE(CONTROL!$C$15, $D$11, 100%, $F$11)</f>
        <v>9.6942000000000004</v>
      </c>
      <c r="I321" s="8">
        <f>CHOOSE( CONTROL!$C$32, 8.7082, 8.7036) * CHOOSE(CONTROL!$C$15, $D$11, 100%, $F$11)</f>
        <v>8.7081999999999997</v>
      </c>
      <c r="J321" s="4">
        <f>CHOOSE( CONTROL!$C$32, 8.5994, 8.5948) * CHOOSE(CONTROL!$C$15, $D$11, 100%, $F$11)</f>
        <v>8.5993999999999993</v>
      </c>
      <c r="K321" s="4"/>
      <c r="L321" s="9">
        <v>30.7165</v>
      </c>
      <c r="M321" s="9">
        <v>12.063700000000001</v>
      </c>
      <c r="N321" s="9">
        <v>4.9444999999999997</v>
      </c>
      <c r="O321" s="9">
        <v>0.37409999999999999</v>
      </c>
      <c r="P321" s="9">
        <v>1.2183999999999999</v>
      </c>
      <c r="Q321" s="9">
        <v>30.3217</v>
      </c>
      <c r="R321" s="9"/>
      <c r="S321" s="11"/>
    </row>
    <row r="322" spans="1:19" ht="15.75">
      <c r="A322" s="13">
        <v>51317</v>
      </c>
      <c r="B322" s="8">
        <f>CHOOSE( CONTROL!$C$32, 8.8433, 8.8385) * CHOOSE(CONTROL!$C$15, $D$11, 100%, $F$11)</f>
        <v>8.8432999999999993</v>
      </c>
      <c r="C322" s="8">
        <f>CHOOSE( CONTROL!$C$32, 8.8514, 8.8466) * CHOOSE(CONTROL!$C$15, $D$11, 100%, $F$11)</f>
        <v>8.8513999999999999</v>
      </c>
      <c r="D322" s="8">
        <f>CHOOSE( CONTROL!$C$32, 8.8729, 8.8681) * CHOOSE( CONTROL!$C$15, $D$11, 100%, $F$11)</f>
        <v>8.8728999999999996</v>
      </c>
      <c r="E322" s="12">
        <f>CHOOSE( CONTROL!$C$32, 8.8639, 8.8591) * CHOOSE( CONTROL!$C$15, $D$11, 100%, $F$11)</f>
        <v>8.8638999999999992</v>
      </c>
      <c r="F322" s="4">
        <f>CHOOSE( CONTROL!$C$32, 9.5411, 9.5363) * CHOOSE(CONTROL!$C$15, $D$11, 100%, $F$11)</f>
        <v>9.5411000000000001</v>
      </c>
      <c r="G322" s="8">
        <f>CHOOSE( CONTROL!$C$32, 8.6241, 8.6193) * CHOOSE( CONTROL!$C$15, $D$11, 100%, $F$11)</f>
        <v>8.6241000000000003</v>
      </c>
      <c r="H322" s="4">
        <f>CHOOSE( CONTROL!$C$32, 9.5536, 9.5489) * CHOOSE(CONTROL!$C$15, $D$11, 100%, $F$11)</f>
        <v>9.5535999999999994</v>
      </c>
      <c r="I322" s="8">
        <f>CHOOSE( CONTROL!$C$32, 8.5709, 8.5663) * CHOOSE(CONTROL!$C$15, $D$11, 100%, $F$11)</f>
        <v>8.5709</v>
      </c>
      <c r="J322" s="4">
        <f>CHOOSE( CONTROL!$C$32, 8.4613, 8.4566) * CHOOSE(CONTROL!$C$15, $D$11, 100%, $F$11)</f>
        <v>8.4612999999999996</v>
      </c>
      <c r="K322" s="4"/>
      <c r="L322" s="9">
        <v>29.7257</v>
      </c>
      <c r="M322" s="9">
        <v>11.6745</v>
      </c>
      <c r="N322" s="9">
        <v>4.7850000000000001</v>
      </c>
      <c r="O322" s="9">
        <v>0.36199999999999999</v>
      </c>
      <c r="P322" s="9">
        <v>1.1791</v>
      </c>
      <c r="Q322" s="9">
        <v>29.343599999999999</v>
      </c>
      <c r="R322" s="9"/>
      <c r="S322" s="11"/>
    </row>
    <row r="323" spans="1:19" ht="15.75">
      <c r="A323" s="13">
        <v>51348</v>
      </c>
      <c r="B323" s="8">
        <f>CHOOSE( CONTROL!$C$32, 9.2223, 9.2175) * CHOOSE(CONTROL!$C$15, $D$11, 100%, $F$11)</f>
        <v>9.2223000000000006</v>
      </c>
      <c r="C323" s="8">
        <f>CHOOSE( CONTROL!$C$32, 9.2304, 9.2256) * CHOOSE(CONTROL!$C$15, $D$11, 100%, $F$11)</f>
        <v>9.2303999999999995</v>
      </c>
      <c r="D323" s="8">
        <f>CHOOSE( CONTROL!$C$32, 9.2522, 9.2473) * CHOOSE( CONTROL!$C$15, $D$11, 100%, $F$11)</f>
        <v>9.2522000000000002</v>
      </c>
      <c r="E323" s="12">
        <f>CHOOSE( CONTROL!$C$32, 9.2431, 9.2382) * CHOOSE( CONTROL!$C$15, $D$11, 100%, $F$11)</f>
        <v>9.2431000000000001</v>
      </c>
      <c r="F323" s="4">
        <f>CHOOSE( CONTROL!$C$32, 9.9201, 9.9153) * CHOOSE(CONTROL!$C$15, $D$11, 100%, $F$11)</f>
        <v>9.9200999999999997</v>
      </c>
      <c r="G323" s="8">
        <f>CHOOSE( CONTROL!$C$32, 8.9946, 8.9899) * CHOOSE( CONTROL!$C$15, $D$11, 100%, $F$11)</f>
        <v>8.9946000000000002</v>
      </c>
      <c r="H323" s="4">
        <f>CHOOSE( CONTROL!$C$32, 9.9238, 9.9191) * CHOOSE(CONTROL!$C$15, $D$11, 100%, $F$11)</f>
        <v>9.9238</v>
      </c>
      <c r="I323" s="8">
        <f>CHOOSE( CONTROL!$C$32, 8.9361, 8.9315) * CHOOSE(CONTROL!$C$15, $D$11, 100%, $F$11)</f>
        <v>8.9360999999999997</v>
      </c>
      <c r="J323" s="4">
        <f>CHOOSE( CONTROL!$C$32, 8.8251, 8.8205) * CHOOSE(CONTROL!$C$15, $D$11, 100%, $F$11)</f>
        <v>8.8251000000000008</v>
      </c>
      <c r="K323" s="4"/>
      <c r="L323" s="9">
        <v>30.7165</v>
      </c>
      <c r="M323" s="9">
        <v>12.063700000000001</v>
      </c>
      <c r="N323" s="9">
        <v>4.9444999999999997</v>
      </c>
      <c r="O323" s="9">
        <v>0.37409999999999999</v>
      </c>
      <c r="P323" s="9">
        <v>1.2183999999999999</v>
      </c>
      <c r="Q323" s="9">
        <v>30.3217</v>
      </c>
      <c r="R323" s="9"/>
      <c r="S323" s="11"/>
    </row>
    <row r="324" spans="1:19" ht="15.75">
      <c r="A324" s="13">
        <v>51379</v>
      </c>
      <c r="B324" s="8">
        <f>CHOOSE( CONTROL!$C$32, 8.5132, 8.5083) * CHOOSE(CONTROL!$C$15, $D$11, 100%, $F$11)</f>
        <v>8.5131999999999994</v>
      </c>
      <c r="C324" s="8">
        <f>CHOOSE( CONTROL!$C$32, 8.5212, 8.5164) * CHOOSE(CONTROL!$C$15, $D$11, 100%, $F$11)</f>
        <v>8.5212000000000003</v>
      </c>
      <c r="D324" s="8">
        <f>CHOOSE( CONTROL!$C$32, 8.5431, 8.5382) * CHOOSE( CONTROL!$C$15, $D$11, 100%, $F$11)</f>
        <v>8.5431000000000008</v>
      </c>
      <c r="E324" s="12">
        <f>CHOOSE( CONTROL!$C$32, 8.5339, 8.5291) * CHOOSE( CONTROL!$C$15, $D$11, 100%, $F$11)</f>
        <v>8.5338999999999992</v>
      </c>
      <c r="F324" s="4">
        <f>CHOOSE( CONTROL!$C$32, 9.211, 9.2061) * CHOOSE(CONTROL!$C$15, $D$11, 100%, $F$11)</f>
        <v>9.2110000000000003</v>
      </c>
      <c r="G324" s="8">
        <f>CHOOSE( CONTROL!$C$32, 8.302, 8.2973) * CHOOSE( CONTROL!$C$15, $D$11, 100%, $F$11)</f>
        <v>8.3019999999999996</v>
      </c>
      <c r="H324" s="4">
        <f>CHOOSE( CONTROL!$C$32, 9.2312, 9.2264) * CHOOSE(CONTROL!$C$15, $D$11, 100%, $F$11)</f>
        <v>9.2311999999999994</v>
      </c>
      <c r="I324" s="8">
        <f>CHOOSE( CONTROL!$C$32, 8.2552, 8.2505) * CHOOSE(CONTROL!$C$15, $D$11, 100%, $F$11)</f>
        <v>8.2552000000000003</v>
      </c>
      <c r="J324" s="4">
        <f>CHOOSE( CONTROL!$C$32, 8.1443, 8.1396) * CHOOSE(CONTROL!$C$15, $D$11, 100%, $F$11)</f>
        <v>8.1442999999999994</v>
      </c>
      <c r="K324" s="4"/>
      <c r="L324" s="9">
        <v>30.7165</v>
      </c>
      <c r="M324" s="9">
        <v>12.063700000000001</v>
      </c>
      <c r="N324" s="9">
        <v>4.9444999999999997</v>
      </c>
      <c r="O324" s="9">
        <v>0.37409999999999999</v>
      </c>
      <c r="P324" s="9">
        <v>1.2183999999999999</v>
      </c>
      <c r="Q324" s="9">
        <v>30.3217</v>
      </c>
      <c r="R324" s="9"/>
      <c r="S324" s="11"/>
    </row>
    <row r="325" spans="1:19" ht="15.75">
      <c r="A325" s="13">
        <v>51409</v>
      </c>
      <c r="B325" s="8">
        <f>CHOOSE( CONTROL!$C$32, 8.3356, 8.3307) * CHOOSE(CONTROL!$C$15, $D$11, 100%, $F$11)</f>
        <v>8.3355999999999995</v>
      </c>
      <c r="C325" s="8">
        <f>CHOOSE( CONTROL!$C$32, 8.3437, 8.3388) * CHOOSE(CONTROL!$C$15, $D$11, 100%, $F$11)</f>
        <v>8.3437000000000001</v>
      </c>
      <c r="D325" s="8">
        <f>CHOOSE( CONTROL!$C$32, 8.3654, 8.3606) * CHOOSE( CONTROL!$C$15, $D$11, 100%, $F$11)</f>
        <v>8.3653999999999993</v>
      </c>
      <c r="E325" s="12">
        <f>CHOOSE( CONTROL!$C$32, 8.3563, 8.3515) * CHOOSE( CONTROL!$C$15, $D$11, 100%, $F$11)</f>
        <v>8.3562999999999992</v>
      </c>
      <c r="F325" s="4">
        <f>CHOOSE( CONTROL!$C$32, 9.0334, 9.0286) * CHOOSE(CONTROL!$C$15, $D$11, 100%, $F$11)</f>
        <v>9.0334000000000003</v>
      </c>
      <c r="G325" s="8">
        <f>CHOOSE( CONTROL!$C$32, 8.1286, 8.1238) * CHOOSE( CONTROL!$C$15, $D$11, 100%, $F$11)</f>
        <v>8.1286000000000005</v>
      </c>
      <c r="H325" s="4">
        <f>CHOOSE( CONTROL!$C$32, 9.0577, 9.053) * CHOOSE(CONTROL!$C$15, $D$11, 100%, $F$11)</f>
        <v>9.0577000000000005</v>
      </c>
      <c r="I325" s="8">
        <f>CHOOSE( CONTROL!$C$32, 8.0845, 8.0799) * CHOOSE(CONTROL!$C$15, $D$11, 100%, $F$11)</f>
        <v>8.0845000000000002</v>
      </c>
      <c r="J325" s="4">
        <f>CHOOSE( CONTROL!$C$32, 7.9738, 7.9691) * CHOOSE(CONTROL!$C$15, $D$11, 100%, $F$11)</f>
        <v>7.9737999999999998</v>
      </c>
      <c r="K325" s="4"/>
      <c r="L325" s="9">
        <v>29.7257</v>
      </c>
      <c r="M325" s="9">
        <v>11.6745</v>
      </c>
      <c r="N325" s="9">
        <v>4.7850000000000001</v>
      </c>
      <c r="O325" s="9">
        <v>0.36199999999999999</v>
      </c>
      <c r="P325" s="9">
        <v>1.1791</v>
      </c>
      <c r="Q325" s="9">
        <v>29.343599999999999</v>
      </c>
      <c r="R325" s="9"/>
      <c r="S325" s="11"/>
    </row>
    <row r="326" spans="1:19" ht="15.75">
      <c r="A326" s="13">
        <v>51440</v>
      </c>
      <c r="B326" s="8">
        <f>8.6978 * CHOOSE(CONTROL!$C$15, $D$11, 100%, $F$11)</f>
        <v>8.6978000000000009</v>
      </c>
      <c r="C326" s="8">
        <f>8.7032 * CHOOSE(CONTROL!$C$15, $D$11, 100%, $F$11)</f>
        <v>8.7032000000000007</v>
      </c>
      <c r="D326" s="8">
        <f>8.7296 * CHOOSE( CONTROL!$C$15, $D$11, 100%, $F$11)</f>
        <v>8.7295999999999996</v>
      </c>
      <c r="E326" s="12">
        <f>8.7203 * CHOOSE( CONTROL!$C$15, $D$11, 100%, $F$11)</f>
        <v>8.7202999999999999</v>
      </c>
      <c r="F326" s="4">
        <f>9.3973 * CHOOSE(CONTROL!$C$15, $D$11, 100%, $F$11)</f>
        <v>9.3972999999999995</v>
      </c>
      <c r="G326" s="8">
        <f>8.4832 * CHOOSE( CONTROL!$C$15, $D$11, 100%, $F$11)</f>
        <v>8.4832000000000001</v>
      </c>
      <c r="H326" s="4">
        <f>9.4131 * CHOOSE(CONTROL!$C$15, $D$11, 100%, $F$11)</f>
        <v>9.4131</v>
      </c>
      <c r="I326" s="8">
        <f>8.4348 * CHOOSE(CONTROL!$C$15, $D$11, 100%, $F$11)</f>
        <v>8.4347999999999992</v>
      </c>
      <c r="J326" s="4">
        <f>8.3231 * CHOOSE(CONTROL!$C$15, $D$11, 100%, $F$11)</f>
        <v>8.3231000000000002</v>
      </c>
      <c r="K326" s="4"/>
      <c r="L326" s="9">
        <v>31.095300000000002</v>
      </c>
      <c r="M326" s="9">
        <v>12.063700000000001</v>
      </c>
      <c r="N326" s="9">
        <v>4.9444999999999997</v>
      </c>
      <c r="O326" s="9">
        <v>0.37409999999999999</v>
      </c>
      <c r="P326" s="9">
        <v>1.2183999999999999</v>
      </c>
      <c r="Q326" s="9">
        <v>30.3217</v>
      </c>
      <c r="R326" s="9"/>
      <c r="S326" s="11"/>
    </row>
    <row r="327" spans="1:19" ht="15.75">
      <c r="A327" s="13">
        <v>51470</v>
      </c>
      <c r="B327" s="8">
        <f>9.3779 * CHOOSE(CONTROL!$C$15, $D$11, 100%, $F$11)</f>
        <v>9.3779000000000003</v>
      </c>
      <c r="C327" s="8">
        <f>9.3831 * CHOOSE(CONTROL!$C$15, $D$11, 100%, $F$11)</f>
        <v>9.3831000000000007</v>
      </c>
      <c r="D327" s="8">
        <f>9.3724 * CHOOSE( CONTROL!$C$15, $D$11, 100%, $F$11)</f>
        <v>9.3724000000000007</v>
      </c>
      <c r="E327" s="12">
        <f>9.3758 * CHOOSE( CONTROL!$C$15, $D$11, 100%, $F$11)</f>
        <v>9.3757999999999999</v>
      </c>
      <c r="F327" s="4">
        <f>10.0268 * CHOOSE(CONTROL!$C$15, $D$11, 100%, $F$11)</f>
        <v>10.0268</v>
      </c>
      <c r="G327" s="8">
        <f>9.1525 * CHOOSE( CONTROL!$C$15, $D$11, 100%, $F$11)</f>
        <v>9.1524999999999999</v>
      </c>
      <c r="H327" s="4">
        <f>10.028 * CHOOSE(CONTROL!$C$15, $D$11, 100%, $F$11)</f>
        <v>10.028</v>
      </c>
      <c r="I327" s="8">
        <f>9.1142 * CHOOSE(CONTROL!$C$15, $D$11, 100%, $F$11)</f>
        <v>9.1142000000000003</v>
      </c>
      <c r="J327" s="4">
        <f>8.9766 * CHOOSE(CONTROL!$C$15, $D$11, 100%, $F$11)</f>
        <v>8.9765999999999995</v>
      </c>
      <c r="K327" s="4"/>
      <c r="L327" s="9">
        <v>28.360600000000002</v>
      </c>
      <c r="M327" s="9">
        <v>11.6745</v>
      </c>
      <c r="N327" s="9">
        <v>4.7850000000000001</v>
      </c>
      <c r="O327" s="9">
        <v>0.36199999999999999</v>
      </c>
      <c r="P327" s="9">
        <v>1.2509999999999999</v>
      </c>
      <c r="Q327" s="9">
        <v>29.343599999999999</v>
      </c>
      <c r="R327" s="9"/>
      <c r="S327" s="11"/>
    </row>
    <row r="328" spans="1:19" ht="15.75">
      <c r="A328" s="13">
        <v>51501</v>
      </c>
      <c r="B328" s="8">
        <f>9.3609 * CHOOSE(CONTROL!$C$15, $D$11, 100%, $F$11)</f>
        <v>9.3609000000000009</v>
      </c>
      <c r="C328" s="8">
        <f>9.3661 * CHOOSE(CONTROL!$C$15, $D$11, 100%, $F$11)</f>
        <v>9.3660999999999994</v>
      </c>
      <c r="D328" s="8">
        <f>9.3567 * CHOOSE( CONTROL!$C$15, $D$11, 100%, $F$11)</f>
        <v>9.3567</v>
      </c>
      <c r="E328" s="12">
        <f>9.3596 * CHOOSE( CONTROL!$C$15, $D$11, 100%, $F$11)</f>
        <v>9.3596000000000004</v>
      </c>
      <c r="F328" s="4">
        <f>10.0098 * CHOOSE(CONTROL!$C$15, $D$11, 100%, $F$11)</f>
        <v>10.0098</v>
      </c>
      <c r="G328" s="8">
        <f>9.1369 * CHOOSE( CONTROL!$C$15, $D$11, 100%, $F$11)</f>
        <v>9.1369000000000007</v>
      </c>
      <c r="H328" s="4">
        <f>10.0114 * CHOOSE(CONTROL!$C$15, $D$11, 100%, $F$11)</f>
        <v>10.0114</v>
      </c>
      <c r="I328" s="8">
        <f>9.1021 * CHOOSE(CONTROL!$C$15, $D$11, 100%, $F$11)</f>
        <v>9.1021000000000001</v>
      </c>
      <c r="J328" s="4">
        <f>8.9603 * CHOOSE(CONTROL!$C$15, $D$11, 100%, $F$11)</f>
        <v>8.9603000000000002</v>
      </c>
      <c r="K328" s="4"/>
      <c r="L328" s="9">
        <v>29.306000000000001</v>
      </c>
      <c r="M328" s="9">
        <v>12.063700000000001</v>
      </c>
      <c r="N328" s="9">
        <v>4.9444999999999997</v>
      </c>
      <c r="O328" s="9">
        <v>0.37409999999999999</v>
      </c>
      <c r="P328" s="9">
        <v>1.2927</v>
      </c>
      <c r="Q328" s="9">
        <v>30.3217</v>
      </c>
      <c r="R328" s="9"/>
      <c r="S328" s="11"/>
    </row>
    <row r="329" spans="1:19" ht="15.75">
      <c r="A329" s="13">
        <v>51532</v>
      </c>
      <c r="B329" s="8">
        <f>9.7176 * CHOOSE(CONTROL!$C$15, $D$11, 100%, $F$11)</f>
        <v>9.7175999999999991</v>
      </c>
      <c r="C329" s="8">
        <f>9.7228 * CHOOSE(CONTROL!$C$15, $D$11, 100%, $F$11)</f>
        <v>9.7227999999999994</v>
      </c>
      <c r="D329" s="8">
        <f>9.7093 * CHOOSE( CONTROL!$C$15, $D$11, 100%, $F$11)</f>
        <v>9.7093000000000007</v>
      </c>
      <c r="E329" s="12">
        <f>9.7137 * CHOOSE( CONTROL!$C$15, $D$11, 100%, $F$11)</f>
        <v>9.7136999999999993</v>
      </c>
      <c r="F329" s="4">
        <f>10.3665 * CHOOSE(CONTROL!$C$15, $D$11, 100%, $F$11)</f>
        <v>10.3665</v>
      </c>
      <c r="G329" s="8">
        <f>9.479 * CHOOSE( CONTROL!$C$15, $D$11, 100%, $F$11)</f>
        <v>9.4789999999999992</v>
      </c>
      <c r="H329" s="4">
        <f>10.3598 * CHOOSE(CONTROL!$C$15, $D$11, 100%, $F$11)</f>
        <v>10.3598</v>
      </c>
      <c r="I329" s="8">
        <f>9.4211 * CHOOSE(CONTROL!$C$15, $D$11, 100%, $F$11)</f>
        <v>9.4210999999999991</v>
      </c>
      <c r="J329" s="4">
        <f>9.3027 * CHOOSE(CONTROL!$C$15, $D$11, 100%, $F$11)</f>
        <v>9.3026999999999997</v>
      </c>
      <c r="K329" s="4"/>
      <c r="L329" s="9">
        <v>29.306000000000001</v>
      </c>
      <c r="M329" s="9">
        <v>12.063700000000001</v>
      </c>
      <c r="N329" s="9">
        <v>4.9444999999999997</v>
      </c>
      <c r="O329" s="9">
        <v>0.37409999999999999</v>
      </c>
      <c r="P329" s="9">
        <v>1.2927</v>
      </c>
      <c r="Q329" s="9">
        <v>30.258500000000002</v>
      </c>
      <c r="R329" s="9"/>
      <c r="S329" s="11"/>
    </row>
    <row r="330" spans="1:19" ht="15.75">
      <c r="A330" s="13">
        <v>51560</v>
      </c>
      <c r="B330" s="8">
        <f>9.0912 * CHOOSE(CONTROL!$C$15, $D$11, 100%, $F$11)</f>
        <v>9.0912000000000006</v>
      </c>
      <c r="C330" s="8">
        <f>9.0964 * CHOOSE(CONTROL!$C$15, $D$11, 100%, $F$11)</f>
        <v>9.0963999999999992</v>
      </c>
      <c r="D330" s="8">
        <f>9.0829 * CHOOSE( CONTROL!$C$15, $D$11, 100%, $F$11)</f>
        <v>9.0829000000000004</v>
      </c>
      <c r="E330" s="12">
        <f>9.0873 * CHOOSE( CONTROL!$C$15, $D$11, 100%, $F$11)</f>
        <v>9.0873000000000008</v>
      </c>
      <c r="F330" s="4">
        <f>9.7401 * CHOOSE(CONTROL!$C$15, $D$11, 100%, $F$11)</f>
        <v>9.7401</v>
      </c>
      <c r="G330" s="8">
        <f>8.8672 * CHOOSE( CONTROL!$C$15, $D$11, 100%, $F$11)</f>
        <v>8.8672000000000004</v>
      </c>
      <c r="H330" s="4">
        <f>9.748 * CHOOSE(CONTROL!$C$15, $D$11, 100%, $F$11)</f>
        <v>9.7479999999999993</v>
      </c>
      <c r="I330" s="8">
        <f>8.8193 * CHOOSE(CONTROL!$C$15, $D$11, 100%, $F$11)</f>
        <v>8.8193000000000001</v>
      </c>
      <c r="J330" s="4">
        <f>8.7013 * CHOOSE(CONTROL!$C$15, $D$11, 100%, $F$11)</f>
        <v>8.7012999999999998</v>
      </c>
      <c r="K330" s="4"/>
      <c r="L330" s="9">
        <v>26.469899999999999</v>
      </c>
      <c r="M330" s="9">
        <v>10.8962</v>
      </c>
      <c r="N330" s="9">
        <v>4.4660000000000002</v>
      </c>
      <c r="O330" s="9">
        <v>0.33789999999999998</v>
      </c>
      <c r="P330" s="9">
        <v>1.1676</v>
      </c>
      <c r="Q330" s="9">
        <v>27.330200000000001</v>
      </c>
      <c r="R330" s="9"/>
      <c r="S330" s="11"/>
    </row>
    <row r="331" spans="1:19" ht="15.75">
      <c r="A331" s="13">
        <v>51591</v>
      </c>
      <c r="B331" s="8">
        <f>8.8983 * CHOOSE(CONTROL!$C$15, $D$11, 100%, $F$11)</f>
        <v>8.8983000000000008</v>
      </c>
      <c r="C331" s="8">
        <f>8.9035 * CHOOSE(CONTROL!$C$15, $D$11, 100%, $F$11)</f>
        <v>8.9034999999999993</v>
      </c>
      <c r="D331" s="8">
        <f>8.8896 * CHOOSE( CONTROL!$C$15, $D$11, 100%, $F$11)</f>
        <v>8.8895999999999997</v>
      </c>
      <c r="E331" s="12">
        <f>8.8941 * CHOOSE( CONTROL!$C$15, $D$11, 100%, $F$11)</f>
        <v>8.8940999999999999</v>
      </c>
      <c r="F331" s="4">
        <f>9.5472 * CHOOSE(CONTROL!$C$15, $D$11, 100%, $F$11)</f>
        <v>9.5472000000000001</v>
      </c>
      <c r="G331" s="8">
        <f>8.6785 * CHOOSE( CONTROL!$C$15, $D$11, 100%, $F$11)</f>
        <v>8.6784999999999997</v>
      </c>
      <c r="H331" s="4">
        <f>9.5596 * CHOOSE(CONTROL!$C$15, $D$11, 100%, $F$11)</f>
        <v>9.5595999999999997</v>
      </c>
      <c r="I331" s="8">
        <f>8.633 * CHOOSE(CONTROL!$C$15, $D$11, 100%, $F$11)</f>
        <v>8.6329999999999991</v>
      </c>
      <c r="J331" s="4">
        <f>8.5161 * CHOOSE(CONTROL!$C$15, $D$11, 100%, $F$11)</f>
        <v>8.5160999999999998</v>
      </c>
      <c r="K331" s="4"/>
      <c r="L331" s="9">
        <v>29.306000000000001</v>
      </c>
      <c r="M331" s="9">
        <v>12.063700000000001</v>
      </c>
      <c r="N331" s="9">
        <v>4.9444999999999997</v>
      </c>
      <c r="O331" s="9">
        <v>0.37409999999999999</v>
      </c>
      <c r="P331" s="9">
        <v>1.2927</v>
      </c>
      <c r="Q331" s="9">
        <v>30.258500000000002</v>
      </c>
      <c r="R331" s="9"/>
      <c r="S331" s="11"/>
    </row>
    <row r="332" spans="1:19" ht="15.75">
      <c r="A332" s="13">
        <v>51621</v>
      </c>
      <c r="B332" s="8">
        <f>9.0339 * CHOOSE(CONTROL!$C$15, $D$11, 100%, $F$11)</f>
        <v>9.0338999999999992</v>
      </c>
      <c r="C332" s="8">
        <f>9.0385 * CHOOSE(CONTROL!$C$15, $D$11, 100%, $F$11)</f>
        <v>9.0385000000000009</v>
      </c>
      <c r="D332" s="8">
        <f>9.0648 * CHOOSE( CONTROL!$C$15, $D$11, 100%, $F$11)</f>
        <v>9.0648</v>
      </c>
      <c r="E332" s="12">
        <f>9.0556 * CHOOSE( CONTROL!$C$15, $D$11, 100%, $F$11)</f>
        <v>9.0556000000000001</v>
      </c>
      <c r="F332" s="4">
        <f>9.7331 * CHOOSE(CONTROL!$C$15, $D$11, 100%, $F$11)</f>
        <v>9.7331000000000003</v>
      </c>
      <c r="G332" s="8">
        <f>8.8103 * CHOOSE( CONTROL!$C$15, $D$11, 100%, $F$11)</f>
        <v>8.8102999999999998</v>
      </c>
      <c r="H332" s="4">
        <f>9.7411 * CHOOSE(CONTROL!$C$15, $D$11, 100%, $F$11)</f>
        <v>9.7410999999999994</v>
      </c>
      <c r="I332" s="8">
        <f>8.7544 * CHOOSE(CONTROL!$C$15, $D$11, 100%, $F$11)</f>
        <v>8.7544000000000004</v>
      </c>
      <c r="J332" s="4">
        <f>8.6455 * CHOOSE(CONTROL!$C$15, $D$11, 100%, $F$11)</f>
        <v>8.6455000000000002</v>
      </c>
      <c r="K332" s="4"/>
      <c r="L332" s="9">
        <v>30.092199999999998</v>
      </c>
      <c r="M332" s="9">
        <v>11.6745</v>
      </c>
      <c r="N332" s="9">
        <v>4.7850000000000001</v>
      </c>
      <c r="O332" s="9">
        <v>0.36199999999999999</v>
      </c>
      <c r="P332" s="9">
        <v>1.1791</v>
      </c>
      <c r="Q332" s="9">
        <v>29.282399999999999</v>
      </c>
      <c r="R332" s="9"/>
      <c r="S332" s="11"/>
    </row>
    <row r="333" spans="1:19" ht="15.75">
      <c r="A333" s="13">
        <v>51652</v>
      </c>
      <c r="B333" s="8">
        <f>CHOOSE( CONTROL!$C$32, 9.28, 9.2752) * CHOOSE(CONTROL!$C$15, $D$11, 100%, $F$11)</f>
        <v>9.2799999999999994</v>
      </c>
      <c r="C333" s="8">
        <f>CHOOSE( CONTROL!$C$32, 9.2881, 9.2833) * CHOOSE(CONTROL!$C$15, $D$11, 100%, $F$11)</f>
        <v>9.2881</v>
      </c>
      <c r="D333" s="8">
        <f>CHOOSE( CONTROL!$C$32, 9.3094, 9.3046) * CHOOSE( CONTROL!$C$15, $D$11, 100%, $F$11)</f>
        <v>9.3094000000000001</v>
      </c>
      <c r="E333" s="12">
        <f>CHOOSE( CONTROL!$C$32, 9.3004, 9.2956) * CHOOSE( CONTROL!$C$15, $D$11, 100%, $F$11)</f>
        <v>9.3003999999999998</v>
      </c>
      <c r="F333" s="4">
        <f>CHOOSE( CONTROL!$C$32, 9.9778, 9.973) * CHOOSE(CONTROL!$C$15, $D$11, 100%, $F$11)</f>
        <v>9.9778000000000002</v>
      </c>
      <c r="G333" s="8">
        <f>CHOOSE( CONTROL!$C$32, 9.0503, 9.0456) * CHOOSE( CONTROL!$C$15, $D$11, 100%, $F$11)</f>
        <v>9.0503</v>
      </c>
      <c r="H333" s="4">
        <f>CHOOSE( CONTROL!$C$32, 9.9801, 9.9754) * CHOOSE(CONTROL!$C$15, $D$11, 100%, $F$11)</f>
        <v>9.9801000000000002</v>
      </c>
      <c r="I333" s="8">
        <f>CHOOSE( CONTROL!$C$32, 8.9895, 8.9848) * CHOOSE(CONTROL!$C$15, $D$11, 100%, $F$11)</f>
        <v>8.9894999999999996</v>
      </c>
      <c r="J333" s="4">
        <f>CHOOSE( CONTROL!$C$32, 8.8805, 8.8759) * CHOOSE(CONTROL!$C$15, $D$11, 100%, $F$11)</f>
        <v>8.8804999999999996</v>
      </c>
      <c r="K333" s="4"/>
      <c r="L333" s="9">
        <v>30.7165</v>
      </c>
      <c r="M333" s="9">
        <v>12.063700000000001</v>
      </c>
      <c r="N333" s="9">
        <v>4.9444999999999997</v>
      </c>
      <c r="O333" s="9">
        <v>0.37409999999999999</v>
      </c>
      <c r="P333" s="9">
        <v>1.2183999999999999</v>
      </c>
      <c r="Q333" s="9">
        <v>30.258500000000002</v>
      </c>
      <c r="R333" s="9"/>
      <c r="S333" s="11"/>
    </row>
    <row r="334" spans="1:19" ht="15.75">
      <c r="A334" s="13">
        <v>51682</v>
      </c>
      <c r="B334" s="8">
        <f>CHOOSE( CONTROL!$C$32, 9.1314, 9.1265) * CHOOSE(CONTROL!$C$15, $D$11, 100%, $F$11)</f>
        <v>9.1313999999999993</v>
      </c>
      <c r="C334" s="8">
        <f>CHOOSE( CONTROL!$C$32, 9.1395, 9.1346) * CHOOSE(CONTROL!$C$15, $D$11, 100%, $F$11)</f>
        <v>9.1395</v>
      </c>
      <c r="D334" s="8">
        <f>CHOOSE( CONTROL!$C$32, 9.161, 9.1561) * CHOOSE( CONTROL!$C$15, $D$11, 100%, $F$11)</f>
        <v>9.1609999999999996</v>
      </c>
      <c r="E334" s="12">
        <f>CHOOSE( CONTROL!$C$32, 9.152, 9.1471) * CHOOSE( CONTROL!$C$15, $D$11, 100%, $F$11)</f>
        <v>9.1519999999999992</v>
      </c>
      <c r="F334" s="4">
        <f>CHOOSE( CONTROL!$C$32, 9.8292, 9.8244) * CHOOSE(CONTROL!$C$15, $D$11, 100%, $F$11)</f>
        <v>9.8292000000000002</v>
      </c>
      <c r="G334" s="8">
        <f>CHOOSE( CONTROL!$C$32, 8.9054, 8.9007) * CHOOSE( CONTROL!$C$15, $D$11, 100%, $F$11)</f>
        <v>8.9054000000000002</v>
      </c>
      <c r="H334" s="4">
        <f>CHOOSE( CONTROL!$C$32, 9.835, 9.8303) * CHOOSE(CONTROL!$C$15, $D$11, 100%, $F$11)</f>
        <v>9.8350000000000009</v>
      </c>
      <c r="I334" s="8">
        <f>CHOOSE( CONTROL!$C$32, 8.8476, 8.843) * CHOOSE(CONTROL!$C$15, $D$11, 100%, $F$11)</f>
        <v>8.8475999999999999</v>
      </c>
      <c r="J334" s="4">
        <f>CHOOSE( CONTROL!$C$32, 8.7378, 8.7332) * CHOOSE(CONTROL!$C$15, $D$11, 100%, $F$11)</f>
        <v>8.7378</v>
      </c>
      <c r="K334" s="4"/>
      <c r="L334" s="9">
        <v>29.7257</v>
      </c>
      <c r="M334" s="9">
        <v>11.6745</v>
      </c>
      <c r="N334" s="9">
        <v>4.7850000000000001</v>
      </c>
      <c r="O334" s="9">
        <v>0.36199999999999999</v>
      </c>
      <c r="P334" s="9">
        <v>1.1791</v>
      </c>
      <c r="Q334" s="9">
        <v>29.282399999999999</v>
      </c>
      <c r="R334" s="9"/>
      <c r="S334" s="11"/>
    </row>
    <row r="335" spans="1:19" ht="15.75">
      <c r="A335" s="13">
        <v>51713</v>
      </c>
      <c r="B335" s="8">
        <f>CHOOSE( CONTROL!$C$32, 9.5228, 9.518) * CHOOSE(CONTROL!$C$15, $D$11, 100%, $F$11)</f>
        <v>9.5228000000000002</v>
      </c>
      <c r="C335" s="8">
        <f>CHOOSE( CONTROL!$C$32, 9.5309, 9.526) * CHOOSE(CONTROL!$C$15, $D$11, 100%, $F$11)</f>
        <v>9.5309000000000008</v>
      </c>
      <c r="D335" s="8">
        <f>CHOOSE( CONTROL!$C$32, 9.5526, 9.5478) * CHOOSE( CONTROL!$C$15, $D$11, 100%, $F$11)</f>
        <v>9.5526</v>
      </c>
      <c r="E335" s="12">
        <f>CHOOSE( CONTROL!$C$32, 9.5435, 9.5387) * CHOOSE( CONTROL!$C$15, $D$11, 100%, $F$11)</f>
        <v>9.5434999999999999</v>
      </c>
      <c r="F335" s="4">
        <f>CHOOSE( CONTROL!$C$32, 10.2206, 10.2158) * CHOOSE(CONTROL!$C$15, $D$11, 100%, $F$11)</f>
        <v>10.220599999999999</v>
      </c>
      <c r="G335" s="8">
        <f>CHOOSE( CONTROL!$C$32, 9.2881, 9.2833) * CHOOSE( CONTROL!$C$15, $D$11, 100%, $F$11)</f>
        <v>9.2881</v>
      </c>
      <c r="H335" s="4">
        <f>CHOOSE( CONTROL!$C$32, 10.2173, 10.2125) * CHOOSE(CONTROL!$C$15, $D$11, 100%, $F$11)</f>
        <v>10.2173</v>
      </c>
      <c r="I335" s="8">
        <f>CHOOSE( CONTROL!$C$32, 9.2247, 9.2201) * CHOOSE(CONTROL!$C$15, $D$11, 100%, $F$11)</f>
        <v>9.2247000000000003</v>
      </c>
      <c r="J335" s="4">
        <f>CHOOSE( CONTROL!$C$32, 9.1136, 9.109) * CHOOSE(CONTROL!$C$15, $D$11, 100%, $F$11)</f>
        <v>9.1135999999999999</v>
      </c>
      <c r="K335" s="4"/>
      <c r="L335" s="9">
        <v>30.7165</v>
      </c>
      <c r="M335" s="9">
        <v>12.063700000000001</v>
      </c>
      <c r="N335" s="9">
        <v>4.9444999999999997</v>
      </c>
      <c r="O335" s="9">
        <v>0.37409999999999999</v>
      </c>
      <c r="P335" s="9">
        <v>1.2183999999999999</v>
      </c>
      <c r="Q335" s="9">
        <v>30.258500000000002</v>
      </c>
      <c r="R335" s="9"/>
      <c r="S335" s="11"/>
    </row>
    <row r="336" spans="1:19" ht="15.75">
      <c r="A336" s="13">
        <v>51744</v>
      </c>
      <c r="B336" s="8">
        <f>CHOOSE( CONTROL!$C$32, 8.7904, 8.7856) * CHOOSE(CONTROL!$C$15, $D$11, 100%, $F$11)</f>
        <v>8.7904</v>
      </c>
      <c r="C336" s="8">
        <f>CHOOSE( CONTROL!$C$32, 8.7985, 8.7937) * CHOOSE(CONTROL!$C$15, $D$11, 100%, $F$11)</f>
        <v>8.7985000000000007</v>
      </c>
      <c r="D336" s="8">
        <f>CHOOSE( CONTROL!$C$32, 8.8203, 8.8155) * CHOOSE( CONTROL!$C$15, $D$11, 100%, $F$11)</f>
        <v>8.8202999999999996</v>
      </c>
      <c r="E336" s="12">
        <f>CHOOSE( CONTROL!$C$32, 8.8112, 8.8064) * CHOOSE( CONTROL!$C$15, $D$11, 100%, $F$11)</f>
        <v>8.8111999999999995</v>
      </c>
      <c r="F336" s="4">
        <f>CHOOSE( CONTROL!$C$32, 9.4882, 9.4834) * CHOOSE(CONTROL!$C$15, $D$11, 100%, $F$11)</f>
        <v>9.4882000000000009</v>
      </c>
      <c r="G336" s="8">
        <f>CHOOSE( CONTROL!$C$32, 8.5728, 8.5681) * CHOOSE( CONTROL!$C$15, $D$11, 100%, $F$11)</f>
        <v>8.5728000000000009</v>
      </c>
      <c r="H336" s="4">
        <f>CHOOSE( CONTROL!$C$32, 9.502, 9.4972) * CHOOSE(CONTROL!$C$15, $D$11, 100%, $F$11)</f>
        <v>9.5020000000000007</v>
      </c>
      <c r="I336" s="8">
        <f>CHOOSE( CONTROL!$C$32, 8.5215, 8.5169) * CHOOSE(CONTROL!$C$15, $D$11, 100%, $F$11)</f>
        <v>8.5214999999999996</v>
      </c>
      <c r="J336" s="4">
        <f>CHOOSE( CONTROL!$C$32, 8.4105, 8.4058) * CHOOSE(CONTROL!$C$15, $D$11, 100%, $F$11)</f>
        <v>8.4105000000000008</v>
      </c>
      <c r="K336" s="4"/>
      <c r="L336" s="9">
        <v>30.7165</v>
      </c>
      <c r="M336" s="9">
        <v>12.063700000000001</v>
      </c>
      <c r="N336" s="9">
        <v>4.9444999999999997</v>
      </c>
      <c r="O336" s="9">
        <v>0.37409999999999999</v>
      </c>
      <c r="P336" s="9">
        <v>1.2183999999999999</v>
      </c>
      <c r="Q336" s="9">
        <v>30.258500000000002</v>
      </c>
      <c r="R336" s="9"/>
      <c r="S336" s="11"/>
    </row>
    <row r="337" spans="1:19" ht="15.75">
      <c r="A337" s="13">
        <v>51774</v>
      </c>
      <c r="B337" s="8">
        <f>CHOOSE( CONTROL!$C$32, 8.607, 8.6022) * CHOOSE(CONTROL!$C$15, $D$11, 100%, $F$11)</f>
        <v>8.6069999999999993</v>
      </c>
      <c r="C337" s="8">
        <f>CHOOSE( CONTROL!$C$32, 8.6151, 8.6103) * CHOOSE(CONTROL!$C$15, $D$11, 100%, $F$11)</f>
        <v>8.6151</v>
      </c>
      <c r="D337" s="8">
        <f>CHOOSE( CONTROL!$C$32, 8.6369, 8.6321) * CHOOSE( CONTROL!$C$15, $D$11, 100%, $F$11)</f>
        <v>8.6369000000000007</v>
      </c>
      <c r="E337" s="12">
        <f>CHOOSE( CONTROL!$C$32, 8.6278, 8.623) * CHOOSE( CONTROL!$C$15, $D$11, 100%, $F$11)</f>
        <v>8.6278000000000006</v>
      </c>
      <c r="F337" s="4">
        <f>CHOOSE( CONTROL!$C$32, 9.3048, 9.3) * CHOOSE(CONTROL!$C$15, $D$11, 100%, $F$11)</f>
        <v>9.3048000000000002</v>
      </c>
      <c r="G337" s="8">
        <f>CHOOSE( CONTROL!$C$32, 8.3937, 8.389) * CHOOSE( CONTROL!$C$15, $D$11, 100%, $F$11)</f>
        <v>8.3937000000000008</v>
      </c>
      <c r="H337" s="4">
        <f>CHOOSE( CONTROL!$C$32, 9.3228, 9.3181) * CHOOSE(CONTROL!$C$15, $D$11, 100%, $F$11)</f>
        <v>9.3228000000000009</v>
      </c>
      <c r="I337" s="8">
        <f>CHOOSE( CONTROL!$C$32, 8.3452, 8.3406) * CHOOSE(CONTROL!$C$15, $D$11, 100%, $F$11)</f>
        <v>8.3452000000000002</v>
      </c>
      <c r="J337" s="4">
        <f>CHOOSE( CONTROL!$C$32, 8.2344, 8.2297) * CHOOSE(CONTROL!$C$15, $D$11, 100%, $F$11)</f>
        <v>8.2344000000000008</v>
      </c>
      <c r="K337" s="4"/>
      <c r="L337" s="9">
        <v>29.7257</v>
      </c>
      <c r="M337" s="9">
        <v>11.6745</v>
      </c>
      <c r="N337" s="9">
        <v>4.7850000000000001</v>
      </c>
      <c r="O337" s="9">
        <v>0.36199999999999999</v>
      </c>
      <c r="P337" s="9">
        <v>1.1791</v>
      </c>
      <c r="Q337" s="9">
        <v>29.282399999999999</v>
      </c>
      <c r="R337" s="9"/>
      <c r="S337" s="11"/>
    </row>
    <row r="338" spans="1:19" ht="15.75">
      <c r="A338" s="13">
        <v>51805</v>
      </c>
      <c r="B338" s="8">
        <f>8.9813 * CHOOSE(CONTROL!$C$15, $D$11, 100%, $F$11)</f>
        <v>8.9812999999999992</v>
      </c>
      <c r="C338" s="8">
        <f>8.9867 * CHOOSE(CONTROL!$C$15, $D$11, 100%, $F$11)</f>
        <v>8.9867000000000008</v>
      </c>
      <c r="D338" s="8">
        <f>9.0131 * CHOOSE( CONTROL!$C$15, $D$11, 100%, $F$11)</f>
        <v>9.0130999999999997</v>
      </c>
      <c r="E338" s="12">
        <f>9.0038 * CHOOSE( CONTROL!$C$15, $D$11, 100%, $F$11)</f>
        <v>9.0038</v>
      </c>
      <c r="F338" s="4">
        <f>9.6808 * CHOOSE(CONTROL!$C$15, $D$11, 100%, $F$11)</f>
        <v>9.6807999999999996</v>
      </c>
      <c r="G338" s="8">
        <f>8.7601 * CHOOSE( CONTROL!$C$15, $D$11, 100%, $F$11)</f>
        <v>8.7600999999999996</v>
      </c>
      <c r="H338" s="4">
        <f>9.69 * CHOOSE(CONTROL!$C$15, $D$11, 100%, $F$11)</f>
        <v>9.69</v>
      </c>
      <c r="I338" s="8">
        <f>8.7071 * CHOOSE(CONTROL!$C$15, $D$11, 100%, $F$11)</f>
        <v>8.7071000000000005</v>
      </c>
      <c r="J338" s="4">
        <f>8.5953 * CHOOSE(CONTROL!$C$15, $D$11, 100%, $F$11)</f>
        <v>8.5952999999999999</v>
      </c>
      <c r="K338" s="4"/>
      <c r="L338" s="9">
        <v>31.095300000000002</v>
      </c>
      <c r="M338" s="9">
        <v>12.063700000000001</v>
      </c>
      <c r="N338" s="9">
        <v>4.9444999999999997</v>
      </c>
      <c r="O338" s="9">
        <v>0.37409999999999999</v>
      </c>
      <c r="P338" s="9">
        <v>1.2183999999999999</v>
      </c>
      <c r="Q338" s="9">
        <v>30.258500000000002</v>
      </c>
      <c r="R338" s="9"/>
      <c r="S338" s="11"/>
    </row>
    <row r="339" spans="1:19" ht="15.75">
      <c r="A339" s="13">
        <v>51835</v>
      </c>
      <c r="B339" s="8">
        <f>9.6837 * CHOOSE(CONTROL!$C$15, $D$11, 100%, $F$11)</f>
        <v>9.6837</v>
      </c>
      <c r="C339" s="8">
        <f>9.6889 * CHOOSE(CONTROL!$C$15, $D$11, 100%, $F$11)</f>
        <v>9.6889000000000003</v>
      </c>
      <c r="D339" s="8">
        <f>9.6781 * CHOOSE( CONTROL!$C$15, $D$11, 100%, $F$11)</f>
        <v>9.6781000000000006</v>
      </c>
      <c r="E339" s="12">
        <f>9.6815 * CHOOSE( CONTROL!$C$15, $D$11, 100%, $F$11)</f>
        <v>9.6814999999999998</v>
      </c>
      <c r="F339" s="4">
        <f>10.3326 * CHOOSE(CONTROL!$C$15, $D$11, 100%, $F$11)</f>
        <v>10.332599999999999</v>
      </c>
      <c r="G339" s="8">
        <f>9.4512 * CHOOSE( CONTROL!$C$15, $D$11, 100%, $F$11)</f>
        <v>9.4512</v>
      </c>
      <c r="H339" s="4">
        <f>10.3267 * CHOOSE(CONTROL!$C$15, $D$11, 100%, $F$11)</f>
        <v>10.326700000000001</v>
      </c>
      <c r="I339" s="8">
        <f>9.4079 * CHOOSE(CONTROL!$C$15, $D$11, 100%, $F$11)</f>
        <v>9.4078999999999997</v>
      </c>
      <c r="J339" s="4">
        <f>9.2702 * CHOOSE(CONTROL!$C$15, $D$11, 100%, $F$11)</f>
        <v>9.2702000000000009</v>
      </c>
      <c r="K339" s="4"/>
      <c r="L339" s="9">
        <v>28.360600000000002</v>
      </c>
      <c r="M339" s="9">
        <v>11.6745</v>
      </c>
      <c r="N339" s="9">
        <v>4.7850000000000001</v>
      </c>
      <c r="O339" s="9">
        <v>0.36199999999999999</v>
      </c>
      <c r="P339" s="9">
        <v>1.2509999999999999</v>
      </c>
      <c r="Q339" s="9">
        <v>29.282399999999999</v>
      </c>
      <c r="R339" s="9"/>
      <c r="S339" s="11"/>
    </row>
    <row r="340" spans="1:19" ht="15.75">
      <c r="A340" s="13">
        <v>51866</v>
      </c>
      <c r="B340" s="8">
        <f>9.6661 * CHOOSE(CONTROL!$C$15, $D$11, 100%, $F$11)</f>
        <v>9.6661000000000001</v>
      </c>
      <c r="C340" s="8">
        <f>9.6713 * CHOOSE(CONTROL!$C$15, $D$11, 100%, $F$11)</f>
        <v>9.6713000000000005</v>
      </c>
      <c r="D340" s="8">
        <f>9.6619 * CHOOSE( CONTROL!$C$15, $D$11, 100%, $F$11)</f>
        <v>9.6618999999999993</v>
      </c>
      <c r="E340" s="12">
        <f>9.6648 * CHOOSE( CONTROL!$C$15, $D$11, 100%, $F$11)</f>
        <v>9.6647999999999996</v>
      </c>
      <c r="F340" s="4">
        <f>10.3151 * CHOOSE(CONTROL!$C$15, $D$11, 100%, $F$11)</f>
        <v>10.315099999999999</v>
      </c>
      <c r="G340" s="8">
        <f>9.435 * CHOOSE( CONTROL!$C$15, $D$11, 100%, $F$11)</f>
        <v>9.4350000000000005</v>
      </c>
      <c r="H340" s="4">
        <f>10.3095 * CHOOSE(CONTROL!$C$15, $D$11, 100%, $F$11)</f>
        <v>10.3095</v>
      </c>
      <c r="I340" s="8">
        <f>9.3953 * CHOOSE(CONTROL!$C$15, $D$11, 100%, $F$11)</f>
        <v>9.3953000000000007</v>
      </c>
      <c r="J340" s="4">
        <f>9.2533 * CHOOSE(CONTROL!$C$15, $D$11, 100%, $F$11)</f>
        <v>9.2532999999999994</v>
      </c>
      <c r="K340" s="4"/>
      <c r="L340" s="9">
        <v>29.306000000000001</v>
      </c>
      <c r="M340" s="9">
        <v>12.063700000000001</v>
      </c>
      <c r="N340" s="9">
        <v>4.9444999999999997</v>
      </c>
      <c r="O340" s="9">
        <v>0.37409999999999999</v>
      </c>
      <c r="P340" s="9">
        <v>1.2927</v>
      </c>
      <c r="Q340" s="9">
        <v>30.258500000000002</v>
      </c>
      <c r="R340" s="9"/>
      <c r="S340" s="11"/>
    </row>
    <row r="341" spans="1:19" ht="15.75">
      <c r="A341" s="13">
        <v>51897</v>
      </c>
      <c r="B341" s="8">
        <f>10.0345 * CHOOSE(CONTROL!$C$15, $D$11, 100%, $F$11)</f>
        <v>10.0345</v>
      </c>
      <c r="C341" s="8">
        <f>10.0397 * CHOOSE(CONTROL!$C$15, $D$11, 100%, $F$11)</f>
        <v>10.0397</v>
      </c>
      <c r="D341" s="8">
        <f>10.0262 * CHOOSE( CONTROL!$C$15, $D$11, 100%, $F$11)</f>
        <v>10.026199999999999</v>
      </c>
      <c r="E341" s="12">
        <f>10.0306 * CHOOSE( CONTROL!$C$15, $D$11, 100%, $F$11)</f>
        <v>10.0306</v>
      </c>
      <c r="F341" s="4">
        <f>10.6834 * CHOOSE(CONTROL!$C$15, $D$11, 100%, $F$11)</f>
        <v>10.683400000000001</v>
      </c>
      <c r="G341" s="8">
        <f>9.7885 * CHOOSE( CONTROL!$C$15, $D$11, 100%, $F$11)</f>
        <v>9.7885000000000009</v>
      </c>
      <c r="H341" s="4">
        <f>10.6693 * CHOOSE(CONTROL!$C$15, $D$11, 100%, $F$11)</f>
        <v>10.6693</v>
      </c>
      <c r="I341" s="8">
        <f>9.7254 * CHOOSE(CONTROL!$C$15, $D$11, 100%, $F$11)</f>
        <v>9.7254000000000005</v>
      </c>
      <c r="J341" s="4">
        <f>9.6069 * CHOOSE(CONTROL!$C$15, $D$11, 100%, $F$11)</f>
        <v>9.6068999999999996</v>
      </c>
      <c r="K341" s="4"/>
      <c r="L341" s="9">
        <v>29.306000000000001</v>
      </c>
      <c r="M341" s="9">
        <v>12.063700000000001</v>
      </c>
      <c r="N341" s="9">
        <v>4.9444999999999997</v>
      </c>
      <c r="O341" s="9">
        <v>0.37409999999999999</v>
      </c>
      <c r="P341" s="9">
        <v>1.2927</v>
      </c>
      <c r="Q341" s="9">
        <v>20.593900000000001</v>
      </c>
      <c r="R341" s="9"/>
      <c r="S341" s="11"/>
    </row>
    <row r="342" spans="1:19" ht="15.75">
      <c r="A342" s="13">
        <v>51925</v>
      </c>
      <c r="B342" s="8">
        <f>9.3876 * CHOOSE(CONTROL!$C$15, $D$11, 100%, $F$11)</f>
        <v>9.3876000000000008</v>
      </c>
      <c r="C342" s="8">
        <f>9.3928 * CHOOSE(CONTROL!$C$15, $D$11, 100%, $F$11)</f>
        <v>9.3927999999999994</v>
      </c>
      <c r="D342" s="8">
        <f>9.3793 * CHOOSE( CONTROL!$C$15, $D$11, 100%, $F$11)</f>
        <v>9.3793000000000006</v>
      </c>
      <c r="E342" s="12">
        <f>9.3837 * CHOOSE( CONTROL!$C$15, $D$11, 100%, $F$11)</f>
        <v>9.3836999999999993</v>
      </c>
      <c r="F342" s="4">
        <f>10.0365 * CHOOSE(CONTROL!$C$15, $D$11, 100%, $F$11)</f>
        <v>10.0365</v>
      </c>
      <c r="G342" s="8">
        <f>9.1567 * CHOOSE( CONTROL!$C$15, $D$11, 100%, $F$11)</f>
        <v>9.1567000000000007</v>
      </c>
      <c r="H342" s="4">
        <f>10.0375 * CHOOSE(CONTROL!$C$15, $D$11, 100%, $F$11)</f>
        <v>10.0375</v>
      </c>
      <c r="I342" s="8">
        <f>9.1041 * CHOOSE(CONTROL!$C$15, $D$11, 100%, $F$11)</f>
        <v>9.1041000000000007</v>
      </c>
      <c r="J342" s="4">
        <f>8.9859 * CHOOSE(CONTROL!$C$15, $D$11, 100%, $F$11)</f>
        <v>8.9859000000000009</v>
      </c>
      <c r="K342" s="4"/>
      <c r="L342" s="9">
        <v>26.469899999999999</v>
      </c>
      <c r="M342" s="9">
        <v>10.8962</v>
      </c>
      <c r="N342" s="9">
        <v>4.4660000000000002</v>
      </c>
      <c r="O342" s="9">
        <v>0.33789999999999998</v>
      </c>
      <c r="P342" s="9">
        <v>1.1676</v>
      </c>
      <c r="Q342" s="9">
        <v>18.600999999999999</v>
      </c>
      <c r="R342" s="9"/>
      <c r="S342" s="11"/>
    </row>
    <row r="343" spans="1:19" ht="15.75">
      <c r="A343" s="13">
        <v>51956</v>
      </c>
      <c r="B343" s="8">
        <f>9.1884 * CHOOSE(CONTROL!$C$15, $D$11, 100%, $F$11)</f>
        <v>9.1883999999999997</v>
      </c>
      <c r="C343" s="8">
        <f>9.1936 * CHOOSE(CONTROL!$C$15, $D$11, 100%, $F$11)</f>
        <v>9.1936</v>
      </c>
      <c r="D343" s="8">
        <f>9.1797 * CHOOSE( CONTROL!$C$15, $D$11, 100%, $F$11)</f>
        <v>9.1797000000000004</v>
      </c>
      <c r="E343" s="12">
        <f>9.1842 * CHOOSE( CONTROL!$C$15, $D$11, 100%, $F$11)</f>
        <v>9.1842000000000006</v>
      </c>
      <c r="F343" s="4">
        <f>9.8373 * CHOOSE(CONTROL!$C$15, $D$11, 100%, $F$11)</f>
        <v>9.8373000000000008</v>
      </c>
      <c r="G343" s="8">
        <f>8.9619 * CHOOSE( CONTROL!$C$15, $D$11, 100%, $F$11)</f>
        <v>8.9619</v>
      </c>
      <c r="H343" s="4">
        <f>9.8429 * CHOOSE(CONTROL!$C$15, $D$11, 100%, $F$11)</f>
        <v>9.8429000000000002</v>
      </c>
      <c r="I343" s="8">
        <f>8.9117 * CHOOSE(CONTROL!$C$15, $D$11, 100%, $F$11)</f>
        <v>8.9116999999999997</v>
      </c>
      <c r="J343" s="4">
        <f>8.7946 * CHOOSE(CONTROL!$C$15, $D$11, 100%, $F$11)</f>
        <v>8.7946000000000009</v>
      </c>
      <c r="K343" s="4"/>
      <c r="L343" s="9">
        <v>29.306000000000001</v>
      </c>
      <c r="M343" s="9">
        <v>12.063700000000001</v>
      </c>
      <c r="N343" s="9">
        <v>4.9444999999999997</v>
      </c>
      <c r="O343" s="9">
        <v>0.37409999999999999</v>
      </c>
      <c r="P343" s="9">
        <v>1.2927</v>
      </c>
      <c r="Q343" s="9">
        <v>20.593900000000001</v>
      </c>
      <c r="R343" s="9"/>
      <c r="S343" s="11"/>
    </row>
    <row r="344" spans="1:19" ht="15.75">
      <c r="A344" s="13">
        <v>51986</v>
      </c>
      <c r="B344" s="8">
        <f>9.3284 * CHOOSE(CONTROL!$C$15, $D$11, 100%, $F$11)</f>
        <v>9.3284000000000002</v>
      </c>
      <c r="C344" s="8">
        <f>9.333 * CHOOSE(CONTROL!$C$15, $D$11, 100%, $F$11)</f>
        <v>9.3330000000000002</v>
      </c>
      <c r="D344" s="8">
        <f>9.3593 * CHOOSE( CONTROL!$C$15, $D$11, 100%, $F$11)</f>
        <v>9.3592999999999993</v>
      </c>
      <c r="E344" s="12">
        <f>9.3501 * CHOOSE( CONTROL!$C$15, $D$11, 100%, $F$11)</f>
        <v>9.3500999999999994</v>
      </c>
      <c r="F344" s="4">
        <f>10.0275 * CHOOSE(CONTROL!$C$15, $D$11, 100%, $F$11)</f>
        <v>10.0275</v>
      </c>
      <c r="G344" s="8">
        <f>9.0979 * CHOOSE( CONTROL!$C$15, $D$11, 100%, $F$11)</f>
        <v>9.0978999999999992</v>
      </c>
      <c r="H344" s="4">
        <f>10.0287 * CHOOSE(CONTROL!$C$15, $D$11, 100%, $F$11)</f>
        <v>10.028700000000001</v>
      </c>
      <c r="I344" s="8">
        <f>9.0372 * CHOOSE(CONTROL!$C$15, $D$11, 100%, $F$11)</f>
        <v>9.0372000000000003</v>
      </c>
      <c r="J344" s="4">
        <f>8.9283 * CHOOSE(CONTROL!$C$15, $D$11, 100%, $F$11)</f>
        <v>8.9283000000000001</v>
      </c>
      <c r="K344" s="4"/>
      <c r="L344" s="9">
        <v>30.092199999999998</v>
      </c>
      <c r="M344" s="9">
        <v>11.6745</v>
      </c>
      <c r="N344" s="9">
        <v>4.7850000000000001</v>
      </c>
      <c r="O344" s="9">
        <v>0.36199999999999999</v>
      </c>
      <c r="P344" s="9">
        <v>1.1791</v>
      </c>
      <c r="Q344" s="9">
        <v>19.929600000000001</v>
      </c>
      <c r="R344" s="9"/>
      <c r="S344" s="11"/>
    </row>
    <row r="345" spans="1:19" ht="15.75">
      <c r="A345" s="13">
        <v>52017</v>
      </c>
      <c r="B345" s="8">
        <f>CHOOSE( CONTROL!$C$32, 9.5824, 9.5775) * CHOOSE(CONTROL!$C$15, $D$11, 100%, $F$11)</f>
        <v>9.5823999999999998</v>
      </c>
      <c r="C345" s="8">
        <f>CHOOSE( CONTROL!$C$32, 9.5904, 9.5856) * CHOOSE(CONTROL!$C$15, $D$11, 100%, $F$11)</f>
        <v>9.5904000000000007</v>
      </c>
      <c r="D345" s="8">
        <f>CHOOSE( CONTROL!$C$32, 9.6118, 9.6069) * CHOOSE( CONTROL!$C$15, $D$11, 100%, $F$11)</f>
        <v>9.6118000000000006</v>
      </c>
      <c r="E345" s="12">
        <f>CHOOSE( CONTROL!$C$32, 9.6028, 9.5979) * CHOOSE( CONTROL!$C$15, $D$11, 100%, $F$11)</f>
        <v>9.6028000000000002</v>
      </c>
      <c r="F345" s="4">
        <f>CHOOSE( CONTROL!$C$32, 10.2802, 10.2753) * CHOOSE(CONTROL!$C$15, $D$11, 100%, $F$11)</f>
        <v>10.280200000000001</v>
      </c>
      <c r="G345" s="8">
        <f>CHOOSE( CONTROL!$C$32, 9.3456, 9.3409) * CHOOSE( CONTROL!$C$15, $D$11, 100%, $F$11)</f>
        <v>9.3455999999999992</v>
      </c>
      <c r="H345" s="4">
        <f>CHOOSE( CONTROL!$C$32, 10.2754, 10.2707) * CHOOSE(CONTROL!$C$15, $D$11, 100%, $F$11)</f>
        <v>10.275399999999999</v>
      </c>
      <c r="I345" s="8">
        <f>CHOOSE( CONTROL!$C$32, 9.2799, 9.2752) * CHOOSE(CONTROL!$C$15, $D$11, 100%, $F$11)</f>
        <v>9.2798999999999996</v>
      </c>
      <c r="J345" s="4">
        <f>CHOOSE( CONTROL!$C$32, 9.1708, 9.1662) * CHOOSE(CONTROL!$C$15, $D$11, 100%, $F$11)</f>
        <v>9.1707999999999998</v>
      </c>
      <c r="K345" s="4"/>
      <c r="L345" s="9">
        <v>30.7165</v>
      </c>
      <c r="M345" s="9">
        <v>12.063700000000001</v>
      </c>
      <c r="N345" s="9">
        <v>4.9444999999999997</v>
      </c>
      <c r="O345" s="9">
        <v>0.37409999999999999</v>
      </c>
      <c r="P345" s="9">
        <v>1.2183999999999999</v>
      </c>
      <c r="Q345" s="9">
        <v>20.593900000000001</v>
      </c>
      <c r="R345" s="9"/>
      <c r="S345" s="11"/>
    </row>
    <row r="346" spans="1:19" ht="15.75">
      <c r="A346" s="13">
        <v>52047</v>
      </c>
      <c r="B346" s="8">
        <f>CHOOSE( CONTROL!$C$32, 9.4289, 9.424) * CHOOSE(CONTROL!$C$15, $D$11, 100%, $F$11)</f>
        <v>9.4289000000000005</v>
      </c>
      <c r="C346" s="8">
        <f>CHOOSE( CONTROL!$C$32, 9.4369, 9.4321) * CHOOSE(CONTROL!$C$15, $D$11, 100%, $F$11)</f>
        <v>9.4368999999999996</v>
      </c>
      <c r="D346" s="8">
        <f>CHOOSE( CONTROL!$C$32, 9.4584, 9.4536) * CHOOSE( CONTROL!$C$15, $D$11, 100%, $F$11)</f>
        <v>9.4583999999999993</v>
      </c>
      <c r="E346" s="12">
        <f>CHOOSE( CONTROL!$C$32, 9.4494, 9.4446) * CHOOSE( CONTROL!$C$15, $D$11, 100%, $F$11)</f>
        <v>9.4494000000000007</v>
      </c>
      <c r="F346" s="4">
        <f>CHOOSE( CONTROL!$C$32, 10.1267, 10.1218) * CHOOSE(CONTROL!$C$15, $D$11, 100%, $F$11)</f>
        <v>10.1267</v>
      </c>
      <c r="G346" s="8">
        <f>CHOOSE( CONTROL!$C$32, 9.196, 9.1912) * CHOOSE( CONTROL!$C$15, $D$11, 100%, $F$11)</f>
        <v>9.1959999999999997</v>
      </c>
      <c r="H346" s="4">
        <f>CHOOSE( CONTROL!$C$32, 10.1255, 10.1208) * CHOOSE(CONTROL!$C$15, $D$11, 100%, $F$11)</f>
        <v>10.125500000000001</v>
      </c>
      <c r="I346" s="8">
        <f>CHOOSE( CONTROL!$C$32, 9.1334, 9.1287) * CHOOSE(CONTROL!$C$15, $D$11, 100%, $F$11)</f>
        <v>9.1334</v>
      </c>
      <c r="J346" s="4">
        <f>CHOOSE( CONTROL!$C$32, 9.0234, 9.0188) * CHOOSE(CONTROL!$C$15, $D$11, 100%, $F$11)</f>
        <v>9.0234000000000005</v>
      </c>
      <c r="K346" s="4"/>
      <c r="L346" s="9">
        <v>29.7257</v>
      </c>
      <c r="M346" s="9">
        <v>11.6745</v>
      </c>
      <c r="N346" s="9">
        <v>4.7850000000000001</v>
      </c>
      <c r="O346" s="9">
        <v>0.36199999999999999</v>
      </c>
      <c r="P346" s="9">
        <v>1.1791</v>
      </c>
      <c r="Q346" s="9">
        <v>19.929600000000001</v>
      </c>
      <c r="R346" s="9"/>
      <c r="S346" s="11"/>
    </row>
    <row r="347" spans="1:19" ht="15.75">
      <c r="A347" s="13">
        <v>52078</v>
      </c>
      <c r="B347" s="8">
        <f>CHOOSE( CONTROL!$C$32, 9.8331, 9.8282) * CHOOSE(CONTROL!$C$15, $D$11, 100%, $F$11)</f>
        <v>9.8331</v>
      </c>
      <c r="C347" s="8">
        <f>CHOOSE( CONTROL!$C$32, 9.8412, 9.8363) * CHOOSE(CONTROL!$C$15, $D$11, 100%, $F$11)</f>
        <v>9.8412000000000006</v>
      </c>
      <c r="D347" s="8">
        <f>CHOOSE( CONTROL!$C$32, 9.8629, 9.8581) * CHOOSE( CONTROL!$C$15, $D$11, 100%, $F$11)</f>
        <v>9.8628999999999998</v>
      </c>
      <c r="E347" s="12">
        <f>CHOOSE( CONTROL!$C$32, 9.8538, 9.849) * CHOOSE( CONTROL!$C$15, $D$11, 100%, $F$11)</f>
        <v>9.8537999999999997</v>
      </c>
      <c r="F347" s="4">
        <f>CHOOSE( CONTROL!$C$32, 10.5309, 10.526) * CHOOSE(CONTROL!$C$15, $D$11, 100%, $F$11)</f>
        <v>10.530900000000001</v>
      </c>
      <c r="G347" s="8">
        <f>CHOOSE( CONTROL!$C$32, 9.5911, 9.5864) * CHOOSE( CONTROL!$C$15, $D$11, 100%, $F$11)</f>
        <v>9.5911000000000008</v>
      </c>
      <c r="H347" s="4">
        <f>CHOOSE( CONTROL!$C$32, 10.5203, 10.5156) * CHOOSE(CONTROL!$C$15, $D$11, 100%, $F$11)</f>
        <v>10.520300000000001</v>
      </c>
      <c r="I347" s="8">
        <f>CHOOSE( CONTROL!$C$32, 9.5228, 9.5181) * CHOOSE(CONTROL!$C$15, $D$11, 100%, $F$11)</f>
        <v>9.5228000000000002</v>
      </c>
      <c r="J347" s="4">
        <f>CHOOSE( CONTROL!$C$32, 9.4115, 9.4069) * CHOOSE(CONTROL!$C$15, $D$11, 100%, $F$11)</f>
        <v>9.4115000000000002</v>
      </c>
      <c r="K347" s="4"/>
      <c r="L347" s="9">
        <v>30.7165</v>
      </c>
      <c r="M347" s="9">
        <v>12.063700000000001</v>
      </c>
      <c r="N347" s="9">
        <v>4.9444999999999997</v>
      </c>
      <c r="O347" s="9">
        <v>0.37409999999999999</v>
      </c>
      <c r="P347" s="9">
        <v>1.2183999999999999</v>
      </c>
      <c r="Q347" s="9">
        <v>20.593900000000001</v>
      </c>
      <c r="R347" s="9"/>
      <c r="S347" s="11"/>
    </row>
    <row r="348" spans="1:19" ht="15.75">
      <c r="A348" s="13">
        <v>52109</v>
      </c>
      <c r="B348" s="8">
        <f>CHOOSE( CONTROL!$C$32, 9.0767, 9.0719) * CHOOSE(CONTROL!$C$15, $D$11, 100%, $F$11)</f>
        <v>9.0767000000000007</v>
      </c>
      <c r="C348" s="8">
        <f>CHOOSE( CONTROL!$C$32, 9.0848, 9.08) * CHOOSE(CONTROL!$C$15, $D$11, 100%, $F$11)</f>
        <v>9.0847999999999995</v>
      </c>
      <c r="D348" s="8">
        <f>CHOOSE( CONTROL!$C$32, 9.1066, 9.1018) * CHOOSE( CONTROL!$C$15, $D$11, 100%, $F$11)</f>
        <v>9.1066000000000003</v>
      </c>
      <c r="E348" s="12">
        <f>CHOOSE( CONTROL!$C$32, 9.0975, 9.0927) * CHOOSE( CONTROL!$C$15, $D$11, 100%, $F$11)</f>
        <v>9.0975000000000001</v>
      </c>
      <c r="F348" s="4">
        <f>CHOOSE( CONTROL!$C$32, 9.7746, 9.7697) * CHOOSE(CONTROL!$C$15, $D$11, 100%, $F$11)</f>
        <v>9.7745999999999995</v>
      </c>
      <c r="G348" s="8">
        <f>CHOOSE( CONTROL!$C$32, 8.8525, 8.8478) * CHOOSE( CONTROL!$C$15, $D$11, 100%, $F$11)</f>
        <v>8.8524999999999991</v>
      </c>
      <c r="H348" s="4">
        <f>CHOOSE( CONTROL!$C$32, 9.7816, 9.7769) * CHOOSE(CONTROL!$C$15, $D$11, 100%, $F$11)</f>
        <v>9.7815999999999992</v>
      </c>
      <c r="I348" s="8">
        <f>CHOOSE( CONTROL!$C$32, 8.7965, 8.7919) * CHOOSE(CONTROL!$C$15, $D$11, 100%, $F$11)</f>
        <v>8.7965</v>
      </c>
      <c r="J348" s="4">
        <f>CHOOSE( CONTROL!$C$32, 8.6854, 8.6807) * CHOOSE(CONTROL!$C$15, $D$11, 100%, $F$11)</f>
        <v>8.6853999999999996</v>
      </c>
      <c r="K348" s="4"/>
      <c r="L348" s="9">
        <v>30.7165</v>
      </c>
      <c r="M348" s="9">
        <v>12.063700000000001</v>
      </c>
      <c r="N348" s="9">
        <v>4.9444999999999997</v>
      </c>
      <c r="O348" s="9">
        <v>0.37409999999999999</v>
      </c>
      <c r="P348" s="9">
        <v>1.2183999999999999</v>
      </c>
      <c r="Q348" s="9">
        <v>20.593900000000001</v>
      </c>
      <c r="R348" s="9"/>
      <c r="S348" s="11"/>
    </row>
    <row r="349" spans="1:19" ht="15.75">
      <c r="A349" s="13">
        <v>52139</v>
      </c>
      <c r="B349" s="8">
        <f>CHOOSE( CONTROL!$C$32, 8.8874, 8.8825) * CHOOSE(CONTROL!$C$15, $D$11, 100%, $F$11)</f>
        <v>8.8873999999999995</v>
      </c>
      <c r="C349" s="8">
        <f>CHOOSE( CONTROL!$C$32, 8.8954, 8.8906) * CHOOSE(CONTROL!$C$15, $D$11, 100%, $F$11)</f>
        <v>8.8954000000000004</v>
      </c>
      <c r="D349" s="8">
        <f>CHOOSE( CONTROL!$C$32, 8.9172, 8.9124) * CHOOSE( CONTROL!$C$15, $D$11, 100%, $F$11)</f>
        <v>8.9171999999999993</v>
      </c>
      <c r="E349" s="12">
        <f>CHOOSE( CONTROL!$C$32, 8.9081, 8.9033) * CHOOSE( CONTROL!$C$15, $D$11, 100%, $F$11)</f>
        <v>8.9080999999999992</v>
      </c>
      <c r="F349" s="4">
        <f>CHOOSE( CONTROL!$C$32, 9.5852, 9.5803) * CHOOSE(CONTROL!$C$15, $D$11, 100%, $F$11)</f>
        <v>9.5852000000000004</v>
      </c>
      <c r="G349" s="8">
        <f>CHOOSE( CONTROL!$C$32, 8.6675, 8.6628) * CHOOSE( CONTROL!$C$15, $D$11, 100%, $F$11)</f>
        <v>8.6675000000000004</v>
      </c>
      <c r="H349" s="4">
        <f>CHOOSE( CONTROL!$C$32, 9.5966, 9.5919) * CHOOSE(CONTROL!$C$15, $D$11, 100%, $F$11)</f>
        <v>9.5966000000000005</v>
      </c>
      <c r="I349" s="8">
        <f>CHOOSE( CONTROL!$C$32, 8.6145, 8.6099) * CHOOSE(CONTROL!$C$15, $D$11, 100%, $F$11)</f>
        <v>8.6144999999999996</v>
      </c>
      <c r="J349" s="4">
        <f>CHOOSE( CONTROL!$C$32, 8.5035, 8.4989) * CHOOSE(CONTROL!$C$15, $D$11, 100%, $F$11)</f>
        <v>8.5035000000000007</v>
      </c>
      <c r="K349" s="4"/>
      <c r="L349" s="9">
        <v>29.7257</v>
      </c>
      <c r="M349" s="9">
        <v>11.6745</v>
      </c>
      <c r="N349" s="9">
        <v>4.7850000000000001</v>
      </c>
      <c r="O349" s="9">
        <v>0.36199999999999999</v>
      </c>
      <c r="P349" s="9">
        <v>1.1791</v>
      </c>
      <c r="Q349" s="9">
        <v>19.929600000000001</v>
      </c>
      <c r="R349" s="9"/>
      <c r="S349" s="11"/>
    </row>
    <row r="350" spans="1:19" ht="15.75">
      <c r="A350" s="13">
        <v>52170</v>
      </c>
      <c r="B350" s="8">
        <f>9.274 * CHOOSE(CONTROL!$C$15, $D$11, 100%, $F$11)</f>
        <v>9.2739999999999991</v>
      </c>
      <c r="C350" s="8">
        <f>9.2795 * CHOOSE(CONTROL!$C$15, $D$11, 100%, $F$11)</f>
        <v>9.2795000000000005</v>
      </c>
      <c r="D350" s="8">
        <f>9.3059 * CHOOSE( CONTROL!$C$15, $D$11, 100%, $F$11)</f>
        <v>9.3058999999999994</v>
      </c>
      <c r="E350" s="12">
        <f>9.2966 * CHOOSE( CONTROL!$C$15, $D$11, 100%, $F$11)</f>
        <v>9.2965999999999998</v>
      </c>
      <c r="F350" s="4">
        <f>9.9736 * CHOOSE(CONTROL!$C$15, $D$11, 100%, $F$11)</f>
        <v>9.9735999999999994</v>
      </c>
      <c r="G350" s="8">
        <f>9.0461 * CHOOSE( CONTROL!$C$15, $D$11, 100%, $F$11)</f>
        <v>9.0460999999999991</v>
      </c>
      <c r="H350" s="4">
        <f>9.976 * CHOOSE(CONTROL!$C$15, $D$11, 100%, $F$11)</f>
        <v>9.9760000000000009</v>
      </c>
      <c r="I350" s="8">
        <f>8.9884 * CHOOSE(CONTROL!$C$15, $D$11, 100%, $F$11)</f>
        <v>8.9884000000000004</v>
      </c>
      <c r="J350" s="4">
        <f>8.8764 * CHOOSE(CONTROL!$C$15, $D$11, 100%, $F$11)</f>
        <v>8.8764000000000003</v>
      </c>
      <c r="K350" s="4"/>
      <c r="L350" s="9">
        <v>31.095300000000002</v>
      </c>
      <c r="M350" s="9">
        <v>12.063700000000001</v>
      </c>
      <c r="N350" s="9">
        <v>4.9444999999999997</v>
      </c>
      <c r="O350" s="9">
        <v>0.37409999999999999</v>
      </c>
      <c r="P350" s="9">
        <v>1.2183999999999999</v>
      </c>
      <c r="Q350" s="9">
        <v>20.593900000000001</v>
      </c>
      <c r="R350" s="9"/>
      <c r="S350" s="11"/>
    </row>
    <row r="351" spans="1:19" ht="15.75">
      <c r="A351" s="13">
        <v>52200</v>
      </c>
      <c r="B351" s="8">
        <f>9.9995 * CHOOSE(CONTROL!$C$15, $D$11, 100%, $F$11)</f>
        <v>9.9994999999999994</v>
      </c>
      <c r="C351" s="8">
        <f>10.0047 * CHOOSE(CONTROL!$C$15, $D$11, 100%, $F$11)</f>
        <v>10.0047</v>
      </c>
      <c r="D351" s="8">
        <f>9.9939 * CHOOSE( CONTROL!$C$15, $D$11, 100%, $F$11)</f>
        <v>9.9939</v>
      </c>
      <c r="E351" s="12">
        <f>9.9973 * CHOOSE( CONTROL!$C$15, $D$11, 100%, $F$11)</f>
        <v>9.9972999999999992</v>
      </c>
      <c r="F351" s="4">
        <f>10.6484 * CHOOSE(CONTROL!$C$15, $D$11, 100%, $F$11)</f>
        <v>10.648400000000001</v>
      </c>
      <c r="G351" s="8">
        <f>9.7596 * CHOOSE( CONTROL!$C$15, $D$11, 100%, $F$11)</f>
        <v>9.7596000000000007</v>
      </c>
      <c r="H351" s="4">
        <f>10.6351 * CHOOSE(CONTROL!$C$15, $D$11, 100%, $F$11)</f>
        <v>10.6351</v>
      </c>
      <c r="I351" s="8">
        <f>9.7112 * CHOOSE(CONTROL!$C$15, $D$11, 100%, $F$11)</f>
        <v>9.7111999999999998</v>
      </c>
      <c r="J351" s="4">
        <f>9.5733 * CHOOSE(CONTROL!$C$15, $D$11, 100%, $F$11)</f>
        <v>9.5732999999999997</v>
      </c>
      <c r="K351" s="4"/>
      <c r="L351" s="9">
        <v>28.360600000000002</v>
      </c>
      <c r="M351" s="9">
        <v>11.6745</v>
      </c>
      <c r="N351" s="9">
        <v>4.7850000000000001</v>
      </c>
      <c r="O351" s="9">
        <v>0.36199999999999999</v>
      </c>
      <c r="P351" s="9">
        <v>1.2509999999999999</v>
      </c>
      <c r="Q351" s="9">
        <v>19.929600000000001</v>
      </c>
      <c r="R351" s="9"/>
      <c r="S351" s="11"/>
    </row>
    <row r="352" spans="1:19" ht="15.75">
      <c r="A352" s="13">
        <v>52231</v>
      </c>
      <c r="B352" s="8">
        <f>9.9813 * CHOOSE(CONTROL!$C$15, $D$11, 100%, $F$11)</f>
        <v>9.9812999999999992</v>
      </c>
      <c r="C352" s="8">
        <f>9.9865 * CHOOSE(CONTROL!$C$15, $D$11, 100%, $F$11)</f>
        <v>9.9864999999999995</v>
      </c>
      <c r="D352" s="8">
        <f>9.9771 * CHOOSE( CONTROL!$C$15, $D$11, 100%, $F$11)</f>
        <v>9.9771000000000001</v>
      </c>
      <c r="E352" s="12">
        <f>9.98 * CHOOSE( CONTROL!$C$15, $D$11, 100%, $F$11)</f>
        <v>9.98</v>
      </c>
      <c r="F352" s="4">
        <f>10.6302 * CHOOSE(CONTROL!$C$15, $D$11, 100%, $F$11)</f>
        <v>10.6302</v>
      </c>
      <c r="G352" s="8">
        <f>9.7429 * CHOOSE( CONTROL!$C$15, $D$11, 100%, $F$11)</f>
        <v>9.7429000000000006</v>
      </c>
      <c r="H352" s="4">
        <f>10.6174 * CHOOSE(CONTROL!$C$15, $D$11, 100%, $F$11)</f>
        <v>10.6174</v>
      </c>
      <c r="I352" s="8">
        <f>9.6981 * CHOOSE(CONTROL!$C$15, $D$11, 100%, $F$11)</f>
        <v>9.6981000000000002</v>
      </c>
      <c r="J352" s="4">
        <f>9.5559 * CHOOSE(CONTROL!$C$15, $D$11, 100%, $F$11)</f>
        <v>9.5558999999999994</v>
      </c>
      <c r="K352" s="4"/>
      <c r="L352" s="9">
        <v>29.306000000000001</v>
      </c>
      <c r="M352" s="9">
        <v>12.063700000000001</v>
      </c>
      <c r="N352" s="9">
        <v>4.9444999999999997</v>
      </c>
      <c r="O352" s="9">
        <v>0.37409999999999999</v>
      </c>
      <c r="P352" s="9">
        <v>1.2927</v>
      </c>
      <c r="Q352" s="9">
        <v>20.593900000000001</v>
      </c>
      <c r="R352" s="9"/>
      <c r="S352" s="11"/>
    </row>
    <row r="353" spans="1:19" ht="15.75">
      <c r="A353" s="13">
        <v>52262</v>
      </c>
      <c r="B353" s="8">
        <f>10.3617 * CHOOSE(CONTROL!$C$15, $D$11, 100%, $F$11)</f>
        <v>10.361700000000001</v>
      </c>
      <c r="C353" s="8">
        <f>10.3669 * CHOOSE(CONTROL!$C$15, $D$11, 100%, $F$11)</f>
        <v>10.366899999999999</v>
      </c>
      <c r="D353" s="8">
        <f>10.3534 * CHOOSE( CONTROL!$C$15, $D$11, 100%, $F$11)</f>
        <v>10.353400000000001</v>
      </c>
      <c r="E353" s="12">
        <f>10.3578 * CHOOSE( CONTROL!$C$15, $D$11, 100%, $F$11)</f>
        <v>10.357799999999999</v>
      </c>
      <c r="F353" s="4">
        <f>11.0106 * CHOOSE(CONTROL!$C$15, $D$11, 100%, $F$11)</f>
        <v>11.0106</v>
      </c>
      <c r="G353" s="8">
        <f>10.1081 * CHOOSE( CONTROL!$C$15, $D$11, 100%, $F$11)</f>
        <v>10.1081</v>
      </c>
      <c r="H353" s="4">
        <f>10.9889 * CHOOSE(CONTROL!$C$15, $D$11, 100%, $F$11)</f>
        <v>10.988899999999999</v>
      </c>
      <c r="I353" s="8">
        <f>10.0398 * CHOOSE(CONTROL!$C$15, $D$11, 100%, $F$11)</f>
        <v>10.0398</v>
      </c>
      <c r="J353" s="4">
        <f>9.9211 * CHOOSE(CONTROL!$C$15, $D$11, 100%, $F$11)</f>
        <v>9.9210999999999991</v>
      </c>
      <c r="K353" s="4"/>
      <c r="L353" s="9">
        <v>29.306000000000001</v>
      </c>
      <c r="M353" s="9">
        <v>12.063700000000001</v>
      </c>
      <c r="N353" s="9">
        <v>4.9444999999999997</v>
      </c>
      <c r="O353" s="9">
        <v>0.37409999999999999</v>
      </c>
      <c r="P353" s="9">
        <v>1.2927</v>
      </c>
      <c r="Q353" s="9">
        <v>20.5288</v>
      </c>
      <c r="R353" s="9"/>
      <c r="S353" s="11"/>
    </row>
    <row r="354" spans="1:19" ht="15.75">
      <c r="A354" s="13">
        <v>52290</v>
      </c>
      <c r="B354" s="8">
        <f>9.6937 * CHOOSE(CONTROL!$C$15, $D$11, 100%, $F$11)</f>
        <v>9.6936999999999998</v>
      </c>
      <c r="C354" s="8">
        <f>9.6989 * CHOOSE(CONTROL!$C$15, $D$11, 100%, $F$11)</f>
        <v>9.6989000000000001</v>
      </c>
      <c r="D354" s="8">
        <f>9.6854 * CHOOSE( CONTROL!$C$15, $D$11, 100%, $F$11)</f>
        <v>9.6853999999999996</v>
      </c>
      <c r="E354" s="12">
        <f>9.6898 * CHOOSE( CONTROL!$C$15, $D$11, 100%, $F$11)</f>
        <v>9.6898</v>
      </c>
      <c r="F354" s="4">
        <f>10.3426 * CHOOSE(CONTROL!$C$15, $D$11, 100%, $F$11)</f>
        <v>10.342599999999999</v>
      </c>
      <c r="G354" s="8">
        <f>9.4556 * CHOOSE( CONTROL!$C$15, $D$11, 100%, $F$11)</f>
        <v>9.4556000000000004</v>
      </c>
      <c r="H354" s="4">
        <f>10.3364 * CHOOSE(CONTROL!$C$15, $D$11, 100%, $F$11)</f>
        <v>10.336399999999999</v>
      </c>
      <c r="I354" s="8">
        <f>9.3981 * CHOOSE(CONTROL!$C$15, $D$11, 100%, $F$11)</f>
        <v>9.3980999999999995</v>
      </c>
      <c r="J354" s="4">
        <f>9.2797 * CHOOSE(CONTROL!$C$15, $D$11, 100%, $F$11)</f>
        <v>9.2797000000000001</v>
      </c>
      <c r="K354" s="4"/>
      <c r="L354" s="9">
        <v>26.469899999999999</v>
      </c>
      <c r="M354" s="9">
        <v>10.8962</v>
      </c>
      <c r="N354" s="9">
        <v>4.4660000000000002</v>
      </c>
      <c r="O354" s="9">
        <v>0.33789999999999998</v>
      </c>
      <c r="P354" s="9">
        <v>1.1676</v>
      </c>
      <c r="Q354" s="9">
        <v>18.542200000000001</v>
      </c>
      <c r="R354" s="9"/>
      <c r="S354" s="11"/>
    </row>
    <row r="355" spans="1:19" ht="15.75">
      <c r="A355" s="13">
        <v>52321</v>
      </c>
      <c r="B355" s="8">
        <f>9.4879 * CHOOSE(CONTROL!$C$15, $D$11, 100%, $F$11)</f>
        <v>9.4878999999999998</v>
      </c>
      <c r="C355" s="8">
        <f>9.4931 * CHOOSE(CONTROL!$C$15, $D$11, 100%, $F$11)</f>
        <v>9.4931000000000001</v>
      </c>
      <c r="D355" s="8">
        <f>9.4793 * CHOOSE( CONTROL!$C$15, $D$11, 100%, $F$11)</f>
        <v>9.4793000000000003</v>
      </c>
      <c r="E355" s="12">
        <f>9.4838 * CHOOSE( CONTROL!$C$15, $D$11, 100%, $F$11)</f>
        <v>9.4838000000000005</v>
      </c>
      <c r="F355" s="4">
        <f>10.1369 * CHOOSE(CONTROL!$C$15, $D$11, 100%, $F$11)</f>
        <v>10.136900000000001</v>
      </c>
      <c r="G355" s="8">
        <f>9.2545 * CHOOSE( CONTROL!$C$15, $D$11, 100%, $F$11)</f>
        <v>9.2545000000000002</v>
      </c>
      <c r="H355" s="4">
        <f>10.1355 * CHOOSE(CONTROL!$C$15, $D$11, 100%, $F$11)</f>
        <v>10.1355</v>
      </c>
      <c r="I355" s="8">
        <f>9.1994 * CHOOSE(CONTROL!$C$15, $D$11, 100%, $F$11)</f>
        <v>9.1994000000000007</v>
      </c>
      <c r="J355" s="4">
        <f>9.0822 * CHOOSE(CONTROL!$C$15, $D$11, 100%, $F$11)</f>
        <v>9.0822000000000003</v>
      </c>
      <c r="K355" s="4"/>
      <c r="L355" s="9">
        <v>29.306000000000001</v>
      </c>
      <c r="M355" s="9">
        <v>12.063700000000001</v>
      </c>
      <c r="N355" s="9">
        <v>4.9444999999999997</v>
      </c>
      <c r="O355" s="9">
        <v>0.37409999999999999</v>
      </c>
      <c r="P355" s="9">
        <v>1.2927</v>
      </c>
      <c r="Q355" s="9">
        <v>20.5288</v>
      </c>
      <c r="R355" s="9"/>
      <c r="S355" s="11"/>
    </row>
    <row r="356" spans="1:19" ht="15.75">
      <c r="A356" s="13">
        <v>52351</v>
      </c>
      <c r="B356" s="8">
        <f>9.6325 * CHOOSE(CONTROL!$C$15, $D$11, 100%, $F$11)</f>
        <v>9.6325000000000003</v>
      </c>
      <c r="C356" s="8">
        <f>9.6371 * CHOOSE(CONTROL!$C$15, $D$11, 100%, $F$11)</f>
        <v>9.6371000000000002</v>
      </c>
      <c r="D356" s="8">
        <f>9.6634 * CHOOSE( CONTROL!$C$15, $D$11, 100%, $F$11)</f>
        <v>9.6633999999999993</v>
      </c>
      <c r="E356" s="12">
        <f>9.6542 * CHOOSE( CONTROL!$C$15, $D$11, 100%, $F$11)</f>
        <v>9.6541999999999994</v>
      </c>
      <c r="F356" s="4">
        <f>10.3317 * CHOOSE(CONTROL!$C$15, $D$11, 100%, $F$11)</f>
        <v>10.3317</v>
      </c>
      <c r="G356" s="8">
        <f>9.3949 * CHOOSE( CONTROL!$C$15, $D$11, 100%, $F$11)</f>
        <v>9.3948999999999998</v>
      </c>
      <c r="H356" s="4">
        <f>10.3257 * CHOOSE(CONTROL!$C$15, $D$11, 100%, $F$11)</f>
        <v>10.325699999999999</v>
      </c>
      <c r="I356" s="8">
        <f>9.3294 * CHOOSE(CONTROL!$C$15, $D$11, 100%, $F$11)</f>
        <v>9.3293999999999997</v>
      </c>
      <c r="J356" s="4">
        <f>9.2202 * CHOOSE(CONTROL!$C$15, $D$11, 100%, $F$11)</f>
        <v>9.2202000000000002</v>
      </c>
      <c r="K356" s="4"/>
      <c r="L356" s="9">
        <v>30.092199999999998</v>
      </c>
      <c r="M356" s="9">
        <v>11.6745</v>
      </c>
      <c r="N356" s="9">
        <v>4.7850000000000001</v>
      </c>
      <c r="O356" s="9">
        <v>0.36199999999999999</v>
      </c>
      <c r="P356" s="9">
        <v>1.1791</v>
      </c>
      <c r="Q356" s="9">
        <v>19.866599999999998</v>
      </c>
      <c r="R356" s="9"/>
      <c r="S356" s="11"/>
    </row>
    <row r="357" spans="1:19" ht="15.75">
      <c r="A357" s="13">
        <v>52382</v>
      </c>
      <c r="B357" s="8">
        <f>CHOOSE( CONTROL!$C$32, 9.8946, 9.8897) * CHOOSE(CONTROL!$C$15, $D$11, 100%, $F$11)</f>
        <v>9.8946000000000005</v>
      </c>
      <c r="C357" s="8">
        <f>CHOOSE( CONTROL!$C$32, 9.9027, 9.8978) * CHOOSE(CONTROL!$C$15, $D$11, 100%, $F$11)</f>
        <v>9.9026999999999994</v>
      </c>
      <c r="D357" s="8">
        <f>CHOOSE( CONTROL!$C$32, 9.924, 9.9191) * CHOOSE( CONTROL!$C$15, $D$11, 100%, $F$11)</f>
        <v>9.9239999999999995</v>
      </c>
      <c r="E357" s="12">
        <f>CHOOSE( CONTROL!$C$32, 9.915, 9.9101) * CHOOSE( CONTROL!$C$15, $D$11, 100%, $F$11)</f>
        <v>9.9149999999999991</v>
      </c>
      <c r="F357" s="4">
        <f>CHOOSE( CONTROL!$C$32, 10.5924, 10.5876) * CHOOSE(CONTROL!$C$15, $D$11, 100%, $F$11)</f>
        <v>10.5924</v>
      </c>
      <c r="G357" s="8">
        <f>CHOOSE( CONTROL!$C$32, 9.6505, 9.6458) * CHOOSE( CONTROL!$C$15, $D$11, 100%, $F$11)</f>
        <v>9.6504999999999992</v>
      </c>
      <c r="H357" s="4">
        <f>CHOOSE( CONTROL!$C$32, 10.5804, 10.5757) * CHOOSE(CONTROL!$C$15, $D$11, 100%, $F$11)</f>
        <v>10.580399999999999</v>
      </c>
      <c r="I357" s="8">
        <f>CHOOSE( CONTROL!$C$32, 9.5798, 9.5752) * CHOOSE(CONTROL!$C$15, $D$11, 100%, $F$11)</f>
        <v>9.5798000000000005</v>
      </c>
      <c r="J357" s="4">
        <f>CHOOSE( CONTROL!$C$32, 9.4706, 9.4659) * CHOOSE(CONTROL!$C$15, $D$11, 100%, $F$11)</f>
        <v>9.4705999999999992</v>
      </c>
      <c r="K357" s="4"/>
      <c r="L357" s="9">
        <v>30.7165</v>
      </c>
      <c r="M357" s="9">
        <v>12.063700000000001</v>
      </c>
      <c r="N357" s="9">
        <v>4.9444999999999997</v>
      </c>
      <c r="O357" s="9">
        <v>0.37409999999999999</v>
      </c>
      <c r="P357" s="9">
        <v>1.2183999999999999</v>
      </c>
      <c r="Q357" s="9">
        <v>20.5288</v>
      </c>
      <c r="R357" s="9"/>
      <c r="S357" s="11"/>
    </row>
    <row r="358" spans="1:19" ht="15.75">
      <c r="A358" s="13">
        <v>52412</v>
      </c>
      <c r="B358" s="8">
        <f>CHOOSE( CONTROL!$C$32, 9.7361, 9.7312) * CHOOSE(CONTROL!$C$15, $D$11, 100%, $F$11)</f>
        <v>9.7361000000000004</v>
      </c>
      <c r="C358" s="8">
        <f>CHOOSE( CONTROL!$C$32, 9.7441, 9.7393) * CHOOSE(CONTROL!$C$15, $D$11, 100%, $F$11)</f>
        <v>9.7440999999999995</v>
      </c>
      <c r="D358" s="8">
        <f>CHOOSE( CONTROL!$C$32, 9.7657, 9.7608) * CHOOSE( CONTROL!$C$15, $D$11, 100%, $F$11)</f>
        <v>9.7657000000000007</v>
      </c>
      <c r="E358" s="12">
        <f>CHOOSE( CONTROL!$C$32, 9.7567, 9.7518) * CHOOSE( CONTROL!$C$15, $D$11, 100%, $F$11)</f>
        <v>9.7567000000000004</v>
      </c>
      <c r="F358" s="4">
        <f>CHOOSE( CONTROL!$C$32, 10.4339, 10.429) * CHOOSE(CONTROL!$C$15, $D$11, 100%, $F$11)</f>
        <v>10.4339</v>
      </c>
      <c r="G358" s="8">
        <f>CHOOSE( CONTROL!$C$32, 9.496, 9.4913) * CHOOSE( CONTROL!$C$15, $D$11, 100%, $F$11)</f>
        <v>9.4960000000000004</v>
      </c>
      <c r="H358" s="4">
        <f>CHOOSE( CONTROL!$C$32, 10.4256, 10.4208) * CHOOSE(CONTROL!$C$15, $D$11, 100%, $F$11)</f>
        <v>10.425599999999999</v>
      </c>
      <c r="I358" s="8">
        <f>CHOOSE( CONTROL!$C$32, 9.4285, 9.4238) * CHOOSE(CONTROL!$C$15, $D$11, 100%, $F$11)</f>
        <v>9.4284999999999997</v>
      </c>
      <c r="J358" s="4">
        <f>CHOOSE( CONTROL!$C$32, 9.3184, 9.3137) * CHOOSE(CONTROL!$C$15, $D$11, 100%, $F$11)</f>
        <v>9.3184000000000005</v>
      </c>
      <c r="K358" s="4"/>
      <c r="L358" s="9">
        <v>29.7257</v>
      </c>
      <c r="M358" s="9">
        <v>11.6745</v>
      </c>
      <c r="N358" s="9">
        <v>4.7850000000000001</v>
      </c>
      <c r="O358" s="9">
        <v>0.36199999999999999</v>
      </c>
      <c r="P358" s="9">
        <v>1.1791</v>
      </c>
      <c r="Q358" s="9">
        <v>19.866599999999998</v>
      </c>
      <c r="R358" s="9"/>
      <c r="S358" s="11"/>
    </row>
    <row r="359" spans="1:19" ht="15.75">
      <c r="A359" s="13">
        <v>52443</v>
      </c>
      <c r="B359" s="8">
        <f>CHOOSE( CONTROL!$C$32, 10.1535, 10.1487) * CHOOSE(CONTROL!$C$15, $D$11, 100%, $F$11)</f>
        <v>10.153499999999999</v>
      </c>
      <c r="C359" s="8">
        <f>CHOOSE( CONTROL!$C$32, 10.1616, 10.1567) * CHOOSE(CONTROL!$C$15, $D$11, 100%, $F$11)</f>
        <v>10.1616</v>
      </c>
      <c r="D359" s="8">
        <f>CHOOSE( CONTROL!$C$32, 10.1833, 10.1785) * CHOOSE( CONTROL!$C$15, $D$11, 100%, $F$11)</f>
        <v>10.183299999999999</v>
      </c>
      <c r="E359" s="12">
        <f>CHOOSE( CONTROL!$C$32, 10.1742, 10.1694) * CHOOSE( CONTROL!$C$15, $D$11, 100%, $F$11)</f>
        <v>10.174200000000001</v>
      </c>
      <c r="F359" s="4">
        <f>CHOOSE( CONTROL!$C$32, 10.8513, 10.8465) * CHOOSE(CONTROL!$C$15, $D$11, 100%, $F$11)</f>
        <v>10.8513</v>
      </c>
      <c r="G359" s="8">
        <f>CHOOSE( CONTROL!$C$32, 9.9041, 9.8993) * CHOOSE( CONTROL!$C$15, $D$11, 100%, $F$11)</f>
        <v>9.9040999999999997</v>
      </c>
      <c r="H359" s="4">
        <f>CHOOSE( CONTROL!$C$32, 10.8333, 10.8285) * CHOOSE(CONTROL!$C$15, $D$11, 100%, $F$11)</f>
        <v>10.833299999999999</v>
      </c>
      <c r="I359" s="8">
        <f>CHOOSE( CONTROL!$C$32, 9.8305, 9.8259) * CHOOSE(CONTROL!$C$15, $D$11, 100%, $F$11)</f>
        <v>9.8305000000000007</v>
      </c>
      <c r="J359" s="4">
        <f>CHOOSE( CONTROL!$C$32, 9.7191, 9.7145) * CHOOSE(CONTROL!$C$15, $D$11, 100%, $F$11)</f>
        <v>9.7190999999999992</v>
      </c>
      <c r="K359" s="4"/>
      <c r="L359" s="9">
        <v>30.7165</v>
      </c>
      <c r="M359" s="9">
        <v>12.063700000000001</v>
      </c>
      <c r="N359" s="9">
        <v>4.9444999999999997</v>
      </c>
      <c r="O359" s="9">
        <v>0.37409999999999999</v>
      </c>
      <c r="P359" s="9">
        <v>1.2183999999999999</v>
      </c>
      <c r="Q359" s="9">
        <v>20.5288</v>
      </c>
      <c r="R359" s="9"/>
      <c r="S359" s="11"/>
    </row>
    <row r="360" spans="1:19" ht="15.75">
      <c r="A360" s="13">
        <v>52474</v>
      </c>
      <c r="B360" s="8">
        <f>CHOOSE( CONTROL!$C$32, 9.3724, 9.3676) * CHOOSE(CONTROL!$C$15, $D$11, 100%, $F$11)</f>
        <v>9.3724000000000007</v>
      </c>
      <c r="C360" s="8">
        <f>CHOOSE( CONTROL!$C$32, 9.3805, 9.3757) * CHOOSE(CONTROL!$C$15, $D$11, 100%, $F$11)</f>
        <v>9.3804999999999996</v>
      </c>
      <c r="D360" s="8">
        <f>CHOOSE( CONTROL!$C$32, 9.4023, 9.3975) * CHOOSE( CONTROL!$C$15, $D$11, 100%, $F$11)</f>
        <v>9.4023000000000003</v>
      </c>
      <c r="E360" s="12">
        <f>CHOOSE( CONTROL!$C$32, 9.3932, 9.3884) * CHOOSE( CONTROL!$C$15, $D$11, 100%, $F$11)</f>
        <v>9.3932000000000002</v>
      </c>
      <c r="F360" s="4">
        <f>CHOOSE( CONTROL!$C$32, 10.0702, 10.0654) * CHOOSE(CONTROL!$C$15, $D$11, 100%, $F$11)</f>
        <v>10.0702</v>
      </c>
      <c r="G360" s="8">
        <f>CHOOSE( CONTROL!$C$32, 9.1413, 9.1366) * CHOOSE( CONTROL!$C$15, $D$11, 100%, $F$11)</f>
        <v>9.1412999999999993</v>
      </c>
      <c r="H360" s="4">
        <f>CHOOSE( CONTROL!$C$32, 10.0704, 10.0657) * CHOOSE(CONTROL!$C$15, $D$11, 100%, $F$11)</f>
        <v>10.070399999999999</v>
      </c>
      <c r="I360" s="8">
        <f>CHOOSE( CONTROL!$C$32, 9.0806, 9.0759) * CHOOSE(CONTROL!$C$15, $D$11, 100%, $F$11)</f>
        <v>9.0806000000000004</v>
      </c>
      <c r="J360" s="4">
        <f>CHOOSE( CONTROL!$C$32, 8.9693, 8.9646) * CHOOSE(CONTROL!$C$15, $D$11, 100%, $F$11)</f>
        <v>8.9693000000000005</v>
      </c>
      <c r="K360" s="4"/>
      <c r="L360" s="9">
        <v>30.7165</v>
      </c>
      <c r="M360" s="9">
        <v>12.063700000000001</v>
      </c>
      <c r="N360" s="9">
        <v>4.9444999999999997</v>
      </c>
      <c r="O360" s="9">
        <v>0.37409999999999999</v>
      </c>
      <c r="P360" s="9">
        <v>1.2183999999999999</v>
      </c>
      <c r="Q360" s="9">
        <v>20.5288</v>
      </c>
      <c r="R360" s="9"/>
      <c r="S360" s="11"/>
    </row>
    <row r="361" spans="1:19" ht="15.75">
      <c r="A361" s="13">
        <v>52504</v>
      </c>
      <c r="B361" s="8">
        <f>CHOOSE( CONTROL!$C$32, 9.1769, 9.172) * CHOOSE(CONTROL!$C$15, $D$11, 100%, $F$11)</f>
        <v>9.1768999999999998</v>
      </c>
      <c r="C361" s="8">
        <f>CHOOSE( CONTROL!$C$32, 9.1849, 9.1801) * CHOOSE(CONTROL!$C$15, $D$11, 100%, $F$11)</f>
        <v>9.1849000000000007</v>
      </c>
      <c r="D361" s="8">
        <f>CHOOSE( CONTROL!$C$32, 9.2067, 9.2019) * CHOOSE( CONTROL!$C$15, $D$11, 100%, $F$11)</f>
        <v>9.2066999999999997</v>
      </c>
      <c r="E361" s="12">
        <f>CHOOSE( CONTROL!$C$32, 9.1976, 9.1928) * CHOOSE( CONTROL!$C$15, $D$11, 100%, $F$11)</f>
        <v>9.1975999999999996</v>
      </c>
      <c r="F361" s="4">
        <f>CHOOSE( CONTROL!$C$32, 9.8747, 9.8698) * CHOOSE(CONTROL!$C$15, $D$11, 100%, $F$11)</f>
        <v>9.8747000000000007</v>
      </c>
      <c r="G361" s="8">
        <f>CHOOSE( CONTROL!$C$32, 8.9502, 8.9455) * CHOOSE( CONTROL!$C$15, $D$11, 100%, $F$11)</f>
        <v>8.9502000000000006</v>
      </c>
      <c r="H361" s="4">
        <f>CHOOSE( CONTROL!$C$32, 9.8794, 9.8747) * CHOOSE(CONTROL!$C$15, $D$11, 100%, $F$11)</f>
        <v>9.8794000000000004</v>
      </c>
      <c r="I361" s="8">
        <f>CHOOSE( CONTROL!$C$32, 8.8926, 8.888) * CHOOSE(CONTROL!$C$15, $D$11, 100%, $F$11)</f>
        <v>8.8925999999999998</v>
      </c>
      <c r="J361" s="4">
        <f>CHOOSE( CONTROL!$C$32, 8.7815, 8.7768) * CHOOSE(CONTROL!$C$15, $D$11, 100%, $F$11)</f>
        <v>8.7814999999999994</v>
      </c>
      <c r="K361" s="4"/>
      <c r="L361" s="9">
        <v>29.7257</v>
      </c>
      <c r="M361" s="9">
        <v>11.6745</v>
      </c>
      <c r="N361" s="9">
        <v>4.7850000000000001</v>
      </c>
      <c r="O361" s="9">
        <v>0.36199999999999999</v>
      </c>
      <c r="P361" s="9">
        <v>1.1791</v>
      </c>
      <c r="Q361" s="9">
        <v>19.866599999999998</v>
      </c>
      <c r="R361" s="9"/>
      <c r="S361" s="11"/>
    </row>
    <row r="362" spans="1:19" ht="15.75">
      <c r="A362" s="13">
        <v>52535</v>
      </c>
      <c r="B362" s="8">
        <f>9.5764 * CHOOSE(CONTROL!$C$15, $D$11, 100%, $F$11)</f>
        <v>9.5763999999999996</v>
      </c>
      <c r="C362" s="8">
        <f>9.5818 * CHOOSE(CONTROL!$C$15, $D$11, 100%, $F$11)</f>
        <v>9.5817999999999994</v>
      </c>
      <c r="D362" s="8">
        <f>9.6083 * CHOOSE( CONTROL!$C$15, $D$11, 100%, $F$11)</f>
        <v>9.6082999999999998</v>
      </c>
      <c r="E362" s="12">
        <f>9.599 * CHOOSE( CONTROL!$C$15, $D$11, 100%, $F$11)</f>
        <v>9.5990000000000002</v>
      </c>
      <c r="F362" s="4">
        <f>10.2759 * CHOOSE(CONTROL!$C$15, $D$11, 100%, $F$11)</f>
        <v>10.2759</v>
      </c>
      <c r="G362" s="8">
        <f>9.3414 * CHOOSE( CONTROL!$C$15, $D$11, 100%, $F$11)</f>
        <v>9.3414000000000001</v>
      </c>
      <c r="H362" s="4">
        <f>10.2713 * CHOOSE(CONTROL!$C$15, $D$11, 100%, $F$11)</f>
        <v>10.2713</v>
      </c>
      <c r="I362" s="8">
        <f>9.2788 * CHOOSE(CONTROL!$C$15, $D$11, 100%, $F$11)</f>
        <v>9.2788000000000004</v>
      </c>
      <c r="J362" s="4">
        <f>9.1667 * CHOOSE(CONTROL!$C$15, $D$11, 100%, $F$11)</f>
        <v>9.1667000000000005</v>
      </c>
      <c r="K362" s="4"/>
      <c r="L362" s="9">
        <v>31.095300000000002</v>
      </c>
      <c r="M362" s="9">
        <v>12.063700000000001</v>
      </c>
      <c r="N362" s="9">
        <v>4.9444999999999997</v>
      </c>
      <c r="O362" s="9">
        <v>0.37409999999999999</v>
      </c>
      <c r="P362" s="9">
        <v>1.2183999999999999</v>
      </c>
      <c r="Q362" s="9">
        <v>20.5288</v>
      </c>
      <c r="R362" s="9"/>
      <c r="S362" s="11"/>
    </row>
    <row r="363" spans="1:19" ht="15.75">
      <c r="A363" s="13">
        <v>52565</v>
      </c>
      <c r="B363" s="8">
        <f>10.3256 * CHOOSE(CONTROL!$C$15, $D$11, 100%, $F$11)</f>
        <v>10.3256</v>
      </c>
      <c r="C363" s="8">
        <f>10.3308 * CHOOSE(CONTROL!$C$15, $D$11, 100%, $F$11)</f>
        <v>10.3308</v>
      </c>
      <c r="D363" s="8">
        <f>10.32 * CHOOSE( CONTROL!$C$15, $D$11, 100%, $F$11)</f>
        <v>10.32</v>
      </c>
      <c r="E363" s="12">
        <f>10.3234 * CHOOSE( CONTROL!$C$15, $D$11, 100%, $F$11)</f>
        <v>10.323399999999999</v>
      </c>
      <c r="F363" s="4">
        <f>10.9745 * CHOOSE(CONTROL!$C$15, $D$11, 100%, $F$11)</f>
        <v>10.974500000000001</v>
      </c>
      <c r="G363" s="8">
        <f>10.0781 * CHOOSE( CONTROL!$C$15, $D$11, 100%, $F$11)</f>
        <v>10.078099999999999</v>
      </c>
      <c r="H363" s="4">
        <f>10.9536 * CHOOSE(CONTROL!$C$15, $D$11, 100%, $F$11)</f>
        <v>10.9536</v>
      </c>
      <c r="I363" s="8">
        <f>10.0244 * CHOOSE(CONTROL!$C$15, $D$11, 100%, $F$11)</f>
        <v>10.0244</v>
      </c>
      <c r="J363" s="4">
        <f>9.8864 * CHOOSE(CONTROL!$C$15, $D$11, 100%, $F$11)</f>
        <v>9.8864000000000001</v>
      </c>
      <c r="K363" s="4"/>
      <c r="L363" s="9">
        <v>28.360600000000002</v>
      </c>
      <c r="M363" s="9">
        <v>11.6745</v>
      </c>
      <c r="N363" s="9">
        <v>4.7850000000000001</v>
      </c>
      <c r="O363" s="9">
        <v>0.36199999999999999</v>
      </c>
      <c r="P363" s="9">
        <v>1.2509999999999999</v>
      </c>
      <c r="Q363" s="9">
        <v>19.866599999999998</v>
      </c>
      <c r="R363" s="9"/>
      <c r="S363" s="11"/>
    </row>
    <row r="364" spans="1:19" ht="15.75">
      <c r="A364" s="13">
        <v>52596</v>
      </c>
      <c r="B364" s="8">
        <f>10.3068 * CHOOSE(CONTROL!$C$15, $D$11, 100%, $F$11)</f>
        <v>10.306800000000001</v>
      </c>
      <c r="C364" s="8">
        <f>10.312 * CHOOSE(CONTROL!$C$15, $D$11, 100%, $F$11)</f>
        <v>10.311999999999999</v>
      </c>
      <c r="D364" s="8">
        <f>10.3026 * CHOOSE( CONTROL!$C$15, $D$11, 100%, $F$11)</f>
        <v>10.3026</v>
      </c>
      <c r="E364" s="12">
        <f>10.3055 * CHOOSE( CONTROL!$C$15, $D$11, 100%, $F$11)</f>
        <v>10.3055</v>
      </c>
      <c r="F364" s="4">
        <f>10.9557 * CHOOSE(CONTROL!$C$15, $D$11, 100%, $F$11)</f>
        <v>10.9557</v>
      </c>
      <c r="G364" s="8">
        <f>10.0608 * CHOOSE( CONTROL!$C$15, $D$11, 100%, $F$11)</f>
        <v>10.0608</v>
      </c>
      <c r="H364" s="4">
        <f>10.9353 * CHOOSE(CONTROL!$C$15, $D$11, 100%, $F$11)</f>
        <v>10.9353</v>
      </c>
      <c r="I364" s="8">
        <f>10.0108 * CHOOSE(CONTROL!$C$15, $D$11, 100%, $F$11)</f>
        <v>10.0108</v>
      </c>
      <c r="J364" s="4">
        <f>9.8684 * CHOOSE(CONTROL!$C$15, $D$11, 100%, $F$11)</f>
        <v>9.8683999999999994</v>
      </c>
      <c r="K364" s="4"/>
      <c r="L364" s="9">
        <v>29.306000000000001</v>
      </c>
      <c r="M364" s="9">
        <v>12.063700000000001</v>
      </c>
      <c r="N364" s="9">
        <v>4.9444999999999997</v>
      </c>
      <c r="O364" s="9">
        <v>0.37409999999999999</v>
      </c>
      <c r="P364" s="9">
        <v>1.2927</v>
      </c>
      <c r="Q364" s="9">
        <v>20.5288</v>
      </c>
      <c r="R364" s="9"/>
      <c r="S364" s="11"/>
    </row>
    <row r="365" spans="1:19" ht="15.75">
      <c r="A365" s="13">
        <v>52627</v>
      </c>
      <c r="B365" s="8">
        <f>10.6997 * CHOOSE(CONTROL!$C$15, $D$11, 100%, $F$11)</f>
        <v>10.6997</v>
      </c>
      <c r="C365" s="8">
        <f>10.7049 * CHOOSE(CONTROL!$C$15, $D$11, 100%, $F$11)</f>
        <v>10.7049</v>
      </c>
      <c r="D365" s="8">
        <f>10.6913 * CHOOSE( CONTROL!$C$15, $D$11, 100%, $F$11)</f>
        <v>10.6913</v>
      </c>
      <c r="E365" s="12">
        <f>10.6957 * CHOOSE( CONTROL!$C$15, $D$11, 100%, $F$11)</f>
        <v>10.6957</v>
      </c>
      <c r="F365" s="4">
        <f>11.3486 * CHOOSE(CONTROL!$C$15, $D$11, 100%, $F$11)</f>
        <v>11.348599999999999</v>
      </c>
      <c r="G365" s="8">
        <f>10.4382 * CHOOSE( CONTROL!$C$15, $D$11, 100%, $F$11)</f>
        <v>10.4382</v>
      </c>
      <c r="H365" s="4">
        <f>11.319 * CHOOSE(CONTROL!$C$15, $D$11, 100%, $F$11)</f>
        <v>11.319000000000001</v>
      </c>
      <c r="I365" s="8">
        <f>10.3644 * CHOOSE(CONTROL!$C$15, $D$11, 100%, $F$11)</f>
        <v>10.3644</v>
      </c>
      <c r="J365" s="4">
        <f>10.2456 * CHOOSE(CONTROL!$C$15, $D$11, 100%, $F$11)</f>
        <v>10.2456</v>
      </c>
      <c r="K365" s="4"/>
      <c r="L365" s="9">
        <v>29.306000000000001</v>
      </c>
      <c r="M365" s="9">
        <v>12.063700000000001</v>
      </c>
      <c r="N365" s="9">
        <v>4.9444999999999997</v>
      </c>
      <c r="O365" s="9">
        <v>0.37409999999999999</v>
      </c>
      <c r="P365" s="9">
        <v>1.2927</v>
      </c>
      <c r="Q365" s="9">
        <v>20.4619</v>
      </c>
      <c r="R365" s="9"/>
      <c r="S365" s="11"/>
    </row>
    <row r="366" spans="1:19" ht="15.75">
      <c r="A366" s="13">
        <v>52655</v>
      </c>
      <c r="B366" s="8">
        <f>10.0098 * CHOOSE(CONTROL!$C$15, $D$11, 100%, $F$11)</f>
        <v>10.0098</v>
      </c>
      <c r="C366" s="8">
        <f>10.015 * CHOOSE(CONTROL!$C$15, $D$11, 100%, $F$11)</f>
        <v>10.015000000000001</v>
      </c>
      <c r="D366" s="8">
        <f>10.0015 * CHOOSE( CONTROL!$C$15, $D$11, 100%, $F$11)</f>
        <v>10.0015</v>
      </c>
      <c r="E366" s="12">
        <f>10.0059 * CHOOSE( CONTROL!$C$15, $D$11, 100%, $F$11)</f>
        <v>10.0059</v>
      </c>
      <c r="F366" s="4">
        <f>10.6587 * CHOOSE(CONTROL!$C$15, $D$11, 100%, $F$11)</f>
        <v>10.6587</v>
      </c>
      <c r="G366" s="8">
        <f>9.7644 * CHOOSE( CONTROL!$C$15, $D$11, 100%, $F$11)</f>
        <v>9.7644000000000002</v>
      </c>
      <c r="H366" s="4">
        <f>10.6452 * CHOOSE(CONTROL!$C$15, $D$11, 100%, $F$11)</f>
        <v>10.645200000000001</v>
      </c>
      <c r="I366" s="8">
        <f>9.7017 * CHOOSE(CONTROL!$C$15, $D$11, 100%, $F$11)</f>
        <v>9.7017000000000007</v>
      </c>
      <c r="J366" s="4">
        <f>9.5832 * CHOOSE(CONTROL!$C$15, $D$11, 100%, $F$11)</f>
        <v>9.5831999999999997</v>
      </c>
      <c r="K366" s="4"/>
      <c r="L366" s="9">
        <v>27.415299999999998</v>
      </c>
      <c r="M366" s="9">
        <v>11.285299999999999</v>
      </c>
      <c r="N366" s="9">
        <v>4.6254999999999997</v>
      </c>
      <c r="O366" s="9">
        <v>0.34989999999999999</v>
      </c>
      <c r="P366" s="9">
        <v>1.2093</v>
      </c>
      <c r="Q366" s="9">
        <v>19.1417</v>
      </c>
      <c r="R366" s="9"/>
      <c r="S366" s="11"/>
    </row>
    <row r="367" spans="1:19" ht="15.75">
      <c r="A367" s="13">
        <v>52687</v>
      </c>
      <c r="B367" s="8">
        <f>9.7973 * CHOOSE(CONTROL!$C$15, $D$11, 100%, $F$11)</f>
        <v>9.7972999999999999</v>
      </c>
      <c r="C367" s="8">
        <f>9.8025 * CHOOSE(CONTROL!$C$15, $D$11, 100%, $F$11)</f>
        <v>9.8025000000000002</v>
      </c>
      <c r="D367" s="8">
        <f>9.7887 * CHOOSE( CONTROL!$C$15, $D$11, 100%, $F$11)</f>
        <v>9.7887000000000004</v>
      </c>
      <c r="E367" s="12">
        <f>9.7932 * CHOOSE( CONTROL!$C$15, $D$11, 100%, $F$11)</f>
        <v>9.7932000000000006</v>
      </c>
      <c r="F367" s="4">
        <f>10.4462 * CHOOSE(CONTROL!$C$15, $D$11, 100%, $F$11)</f>
        <v>10.446199999999999</v>
      </c>
      <c r="G367" s="8">
        <f>9.5566 * CHOOSE( CONTROL!$C$15, $D$11, 100%, $F$11)</f>
        <v>9.5565999999999995</v>
      </c>
      <c r="H367" s="4">
        <f>10.4376 * CHOOSE(CONTROL!$C$15, $D$11, 100%, $F$11)</f>
        <v>10.4376</v>
      </c>
      <c r="I367" s="8">
        <f>9.4966 * CHOOSE(CONTROL!$C$15, $D$11, 100%, $F$11)</f>
        <v>9.4966000000000008</v>
      </c>
      <c r="J367" s="4">
        <f>9.3792 * CHOOSE(CONTROL!$C$15, $D$11, 100%, $F$11)</f>
        <v>9.3792000000000009</v>
      </c>
      <c r="K367" s="4"/>
      <c r="L367" s="9">
        <v>29.306000000000001</v>
      </c>
      <c r="M367" s="9">
        <v>12.063700000000001</v>
      </c>
      <c r="N367" s="9">
        <v>4.9444999999999997</v>
      </c>
      <c r="O367" s="9">
        <v>0.37409999999999999</v>
      </c>
      <c r="P367" s="9">
        <v>1.2927</v>
      </c>
      <c r="Q367" s="9">
        <v>20.4619</v>
      </c>
      <c r="R367" s="9"/>
      <c r="S367" s="11"/>
    </row>
    <row r="368" spans="1:19" ht="15.75">
      <c r="A368" s="13">
        <v>52717</v>
      </c>
      <c r="B368" s="8">
        <f>9.9466 * CHOOSE(CONTROL!$C$15, $D$11, 100%, $F$11)</f>
        <v>9.9466000000000001</v>
      </c>
      <c r="C368" s="8">
        <f>9.9512 * CHOOSE(CONTROL!$C$15, $D$11, 100%, $F$11)</f>
        <v>9.9512</v>
      </c>
      <c r="D368" s="8">
        <f>9.9775 * CHOOSE( CONTROL!$C$15, $D$11, 100%, $F$11)</f>
        <v>9.9774999999999991</v>
      </c>
      <c r="E368" s="12">
        <f>9.9683 * CHOOSE( CONTROL!$C$15, $D$11, 100%, $F$11)</f>
        <v>9.9682999999999993</v>
      </c>
      <c r="F368" s="4">
        <f>10.6457 * CHOOSE(CONTROL!$C$15, $D$11, 100%, $F$11)</f>
        <v>10.6457</v>
      </c>
      <c r="G368" s="8">
        <f>9.7017 * CHOOSE( CONTROL!$C$15, $D$11, 100%, $F$11)</f>
        <v>9.7017000000000007</v>
      </c>
      <c r="H368" s="4">
        <f>10.6325 * CHOOSE(CONTROL!$C$15, $D$11, 100%, $F$11)</f>
        <v>10.6325</v>
      </c>
      <c r="I368" s="8">
        <f>9.6311 * CHOOSE(CONTROL!$C$15, $D$11, 100%, $F$11)</f>
        <v>9.6311</v>
      </c>
      <c r="J368" s="4">
        <f>9.5218 * CHOOSE(CONTROL!$C$15, $D$11, 100%, $F$11)</f>
        <v>9.5218000000000007</v>
      </c>
      <c r="K368" s="4"/>
      <c r="L368" s="9">
        <v>30.092199999999998</v>
      </c>
      <c r="M368" s="9">
        <v>11.6745</v>
      </c>
      <c r="N368" s="9">
        <v>4.7850000000000001</v>
      </c>
      <c r="O368" s="9">
        <v>0.36199999999999999</v>
      </c>
      <c r="P368" s="9">
        <v>1.1791</v>
      </c>
      <c r="Q368" s="9">
        <v>19.8018</v>
      </c>
      <c r="R368" s="9"/>
      <c r="S368" s="11"/>
    </row>
    <row r="369" spans="1:19" ht="15.75">
      <c r="A369" s="13">
        <v>52748</v>
      </c>
      <c r="B369" s="8">
        <f>CHOOSE( CONTROL!$C$32, 10.217, 10.2122) * CHOOSE(CONTROL!$C$15, $D$11, 100%, $F$11)</f>
        <v>10.217000000000001</v>
      </c>
      <c r="C369" s="8">
        <f>CHOOSE( CONTROL!$C$32, 10.2251, 10.2203) * CHOOSE(CONTROL!$C$15, $D$11, 100%, $F$11)</f>
        <v>10.225099999999999</v>
      </c>
      <c r="D369" s="8">
        <f>CHOOSE( CONTROL!$C$32, 10.2464, 10.2416) * CHOOSE( CONTROL!$C$15, $D$11, 100%, $F$11)</f>
        <v>10.2464</v>
      </c>
      <c r="E369" s="12">
        <f>CHOOSE( CONTROL!$C$32, 10.2374, 10.2326) * CHOOSE( CONTROL!$C$15, $D$11, 100%, $F$11)</f>
        <v>10.237399999999999</v>
      </c>
      <c r="F369" s="4">
        <f>CHOOSE( CONTROL!$C$32, 10.9148, 10.91) * CHOOSE(CONTROL!$C$15, $D$11, 100%, $F$11)</f>
        <v>10.9148</v>
      </c>
      <c r="G369" s="8">
        <f>CHOOSE( CONTROL!$C$32, 9.9655, 9.9607) * CHOOSE( CONTROL!$C$15, $D$11, 100%, $F$11)</f>
        <v>9.9655000000000005</v>
      </c>
      <c r="H369" s="4">
        <f>CHOOSE( CONTROL!$C$32, 10.8953, 10.8906) * CHOOSE(CONTROL!$C$15, $D$11, 100%, $F$11)</f>
        <v>10.895300000000001</v>
      </c>
      <c r="I369" s="8">
        <f>CHOOSE( CONTROL!$C$32, 9.8895, 9.8849) * CHOOSE(CONTROL!$C$15, $D$11, 100%, $F$11)</f>
        <v>9.8895</v>
      </c>
      <c r="J369" s="4">
        <f>CHOOSE( CONTROL!$C$32, 9.7801, 9.7755) * CHOOSE(CONTROL!$C$15, $D$11, 100%, $F$11)</f>
        <v>9.7800999999999991</v>
      </c>
      <c r="K369" s="4"/>
      <c r="L369" s="9">
        <v>30.7165</v>
      </c>
      <c r="M369" s="9">
        <v>12.063700000000001</v>
      </c>
      <c r="N369" s="9">
        <v>4.9444999999999997</v>
      </c>
      <c r="O369" s="9">
        <v>0.37409999999999999</v>
      </c>
      <c r="P369" s="9">
        <v>1.2183999999999999</v>
      </c>
      <c r="Q369" s="9">
        <v>20.4619</v>
      </c>
      <c r="R369" s="9"/>
      <c r="S369" s="11"/>
    </row>
    <row r="370" spans="1:19" ht="15.75">
      <c r="A370" s="13">
        <v>52778</v>
      </c>
      <c r="B370" s="8">
        <f>CHOOSE( CONTROL!$C$32, 10.0533, 10.0485) * CHOOSE(CONTROL!$C$15, $D$11, 100%, $F$11)</f>
        <v>10.0533</v>
      </c>
      <c r="C370" s="8">
        <f>CHOOSE( CONTROL!$C$32, 10.0614, 10.0566) * CHOOSE(CONTROL!$C$15, $D$11, 100%, $F$11)</f>
        <v>10.061400000000001</v>
      </c>
      <c r="D370" s="8">
        <f>CHOOSE( CONTROL!$C$32, 10.0829, 10.0781) * CHOOSE( CONTROL!$C$15, $D$11, 100%, $F$11)</f>
        <v>10.0829</v>
      </c>
      <c r="E370" s="12">
        <f>CHOOSE( CONTROL!$C$32, 10.0739, 10.0691) * CHOOSE( CONTROL!$C$15, $D$11, 100%, $F$11)</f>
        <v>10.0739</v>
      </c>
      <c r="F370" s="4">
        <f>CHOOSE( CONTROL!$C$32, 10.7511, 10.7463) * CHOOSE(CONTROL!$C$15, $D$11, 100%, $F$11)</f>
        <v>10.751099999999999</v>
      </c>
      <c r="G370" s="8">
        <f>CHOOSE( CONTROL!$C$32, 9.8059, 9.8011) * CHOOSE( CONTROL!$C$15, $D$11, 100%, $F$11)</f>
        <v>9.8058999999999994</v>
      </c>
      <c r="H370" s="4">
        <f>CHOOSE( CONTROL!$C$32, 10.7354, 10.7307) * CHOOSE(CONTROL!$C$15, $D$11, 100%, $F$11)</f>
        <v>10.7354</v>
      </c>
      <c r="I370" s="8">
        <f>CHOOSE( CONTROL!$C$32, 9.7332, 9.7286) * CHOOSE(CONTROL!$C$15, $D$11, 100%, $F$11)</f>
        <v>9.7332000000000001</v>
      </c>
      <c r="J370" s="4">
        <f>CHOOSE( CONTROL!$C$32, 9.623, 9.6183) * CHOOSE(CONTROL!$C$15, $D$11, 100%, $F$11)</f>
        <v>9.6229999999999993</v>
      </c>
      <c r="K370" s="4"/>
      <c r="L370" s="9">
        <v>29.7257</v>
      </c>
      <c r="M370" s="9">
        <v>11.6745</v>
      </c>
      <c r="N370" s="9">
        <v>4.7850000000000001</v>
      </c>
      <c r="O370" s="9">
        <v>0.36199999999999999</v>
      </c>
      <c r="P370" s="9">
        <v>1.1791</v>
      </c>
      <c r="Q370" s="9">
        <v>19.8018</v>
      </c>
      <c r="R370" s="9"/>
      <c r="S370" s="11"/>
    </row>
    <row r="371" spans="1:19" ht="15.75">
      <c r="A371" s="13">
        <v>52809</v>
      </c>
      <c r="B371" s="8">
        <f>CHOOSE( CONTROL!$C$32, 10.4844, 10.4796) * CHOOSE(CONTROL!$C$15, $D$11, 100%, $F$11)</f>
        <v>10.484400000000001</v>
      </c>
      <c r="C371" s="8">
        <f>CHOOSE( CONTROL!$C$32, 10.4925, 10.4876) * CHOOSE(CONTROL!$C$15, $D$11, 100%, $F$11)</f>
        <v>10.4925</v>
      </c>
      <c r="D371" s="8">
        <f>CHOOSE( CONTROL!$C$32, 10.5142, 10.5094) * CHOOSE( CONTROL!$C$15, $D$11, 100%, $F$11)</f>
        <v>10.514200000000001</v>
      </c>
      <c r="E371" s="12">
        <f>CHOOSE( CONTROL!$C$32, 10.5051, 10.5003) * CHOOSE( CONTROL!$C$15, $D$11, 100%, $F$11)</f>
        <v>10.505100000000001</v>
      </c>
      <c r="F371" s="4">
        <f>CHOOSE( CONTROL!$C$32, 11.1822, 11.1774) * CHOOSE(CONTROL!$C$15, $D$11, 100%, $F$11)</f>
        <v>11.1822</v>
      </c>
      <c r="G371" s="8">
        <f>CHOOSE( CONTROL!$C$32, 10.2273, 10.2225) * CHOOSE( CONTROL!$C$15, $D$11, 100%, $F$11)</f>
        <v>10.2273</v>
      </c>
      <c r="H371" s="4">
        <f>CHOOSE( CONTROL!$C$32, 11.1565, 11.1517) * CHOOSE(CONTROL!$C$15, $D$11, 100%, $F$11)</f>
        <v>11.156499999999999</v>
      </c>
      <c r="I371" s="8">
        <f>CHOOSE( CONTROL!$C$32, 10.1484, 10.1438) * CHOOSE(CONTROL!$C$15, $D$11, 100%, $F$11)</f>
        <v>10.148400000000001</v>
      </c>
      <c r="J371" s="4">
        <f>CHOOSE( CONTROL!$C$32, 10.0368, 10.0322) * CHOOSE(CONTROL!$C$15, $D$11, 100%, $F$11)</f>
        <v>10.036799999999999</v>
      </c>
      <c r="K371" s="4"/>
      <c r="L371" s="9">
        <v>30.7165</v>
      </c>
      <c r="M371" s="9">
        <v>12.063700000000001</v>
      </c>
      <c r="N371" s="9">
        <v>4.9444999999999997</v>
      </c>
      <c r="O371" s="9">
        <v>0.37409999999999999</v>
      </c>
      <c r="P371" s="9">
        <v>1.2183999999999999</v>
      </c>
      <c r="Q371" s="9">
        <v>20.4619</v>
      </c>
      <c r="R371" s="9"/>
      <c r="S371" s="11"/>
    </row>
    <row r="372" spans="1:19" ht="15.75">
      <c r="A372" s="13">
        <v>52840</v>
      </c>
      <c r="B372" s="8">
        <f>CHOOSE( CONTROL!$C$32, 9.6778, 9.673) * CHOOSE(CONTROL!$C$15, $D$11, 100%, $F$11)</f>
        <v>9.6777999999999995</v>
      </c>
      <c r="C372" s="8">
        <f>CHOOSE( CONTROL!$C$32, 9.6859, 9.6811) * CHOOSE(CONTROL!$C$15, $D$11, 100%, $F$11)</f>
        <v>9.6859000000000002</v>
      </c>
      <c r="D372" s="8">
        <f>CHOOSE( CONTROL!$C$32, 9.7077, 9.7029) * CHOOSE( CONTROL!$C$15, $D$11, 100%, $F$11)</f>
        <v>9.7077000000000009</v>
      </c>
      <c r="E372" s="12">
        <f>CHOOSE( CONTROL!$C$32, 9.6986, 9.6938) * CHOOSE( CONTROL!$C$15, $D$11, 100%, $F$11)</f>
        <v>9.6986000000000008</v>
      </c>
      <c r="F372" s="4">
        <f>CHOOSE( CONTROL!$C$32, 10.3756, 10.3708) * CHOOSE(CONTROL!$C$15, $D$11, 100%, $F$11)</f>
        <v>10.3756</v>
      </c>
      <c r="G372" s="8">
        <f>CHOOSE( CONTROL!$C$32, 9.4395, 9.4348) * CHOOSE( CONTROL!$C$15, $D$11, 100%, $F$11)</f>
        <v>9.4395000000000007</v>
      </c>
      <c r="H372" s="4">
        <f>CHOOSE( CONTROL!$C$32, 10.3687, 10.3639) * CHOOSE(CONTROL!$C$15, $D$11, 100%, $F$11)</f>
        <v>10.3687</v>
      </c>
      <c r="I372" s="8">
        <f>CHOOSE( CONTROL!$C$32, 9.3739, 9.3693) * CHOOSE(CONTROL!$C$15, $D$11, 100%, $F$11)</f>
        <v>9.3739000000000008</v>
      </c>
      <c r="J372" s="4">
        <f>CHOOSE( CONTROL!$C$32, 9.2624, 9.2578) * CHOOSE(CONTROL!$C$15, $D$11, 100%, $F$11)</f>
        <v>9.2623999999999995</v>
      </c>
      <c r="K372" s="4"/>
      <c r="L372" s="9">
        <v>30.7165</v>
      </c>
      <c r="M372" s="9">
        <v>12.063700000000001</v>
      </c>
      <c r="N372" s="9">
        <v>4.9444999999999997</v>
      </c>
      <c r="O372" s="9">
        <v>0.37409999999999999</v>
      </c>
      <c r="P372" s="9">
        <v>1.2183999999999999</v>
      </c>
      <c r="Q372" s="9">
        <v>20.4619</v>
      </c>
      <c r="R372" s="9"/>
      <c r="S372" s="11"/>
    </row>
    <row r="373" spans="1:19" ht="15.75">
      <c r="A373" s="13">
        <v>52870</v>
      </c>
      <c r="B373" s="8">
        <f>CHOOSE( CONTROL!$C$32, 9.4758, 9.471) * CHOOSE(CONTROL!$C$15, $D$11, 100%, $F$11)</f>
        <v>9.4757999999999996</v>
      </c>
      <c r="C373" s="8">
        <f>CHOOSE( CONTROL!$C$32, 9.4839, 9.4791) * CHOOSE(CONTROL!$C$15, $D$11, 100%, $F$11)</f>
        <v>9.4839000000000002</v>
      </c>
      <c r="D373" s="8">
        <f>CHOOSE( CONTROL!$C$32, 9.5057, 9.5009) * CHOOSE( CONTROL!$C$15, $D$11, 100%, $F$11)</f>
        <v>9.5056999999999992</v>
      </c>
      <c r="E373" s="12">
        <f>CHOOSE( CONTROL!$C$32, 9.4966, 9.4918) * CHOOSE( CONTROL!$C$15, $D$11, 100%, $F$11)</f>
        <v>9.4966000000000008</v>
      </c>
      <c r="F373" s="4">
        <f>CHOOSE( CONTROL!$C$32, 10.1736, 10.1688) * CHOOSE(CONTROL!$C$15, $D$11, 100%, $F$11)</f>
        <v>10.1736</v>
      </c>
      <c r="G373" s="8">
        <f>CHOOSE( CONTROL!$C$32, 9.2422, 9.2375) * CHOOSE( CONTROL!$C$15, $D$11, 100%, $F$11)</f>
        <v>9.2422000000000004</v>
      </c>
      <c r="H373" s="4">
        <f>CHOOSE( CONTROL!$C$32, 10.1714, 10.1667) * CHOOSE(CONTROL!$C$15, $D$11, 100%, $F$11)</f>
        <v>10.1714</v>
      </c>
      <c r="I373" s="8">
        <f>CHOOSE( CONTROL!$C$32, 9.1798, 9.1751) * CHOOSE(CONTROL!$C$15, $D$11, 100%, $F$11)</f>
        <v>9.1798000000000002</v>
      </c>
      <c r="J373" s="4">
        <f>CHOOSE( CONTROL!$C$32, 9.0685, 9.0639) * CHOOSE(CONTROL!$C$15, $D$11, 100%, $F$11)</f>
        <v>9.0685000000000002</v>
      </c>
      <c r="K373" s="4"/>
      <c r="L373" s="9">
        <v>29.7257</v>
      </c>
      <c r="M373" s="9">
        <v>11.6745</v>
      </c>
      <c r="N373" s="9">
        <v>4.7850000000000001</v>
      </c>
      <c r="O373" s="9">
        <v>0.36199999999999999</v>
      </c>
      <c r="P373" s="9">
        <v>1.1791</v>
      </c>
      <c r="Q373" s="9">
        <v>19.8018</v>
      </c>
      <c r="R373" s="9"/>
      <c r="S373" s="11"/>
    </row>
    <row r="374" spans="1:19" ht="15.75">
      <c r="A374" s="13">
        <v>52901</v>
      </c>
      <c r="B374" s="8">
        <f>9.8886 * CHOOSE(CONTROL!$C$15, $D$11, 100%, $F$11)</f>
        <v>9.8886000000000003</v>
      </c>
      <c r="C374" s="8">
        <f>9.8941 * CHOOSE(CONTROL!$C$15, $D$11, 100%, $F$11)</f>
        <v>9.8940999999999999</v>
      </c>
      <c r="D374" s="8">
        <f>9.9205 * CHOOSE( CONTROL!$C$15, $D$11, 100%, $F$11)</f>
        <v>9.9205000000000005</v>
      </c>
      <c r="E374" s="12">
        <f>9.9112 * CHOOSE( CONTROL!$C$15, $D$11, 100%, $F$11)</f>
        <v>9.9111999999999991</v>
      </c>
      <c r="F374" s="4">
        <f>10.5882 * CHOOSE(CONTROL!$C$15, $D$11, 100%, $F$11)</f>
        <v>10.588200000000001</v>
      </c>
      <c r="G374" s="8">
        <f>9.6464 * CHOOSE( CONTROL!$C$15, $D$11, 100%, $F$11)</f>
        <v>9.6463999999999999</v>
      </c>
      <c r="H374" s="4">
        <f>10.5763 * CHOOSE(CONTROL!$C$15, $D$11, 100%, $F$11)</f>
        <v>10.5763</v>
      </c>
      <c r="I374" s="8">
        <f>9.5787 * CHOOSE(CONTROL!$C$15, $D$11, 100%, $F$11)</f>
        <v>9.5786999999999995</v>
      </c>
      <c r="J374" s="4">
        <f>9.4665 * CHOOSE(CONTROL!$C$15, $D$11, 100%, $F$11)</f>
        <v>9.4664999999999999</v>
      </c>
      <c r="K374" s="4"/>
      <c r="L374" s="9">
        <v>31.095300000000002</v>
      </c>
      <c r="M374" s="9">
        <v>12.063700000000001</v>
      </c>
      <c r="N374" s="9">
        <v>4.9444999999999997</v>
      </c>
      <c r="O374" s="9">
        <v>0.37409999999999999</v>
      </c>
      <c r="P374" s="9">
        <v>1.2183999999999999</v>
      </c>
      <c r="Q374" s="9">
        <v>20.4619</v>
      </c>
      <c r="R374" s="9"/>
      <c r="S374" s="11"/>
    </row>
    <row r="375" spans="1:19" ht="15.75">
      <c r="A375" s="13">
        <v>52931</v>
      </c>
      <c r="B375" s="8">
        <f>10.6623 * CHOOSE(CONTROL!$C$15, $D$11, 100%, $F$11)</f>
        <v>10.6623</v>
      </c>
      <c r="C375" s="8">
        <f>10.6675 * CHOOSE(CONTROL!$C$15, $D$11, 100%, $F$11)</f>
        <v>10.6675</v>
      </c>
      <c r="D375" s="8">
        <f>10.6568 * CHOOSE( CONTROL!$C$15, $D$11, 100%, $F$11)</f>
        <v>10.6568</v>
      </c>
      <c r="E375" s="12">
        <f>10.6602 * CHOOSE( CONTROL!$C$15, $D$11, 100%, $F$11)</f>
        <v>10.6602</v>
      </c>
      <c r="F375" s="4">
        <f>11.3112 * CHOOSE(CONTROL!$C$15, $D$11, 100%, $F$11)</f>
        <v>11.311199999999999</v>
      </c>
      <c r="G375" s="8">
        <f>10.407 * CHOOSE( CONTROL!$C$15, $D$11, 100%, $F$11)</f>
        <v>10.407</v>
      </c>
      <c r="H375" s="4">
        <f>11.2825 * CHOOSE(CONTROL!$C$15, $D$11, 100%, $F$11)</f>
        <v>11.282500000000001</v>
      </c>
      <c r="I375" s="8">
        <f>10.3479 * CHOOSE(CONTROL!$C$15, $D$11, 100%, $F$11)</f>
        <v>10.347899999999999</v>
      </c>
      <c r="J375" s="4">
        <f>10.2097 * CHOOSE(CONTROL!$C$15, $D$11, 100%, $F$11)</f>
        <v>10.2097</v>
      </c>
      <c r="K375" s="4"/>
      <c r="L375" s="9">
        <v>28.360600000000002</v>
      </c>
      <c r="M375" s="9">
        <v>11.6745</v>
      </c>
      <c r="N375" s="9">
        <v>4.7850000000000001</v>
      </c>
      <c r="O375" s="9">
        <v>0.36199999999999999</v>
      </c>
      <c r="P375" s="9">
        <v>1.2509999999999999</v>
      </c>
      <c r="Q375" s="9">
        <v>19.8018</v>
      </c>
      <c r="R375" s="9"/>
      <c r="S375" s="11"/>
    </row>
    <row r="376" spans="1:19" ht="15.75">
      <c r="A376" s="13">
        <v>52962</v>
      </c>
      <c r="B376" s="8">
        <f>10.643 * CHOOSE(CONTROL!$C$15, $D$11, 100%, $F$11)</f>
        <v>10.643000000000001</v>
      </c>
      <c r="C376" s="8">
        <f>10.6482 * CHOOSE(CONTROL!$C$15, $D$11, 100%, $F$11)</f>
        <v>10.648199999999999</v>
      </c>
      <c r="D376" s="8">
        <f>10.6388 * CHOOSE( CONTROL!$C$15, $D$11, 100%, $F$11)</f>
        <v>10.6388</v>
      </c>
      <c r="E376" s="12">
        <f>10.6417 * CHOOSE( CONTROL!$C$15, $D$11, 100%, $F$11)</f>
        <v>10.6417</v>
      </c>
      <c r="F376" s="4">
        <f>11.2919 * CHOOSE(CONTROL!$C$15, $D$11, 100%, $F$11)</f>
        <v>11.2919</v>
      </c>
      <c r="G376" s="8">
        <f>10.3891 * CHOOSE( CONTROL!$C$15, $D$11, 100%, $F$11)</f>
        <v>10.389099999999999</v>
      </c>
      <c r="H376" s="4">
        <f>11.2636 * CHOOSE(CONTROL!$C$15, $D$11, 100%, $F$11)</f>
        <v>11.2636</v>
      </c>
      <c r="I376" s="8">
        <f>10.3337 * CHOOSE(CONTROL!$C$15, $D$11, 100%, $F$11)</f>
        <v>10.3337</v>
      </c>
      <c r="J376" s="4">
        <f>10.1912 * CHOOSE(CONTROL!$C$15, $D$11, 100%, $F$11)</f>
        <v>10.1912</v>
      </c>
      <c r="K376" s="4"/>
      <c r="L376" s="9">
        <v>29.306000000000001</v>
      </c>
      <c r="M376" s="9">
        <v>12.063700000000001</v>
      </c>
      <c r="N376" s="9">
        <v>4.9444999999999997</v>
      </c>
      <c r="O376" s="9">
        <v>0.37409999999999999</v>
      </c>
      <c r="P376" s="9">
        <v>1.2927</v>
      </c>
      <c r="Q376" s="9">
        <v>20.4619</v>
      </c>
      <c r="R376" s="9"/>
      <c r="S376" s="11"/>
    </row>
    <row r="377" spans="1:19" ht="15.75">
      <c r="A377" s="13">
        <v>52993</v>
      </c>
      <c r="B377" s="8">
        <f>11.0487 * CHOOSE(CONTROL!$C$15, $D$11, 100%, $F$11)</f>
        <v>11.0487</v>
      </c>
      <c r="C377" s="8">
        <f>11.0539 * CHOOSE(CONTROL!$C$15, $D$11, 100%, $F$11)</f>
        <v>11.053900000000001</v>
      </c>
      <c r="D377" s="8">
        <f>11.0403 * CHOOSE( CONTROL!$C$15, $D$11, 100%, $F$11)</f>
        <v>11.0403</v>
      </c>
      <c r="E377" s="12">
        <f>11.0447 * CHOOSE( CONTROL!$C$15, $D$11, 100%, $F$11)</f>
        <v>11.044700000000001</v>
      </c>
      <c r="F377" s="4">
        <f>11.6976 * CHOOSE(CONTROL!$C$15, $D$11, 100%, $F$11)</f>
        <v>11.6976</v>
      </c>
      <c r="G377" s="8">
        <f>10.7791 * CHOOSE( CONTROL!$C$15, $D$11, 100%, $F$11)</f>
        <v>10.7791</v>
      </c>
      <c r="H377" s="4">
        <f>11.6598 * CHOOSE(CONTROL!$C$15, $D$11, 100%, $F$11)</f>
        <v>11.659800000000001</v>
      </c>
      <c r="I377" s="8">
        <f>10.6996 * CHOOSE(CONTROL!$C$15, $D$11, 100%, $F$11)</f>
        <v>10.6996</v>
      </c>
      <c r="J377" s="4">
        <f>10.5807 * CHOOSE(CONTROL!$C$15, $D$11, 100%, $F$11)</f>
        <v>10.5807</v>
      </c>
      <c r="K377" s="4"/>
      <c r="L377" s="9">
        <v>29.306000000000001</v>
      </c>
      <c r="M377" s="9">
        <v>12.063700000000001</v>
      </c>
      <c r="N377" s="9">
        <v>4.9444999999999997</v>
      </c>
      <c r="O377" s="9">
        <v>0.37409999999999999</v>
      </c>
      <c r="P377" s="9">
        <v>1.2927</v>
      </c>
      <c r="Q377" s="9">
        <v>20.396799999999999</v>
      </c>
      <c r="R377" s="9"/>
      <c r="S377" s="11"/>
    </row>
    <row r="378" spans="1:19" ht="15.75">
      <c r="A378" s="13">
        <v>53021</v>
      </c>
      <c r="B378" s="8">
        <f>10.3362 * CHOOSE(CONTROL!$C$15, $D$11, 100%, $F$11)</f>
        <v>10.3362</v>
      </c>
      <c r="C378" s="8">
        <f>10.3414 * CHOOSE(CONTROL!$C$15, $D$11, 100%, $F$11)</f>
        <v>10.3414</v>
      </c>
      <c r="D378" s="8">
        <f>10.3279 * CHOOSE( CONTROL!$C$15, $D$11, 100%, $F$11)</f>
        <v>10.3279</v>
      </c>
      <c r="E378" s="12">
        <f>10.3323 * CHOOSE( CONTROL!$C$15, $D$11, 100%, $F$11)</f>
        <v>10.3323</v>
      </c>
      <c r="F378" s="4">
        <f>10.9851 * CHOOSE(CONTROL!$C$15, $D$11, 100%, $F$11)</f>
        <v>10.985099999999999</v>
      </c>
      <c r="G378" s="8">
        <f>10.0832 * CHOOSE( CONTROL!$C$15, $D$11, 100%, $F$11)</f>
        <v>10.0832</v>
      </c>
      <c r="H378" s="4">
        <f>10.964 * CHOOSE(CONTROL!$C$15, $D$11, 100%, $F$11)</f>
        <v>10.964</v>
      </c>
      <c r="I378" s="8">
        <f>10.0153 * CHOOSE(CONTROL!$C$15, $D$11, 100%, $F$11)</f>
        <v>10.0153</v>
      </c>
      <c r="J378" s="4">
        <f>9.8966 * CHOOSE(CONTROL!$C$15, $D$11, 100%, $F$11)</f>
        <v>9.8965999999999994</v>
      </c>
      <c r="K378" s="4"/>
      <c r="L378" s="9">
        <v>26.469899999999999</v>
      </c>
      <c r="M378" s="9">
        <v>10.8962</v>
      </c>
      <c r="N378" s="9">
        <v>4.4660000000000002</v>
      </c>
      <c r="O378" s="9">
        <v>0.33789999999999998</v>
      </c>
      <c r="P378" s="9">
        <v>1.1676</v>
      </c>
      <c r="Q378" s="9">
        <v>18.422899999999998</v>
      </c>
      <c r="R378" s="9"/>
      <c r="S378" s="11"/>
    </row>
    <row r="379" spans="1:19" ht="15.75">
      <c r="A379" s="13">
        <v>53052</v>
      </c>
      <c r="B379" s="8">
        <f>10.1168 * CHOOSE(CONTROL!$C$15, $D$11, 100%, $F$11)</f>
        <v>10.1168</v>
      </c>
      <c r="C379" s="8">
        <f>10.122 * CHOOSE(CONTROL!$C$15, $D$11, 100%, $F$11)</f>
        <v>10.122</v>
      </c>
      <c r="D379" s="8">
        <f>10.1081 * CHOOSE( CONTROL!$C$15, $D$11, 100%, $F$11)</f>
        <v>10.1081</v>
      </c>
      <c r="E379" s="12">
        <f>10.1126 * CHOOSE( CONTROL!$C$15, $D$11, 100%, $F$11)</f>
        <v>10.1126</v>
      </c>
      <c r="F379" s="4">
        <f>10.7657 * CHOOSE(CONTROL!$C$15, $D$11, 100%, $F$11)</f>
        <v>10.765700000000001</v>
      </c>
      <c r="G379" s="8">
        <f>9.8687 * CHOOSE( CONTROL!$C$15, $D$11, 100%, $F$11)</f>
        <v>9.8687000000000005</v>
      </c>
      <c r="H379" s="4">
        <f>10.7497 * CHOOSE(CONTROL!$C$15, $D$11, 100%, $F$11)</f>
        <v>10.749700000000001</v>
      </c>
      <c r="I379" s="8">
        <f>9.8035 * CHOOSE(CONTROL!$C$15, $D$11, 100%, $F$11)</f>
        <v>9.8034999999999997</v>
      </c>
      <c r="J379" s="4">
        <f>9.686 * CHOOSE(CONTROL!$C$15, $D$11, 100%, $F$11)</f>
        <v>9.6859999999999999</v>
      </c>
      <c r="K379" s="4"/>
      <c r="L379" s="9">
        <v>29.306000000000001</v>
      </c>
      <c r="M379" s="9">
        <v>12.063700000000001</v>
      </c>
      <c r="N379" s="9">
        <v>4.9444999999999997</v>
      </c>
      <c r="O379" s="9">
        <v>0.37409999999999999</v>
      </c>
      <c r="P379" s="9">
        <v>1.2927</v>
      </c>
      <c r="Q379" s="9">
        <v>20.396799999999999</v>
      </c>
      <c r="R379" s="9"/>
      <c r="S379" s="11"/>
    </row>
    <row r="380" spans="1:19" ht="15.75">
      <c r="A380" s="13">
        <v>53082</v>
      </c>
      <c r="B380" s="8">
        <f>10.2709 * CHOOSE(CONTROL!$C$15, $D$11, 100%, $F$11)</f>
        <v>10.270899999999999</v>
      </c>
      <c r="C380" s="8">
        <f>10.2755 * CHOOSE(CONTROL!$C$15, $D$11, 100%, $F$11)</f>
        <v>10.275499999999999</v>
      </c>
      <c r="D380" s="8">
        <f>10.3018 * CHOOSE( CONTROL!$C$15, $D$11, 100%, $F$11)</f>
        <v>10.3018</v>
      </c>
      <c r="E380" s="12">
        <f>10.2926 * CHOOSE( CONTROL!$C$15, $D$11, 100%, $F$11)</f>
        <v>10.2926</v>
      </c>
      <c r="F380" s="4">
        <f>10.9701 * CHOOSE(CONTROL!$C$15, $D$11, 100%, $F$11)</f>
        <v>10.9701</v>
      </c>
      <c r="G380" s="8">
        <f>10.0185 * CHOOSE( CONTROL!$C$15, $D$11, 100%, $F$11)</f>
        <v>10.0185</v>
      </c>
      <c r="H380" s="4">
        <f>10.9493 * CHOOSE(CONTROL!$C$15, $D$11, 100%, $F$11)</f>
        <v>10.949299999999999</v>
      </c>
      <c r="I380" s="8">
        <f>9.9426 * CHOOSE(CONTROL!$C$15, $D$11, 100%, $F$11)</f>
        <v>9.9426000000000005</v>
      </c>
      <c r="J380" s="4">
        <f>9.8332 * CHOOSE(CONTROL!$C$15, $D$11, 100%, $F$11)</f>
        <v>9.8331999999999997</v>
      </c>
      <c r="K380" s="4"/>
      <c r="L380" s="9">
        <v>30.092199999999998</v>
      </c>
      <c r="M380" s="9">
        <v>11.6745</v>
      </c>
      <c r="N380" s="9">
        <v>4.7850000000000001</v>
      </c>
      <c r="O380" s="9">
        <v>0.36199999999999999</v>
      </c>
      <c r="P380" s="9">
        <v>1.1791</v>
      </c>
      <c r="Q380" s="9">
        <v>19.738800000000001</v>
      </c>
      <c r="R380" s="9"/>
      <c r="S380" s="11"/>
    </row>
    <row r="381" spans="1:19" ht="15.75">
      <c r="A381" s="13">
        <v>53113</v>
      </c>
      <c r="B381" s="8">
        <f>CHOOSE( CONTROL!$C$32, 10.55, 10.5452) * CHOOSE(CONTROL!$C$15, $D$11, 100%, $F$11)</f>
        <v>10.55</v>
      </c>
      <c r="C381" s="8">
        <f>CHOOSE( CONTROL!$C$32, 10.5581, 10.5532) * CHOOSE(CONTROL!$C$15, $D$11, 100%, $F$11)</f>
        <v>10.5581</v>
      </c>
      <c r="D381" s="8">
        <f>CHOOSE( CONTROL!$C$32, 10.5794, 10.5746) * CHOOSE( CONTROL!$C$15, $D$11, 100%, $F$11)</f>
        <v>10.5794</v>
      </c>
      <c r="E381" s="12">
        <f>CHOOSE( CONTROL!$C$32, 10.5704, 10.5656) * CHOOSE( CONTROL!$C$15, $D$11, 100%, $F$11)</f>
        <v>10.570399999999999</v>
      </c>
      <c r="F381" s="4">
        <f>CHOOSE( CONTROL!$C$32, 11.2478, 11.243) * CHOOSE(CONTROL!$C$15, $D$11, 100%, $F$11)</f>
        <v>11.2478</v>
      </c>
      <c r="G381" s="8">
        <f>CHOOSE( CONTROL!$C$32, 10.2907, 10.286) * CHOOSE( CONTROL!$C$15, $D$11, 100%, $F$11)</f>
        <v>10.290699999999999</v>
      </c>
      <c r="H381" s="4">
        <f>CHOOSE( CONTROL!$C$32, 11.2205, 11.2158) * CHOOSE(CONTROL!$C$15, $D$11, 100%, $F$11)</f>
        <v>11.220499999999999</v>
      </c>
      <c r="I381" s="8">
        <f>CHOOSE( CONTROL!$C$32, 10.2094, 10.2047) * CHOOSE(CONTROL!$C$15, $D$11, 100%, $F$11)</f>
        <v>10.2094</v>
      </c>
      <c r="J381" s="4">
        <f>CHOOSE( CONTROL!$C$32, 10.0998, 10.0952) * CHOOSE(CONTROL!$C$15, $D$11, 100%, $F$11)</f>
        <v>10.0998</v>
      </c>
      <c r="K381" s="4"/>
      <c r="L381" s="9">
        <v>30.7165</v>
      </c>
      <c r="M381" s="9">
        <v>12.063700000000001</v>
      </c>
      <c r="N381" s="9">
        <v>4.9444999999999997</v>
      </c>
      <c r="O381" s="9">
        <v>0.37409999999999999</v>
      </c>
      <c r="P381" s="9">
        <v>1.2183999999999999</v>
      </c>
      <c r="Q381" s="9">
        <v>20.396799999999999</v>
      </c>
      <c r="R381" s="9"/>
      <c r="S381" s="11"/>
    </row>
    <row r="382" spans="1:19" ht="15.75">
      <c r="A382" s="13">
        <v>53143</v>
      </c>
      <c r="B382" s="8">
        <f>CHOOSE( CONTROL!$C$32, 10.3809, 10.3761) * CHOOSE(CONTROL!$C$15, $D$11, 100%, $F$11)</f>
        <v>10.3809</v>
      </c>
      <c r="C382" s="8">
        <f>CHOOSE( CONTROL!$C$32, 10.389, 10.3842) * CHOOSE(CONTROL!$C$15, $D$11, 100%, $F$11)</f>
        <v>10.388999999999999</v>
      </c>
      <c r="D382" s="8">
        <f>CHOOSE( CONTROL!$C$32, 10.4105, 10.4057) * CHOOSE( CONTROL!$C$15, $D$11, 100%, $F$11)</f>
        <v>10.410500000000001</v>
      </c>
      <c r="E382" s="12">
        <f>CHOOSE( CONTROL!$C$32, 10.4015, 10.3967) * CHOOSE( CONTROL!$C$15, $D$11, 100%, $F$11)</f>
        <v>10.4015</v>
      </c>
      <c r="F382" s="4">
        <f>CHOOSE( CONTROL!$C$32, 11.0788, 11.0739) * CHOOSE(CONTROL!$C$15, $D$11, 100%, $F$11)</f>
        <v>11.078799999999999</v>
      </c>
      <c r="G382" s="8">
        <f>CHOOSE( CONTROL!$C$32, 10.1259, 10.1211) * CHOOSE( CONTROL!$C$15, $D$11, 100%, $F$11)</f>
        <v>10.1259</v>
      </c>
      <c r="H382" s="4">
        <f>CHOOSE( CONTROL!$C$32, 11.0554, 11.0507) * CHOOSE(CONTROL!$C$15, $D$11, 100%, $F$11)</f>
        <v>11.055400000000001</v>
      </c>
      <c r="I382" s="8">
        <f>CHOOSE( CONTROL!$C$32, 10.0479, 10.0433) * CHOOSE(CONTROL!$C$15, $D$11, 100%, $F$11)</f>
        <v>10.0479</v>
      </c>
      <c r="J382" s="4">
        <f>CHOOSE( CONTROL!$C$32, 9.9375, 9.9329) * CHOOSE(CONTROL!$C$15, $D$11, 100%, $F$11)</f>
        <v>9.9375</v>
      </c>
      <c r="K382" s="4"/>
      <c r="L382" s="9">
        <v>29.7257</v>
      </c>
      <c r="M382" s="9">
        <v>11.6745</v>
      </c>
      <c r="N382" s="9">
        <v>4.7850000000000001</v>
      </c>
      <c r="O382" s="9">
        <v>0.36199999999999999</v>
      </c>
      <c r="P382" s="9">
        <v>1.1791</v>
      </c>
      <c r="Q382" s="9">
        <v>19.738800000000001</v>
      </c>
      <c r="R382" s="9"/>
      <c r="S382" s="11"/>
    </row>
    <row r="383" spans="1:19" ht="15.75">
      <c r="A383" s="13">
        <v>53174</v>
      </c>
      <c r="B383" s="8">
        <f>CHOOSE( CONTROL!$C$32, 10.8261, 10.8213) * CHOOSE(CONTROL!$C$15, $D$11, 100%, $F$11)</f>
        <v>10.8261</v>
      </c>
      <c r="C383" s="8">
        <f>CHOOSE( CONTROL!$C$32, 10.8342, 10.8294) * CHOOSE(CONTROL!$C$15, $D$11, 100%, $F$11)</f>
        <v>10.834199999999999</v>
      </c>
      <c r="D383" s="8">
        <f>CHOOSE( CONTROL!$C$32, 10.8559, 10.8511) * CHOOSE( CONTROL!$C$15, $D$11, 100%, $F$11)</f>
        <v>10.8559</v>
      </c>
      <c r="E383" s="12">
        <f>CHOOSE( CONTROL!$C$32, 10.8468, 10.842) * CHOOSE( CONTROL!$C$15, $D$11, 100%, $F$11)</f>
        <v>10.8468</v>
      </c>
      <c r="F383" s="4">
        <f>CHOOSE( CONTROL!$C$32, 11.5239, 11.5191) * CHOOSE(CONTROL!$C$15, $D$11, 100%, $F$11)</f>
        <v>11.523899999999999</v>
      </c>
      <c r="G383" s="8">
        <f>CHOOSE( CONTROL!$C$32, 10.561, 10.5563) * CHOOSE( CONTROL!$C$15, $D$11, 100%, $F$11)</f>
        <v>10.561</v>
      </c>
      <c r="H383" s="4">
        <f>CHOOSE( CONTROL!$C$32, 11.4902, 11.4855) * CHOOSE(CONTROL!$C$15, $D$11, 100%, $F$11)</f>
        <v>11.4902</v>
      </c>
      <c r="I383" s="8">
        <f>CHOOSE( CONTROL!$C$32, 10.4767, 10.472) * CHOOSE(CONTROL!$C$15, $D$11, 100%, $F$11)</f>
        <v>10.476699999999999</v>
      </c>
      <c r="J383" s="4">
        <f>CHOOSE( CONTROL!$C$32, 10.3649, 10.3603) * CHOOSE(CONTROL!$C$15, $D$11, 100%, $F$11)</f>
        <v>10.3649</v>
      </c>
      <c r="K383" s="4"/>
      <c r="L383" s="9">
        <v>30.7165</v>
      </c>
      <c r="M383" s="9">
        <v>12.063700000000001</v>
      </c>
      <c r="N383" s="9">
        <v>4.9444999999999997</v>
      </c>
      <c r="O383" s="9">
        <v>0.37409999999999999</v>
      </c>
      <c r="P383" s="9">
        <v>1.2183999999999999</v>
      </c>
      <c r="Q383" s="9">
        <v>20.396799999999999</v>
      </c>
      <c r="R383" s="9"/>
      <c r="S383" s="11"/>
    </row>
    <row r="384" spans="1:19" ht="15.75">
      <c r="A384" s="13">
        <v>53205</v>
      </c>
      <c r="B384" s="8">
        <f>CHOOSE( CONTROL!$C$32, 9.9931, 9.9883) * CHOOSE(CONTROL!$C$15, $D$11, 100%, $F$11)</f>
        <v>9.9931000000000001</v>
      </c>
      <c r="C384" s="8">
        <f>CHOOSE( CONTROL!$C$32, 10.0012, 9.9964) * CHOOSE(CONTROL!$C$15, $D$11, 100%, $F$11)</f>
        <v>10.001200000000001</v>
      </c>
      <c r="D384" s="8">
        <f>CHOOSE( CONTROL!$C$32, 10.023, 10.0182) * CHOOSE( CONTROL!$C$15, $D$11, 100%, $F$11)</f>
        <v>10.023</v>
      </c>
      <c r="E384" s="12">
        <f>CHOOSE( CONTROL!$C$32, 10.0139, 10.0091) * CHOOSE( CONTROL!$C$15, $D$11, 100%, $F$11)</f>
        <v>10.0139</v>
      </c>
      <c r="F384" s="4">
        <f>CHOOSE( CONTROL!$C$32, 10.691, 10.6861) * CHOOSE(CONTROL!$C$15, $D$11, 100%, $F$11)</f>
        <v>10.691000000000001</v>
      </c>
      <c r="G384" s="8">
        <f>CHOOSE( CONTROL!$C$32, 9.7475, 9.7428) * CHOOSE( CONTROL!$C$15, $D$11, 100%, $F$11)</f>
        <v>9.7475000000000005</v>
      </c>
      <c r="H384" s="4">
        <f>CHOOSE( CONTROL!$C$32, 10.6767, 10.6719) * CHOOSE(CONTROL!$C$15, $D$11, 100%, $F$11)</f>
        <v>10.6767</v>
      </c>
      <c r="I384" s="8">
        <f>CHOOSE( CONTROL!$C$32, 9.6768, 9.6722) * CHOOSE(CONTROL!$C$15, $D$11, 100%, $F$11)</f>
        <v>9.6768000000000001</v>
      </c>
      <c r="J384" s="4">
        <f>CHOOSE( CONTROL!$C$32, 9.5652, 9.5606) * CHOOSE(CONTROL!$C$15, $D$11, 100%, $F$11)</f>
        <v>9.5652000000000008</v>
      </c>
      <c r="K384" s="4"/>
      <c r="L384" s="9">
        <v>30.7165</v>
      </c>
      <c r="M384" s="9">
        <v>12.063700000000001</v>
      </c>
      <c r="N384" s="9">
        <v>4.9444999999999997</v>
      </c>
      <c r="O384" s="9">
        <v>0.37409999999999999</v>
      </c>
      <c r="P384" s="9">
        <v>1.2183999999999999</v>
      </c>
      <c r="Q384" s="9">
        <v>20.396799999999999</v>
      </c>
      <c r="R384" s="9"/>
      <c r="S384" s="11"/>
    </row>
    <row r="385" spans="1:19" ht="15.75">
      <c r="A385" s="13">
        <v>53235</v>
      </c>
      <c r="B385" s="8">
        <f>CHOOSE( CONTROL!$C$32, 9.7846, 9.7797) * CHOOSE(CONTROL!$C$15, $D$11, 100%, $F$11)</f>
        <v>9.7845999999999993</v>
      </c>
      <c r="C385" s="8">
        <f>CHOOSE( CONTROL!$C$32, 9.7926, 9.7878) * CHOOSE(CONTROL!$C$15, $D$11, 100%, $F$11)</f>
        <v>9.7926000000000002</v>
      </c>
      <c r="D385" s="8">
        <f>CHOOSE( CONTROL!$C$32, 9.8144, 9.8096) * CHOOSE( CONTROL!$C$15, $D$11, 100%, $F$11)</f>
        <v>9.8143999999999991</v>
      </c>
      <c r="E385" s="12">
        <f>CHOOSE( CONTROL!$C$32, 9.8053, 9.8005) * CHOOSE( CONTROL!$C$15, $D$11, 100%, $F$11)</f>
        <v>9.8053000000000008</v>
      </c>
      <c r="F385" s="4">
        <f>CHOOSE( CONTROL!$C$32, 10.4824, 10.4775) * CHOOSE(CONTROL!$C$15, $D$11, 100%, $F$11)</f>
        <v>10.4824</v>
      </c>
      <c r="G385" s="8">
        <f>CHOOSE( CONTROL!$C$32, 9.5438, 9.5391) * CHOOSE( CONTROL!$C$15, $D$11, 100%, $F$11)</f>
        <v>9.5437999999999992</v>
      </c>
      <c r="H385" s="4">
        <f>CHOOSE( CONTROL!$C$32, 10.4729, 10.4682) * CHOOSE(CONTROL!$C$15, $D$11, 100%, $F$11)</f>
        <v>10.472899999999999</v>
      </c>
      <c r="I385" s="8">
        <f>CHOOSE( CONTROL!$C$32, 9.4764, 9.4717) * CHOOSE(CONTROL!$C$15, $D$11, 100%, $F$11)</f>
        <v>9.4763999999999999</v>
      </c>
      <c r="J385" s="4">
        <f>CHOOSE( CONTROL!$C$32, 9.3649, 9.3603) * CHOOSE(CONTROL!$C$15, $D$11, 100%, $F$11)</f>
        <v>9.3649000000000004</v>
      </c>
      <c r="K385" s="4"/>
      <c r="L385" s="9">
        <v>29.7257</v>
      </c>
      <c r="M385" s="9">
        <v>11.6745</v>
      </c>
      <c r="N385" s="9">
        <v>4.7850000000000001</v>
      </c>
      <c r="O385" s="9">
        <v>0.36199999999999999</v>
      </c>
      <c r="P385" s="9">
        <v>1.1791</v>
      </c>
      <c r="Q385" s="9">
        <v>19.738800000000001</v>
      </c>
      <c r="R385" s="9"/>
      <c r="S385" s="11"/>
    </row>
    <row r="386" spans="1:19" ht="15.75">
      <c r="A386" s="13">
        <v>53266</v>
      </c>
      <c r="B386" s="8">
        <f>10.2111 * CHOOSE(CONTROL!$C$15, $D$11, 100%, $F$11)</f>
        <v>10.2111</v>
      </c>
      <c r="C386" s="8">
        <f>10.2165 * CHOOSE(CONTROL!$C$15, $D$11, 100%, $F$11)</f>
        <v>10.2165</v>
      </c>
      <c r="D386" s="8">
        <f>10.243 * CHOOSE( CONTROL!$C$15, $D$11, 100%, $F$11)</f>
        <v>10.243</v>
      </c>
      <c r="E386" s="12">
        <f>10.2337 * CHOOSE( CONTROL!$C$15, $D$11, 100%, $F$11)</f>
        <v>10.233700000000001</v>
      </c>
      <c r="F386" s="4">
        <f>10.9106 * CHOOSE(CONTROL!$C$15, $D$11, 100%, $F$11)</f>
        <v>10.910600000000001</v>
      </c>
      <c r="G386" s="8">
        <f>9.9613 * CHOOSE( CONTROL!$C$15, $D$11, 100%, $F$11)</f>
        <v>9.9612999999999996</v>
      </c>
      <c r="H386" s="4">
        <f>10.8912 * CHOOSE(CONTROL!$C$15, $D$11, 100%, $F$11)</f>
        <v>10.8912</v>
      </c>
      <c r="I386" s="8">
        <f>9.8885 * CHOOSE(CONTROL!$C$15, $D$11, 100%, $F$11)</f>
        <v>9.8885000000000005</v>
      </c>
      <c r="J386" s="4">
        <f>9.7761 * CHOOSE(CONTROL!$C$15, $D$11, 100%, $F$11)</f>
        <v>9.7760999999999996</v>
      </c>
      <c r="K386" s="4"/>
      <c r="L386" s="9">
        <v>31.095300000000002</v>
      </c>
      <c r="M386" s="9">
        <v>12.063700000000001</v>
      </c>
      <c r="N386" s="9">
        <v>4.9444999999999997</v>
      </c>
      <c r="O386" s="9">
        <v>0.37409999999999999</v>
      </c>
      <c r="P386" s="9">
        <v>1.2183999999999999</v>
      </c>
      <c r="Q386" s="9">
        <v>20.396799999999999</v>
      </c>
      <c r="R386" s="9"/>
      <c r="S386" s="11"/>
    </row>
    <row r="387" spans="1:19" ht="15.75">
      <c r="A387" s="13">
        <v>53296</v>
      </c>
      <c r="B387" s="8">
        <f>11.0101 * CHOOSE(CONTROL!$C$15, $D$11, 100%, $F$11)</f>
        <v>11.0101</v>
      </c>
      <c r="C387" s="8">
        <f>11.0153 * CHOOSE(CONTROL!$C$15, $D$11, 100%, $F$11)</f>
        <v>11.0153</v>
      </c>
      <c r="D387" s="8">
        <f>11.0045 * CHOOSE( CONTROL!$C$15, $D$11, 100%, $F$11)</f>
        <v>11.0045</v>
      </c>
      <c r="E387" s="12">
        <f>11.0079 * CHOOSE( CONTROL!$C$15, $D$11, 100%, $F$11)</f>
        <v>11.007899999999999</v>
      </c>
      <c r="F387" s="4">
        <f>11.659 * CHOOSE(CONTROL!$C$15, $D$11, 100%, $F$11)</f>
        <v>11.659000000000001</v>
      </c>
      <c r="G387" s="8">
        <f>10.7467 * CHOOSE( CONTROL!$C$15, $D$11, 100%, $F$11)</f>
        <v>10.746700000000001</v>
      </c>
      <c r="H387" s="4">
        <f>11.6222 * CHOOSE(CONTROL!$C$15, $D$11, 100%, $F$11)</f>
        <v>11.622199999999999</v>
      </c>
      <c r="I387" s="8">
        <f>10.682 * CHOOSE(CONTROL!$C$15, $D$11, 100%, $F$11)</f>
        <v>10.682</v>
      </c>
      <c r="J387" s="4">
        <f>10.5436 * CHOOSE(CONTROL!$C$15, $D$11, 100%, $F$11)</f>
        <v>10.5436</v>
      </c>
      <c r="K387" s="4"/>
      <c r="L387" s="9">
        <v>28.360600000000002</v>
      </c>
      <c r="M387" s="9">
        <v>11.6745</v>
      </c>
      <c r="N387" s="9">
        <v>4.7850000000000001</v>
      </c>
      <c r="O387" s="9">
        <v>0.36199999999999999</v>
      </c>
      <c r="P387" s="9">
        <v>1.2509999999999999</v>
      </c>
      <c r="Q387" s="9">
        <v>19.738800000000001</v>
      </c>
      <c r="R387" s="9"/>
      <c r="S387" s="11"/>
    </row>
    <row r="388" spans="1:19" ht="15.75">
      <c r="A388" s="13">
        <v>53327</v>
      </c>
      <c r="B388" s="8">
        <f>10.9901 * CHOOSE(CONTROL!$C$15, $D$11, 100%, $F$11)</f>
        <v>10.9901</v>
      </c>
      <c r="C388" s="8">
        <f>10.9953 * CHOOSE(CONTROL!$C$15, $D$11, 100%, $F$11)</f>
        <v>10.9953</v>
      </c>
      <c r="D388" s="8">
        <f>10.9859 * CHOOSE( CONTROL!$C$15, $D$11, 100%, $F$11)</f>
        <v>10.985900000000001</v>
      </c>
      <c r="E388" s="12">
        <f>10.9888 * CHOOSE( CONTROL!$C$15, $D$11, 100%, $F$11)</f>
        <v>10.988799999999999</v>
      </c>
      <c r="F388" s="4">
        <f>11.639 * CHOOSE(CONTROL!$C$15, $D$11, 100%, $F$11)</f>
        <v>11.638999999999999</v>
      </c>
      <c r="G388" s="8">
        <f>10.7281 * CHOOSE( CONTROL!$C$15, $D$11, 100%, $F$11)</f>
        <v>10.7281</v>
      </c>
      <c r="H388" s="4">
        <f>11.6027 * CHOOSE(CONTROL!$C$15, $D$11, 100%, $F$11)</f>
        <v>11.6027</v>
      </c>
      <c r="I388" s="8">
        <f>10.6671 * CHOOSE(CONTROL!$C$15, $D$11, 100%, $F$11)</f>
        <v>10.6671</v>
      </c>
      <c r="J388" s="4">
        <f>10.5244 * CHOOSE(CONTROL!$C$15, $D$11, 100%, $F$11)</f>
        <v>10.5244</v>
      </c>
      <c r="K388" s="4"/>
      <c r="L388" s="9">
        <v>29.306000000000001</v>
      </c>
      <c r="M388" s="9">
        <v>12.063700000000001</v>
      </c>
      <c r="N388" s="9">
        <v>4.9444999999999997</v>
      </c>
      <c r="O388" s="9">
        <v>0.37409999999999999</v>
      </c>
      <c r="P388" s="9">
        <v>1.2927</v>
      </c>
      <c r="Q388" s="9">
        <v>20.396799999999999</v>
      </c>
      <c r="R388" s="9"/>
      <c r="S388" s="11"/>
    </row>
    <row r="389" spans="1:19" ht="15.75">
      <c r="A389" s="13">
        <v>53358</v>
      </c>
      <c r="B389" s="8">
        <f>11.4091 * CHOOSE(CONTROL!$C$15, $D$11, 100%, $F$11)</f>
        <v>11.4091</v>
      </c>
      <c r="C389" s="8">
        <f>11.4143 * CHOOSE(CONTROL!$C$15, $D$11, 100%, $F$11)</f>
        <v>11.414300000000001</v>
      </c>
      <c r="D389" s="8">
        <f>11.4007 * CHOOSE( CONTROL!$C$15, $D$11, 100%, $F$11)</f>
        <v>11.400700000000001</v>
      </c>
      <c r="E389" s="12">
        <f>11.4051 * CHOOSE( CONTROL!$C$15, $D$11, 100%, $F$11)</f>
        <v>11.405099999999999</v>
      </c>
      <c r="F389" s="4">
        <f>12.058 * CHOOSE(CONTROL!$C$15, $D$11, 100%, $F$11)</f>
        <v>12.058</v>
      </c>
      <c r="G389" s="8">
        <f>11.1311 * CHOOSE( CONTROL!$C$15, $D$11, 100%, $F$11)</f>
        <v>11.1311</v>
      </c>
      <c r="H389" s="4">
        <f>12.0118 * CHOOSE(CONTROL!$C$15, $D$11, 100%, $F$11)</f>
        <v>12.011799999999999</v>
      </c>
      <c r="I389" s="8">
        <f>11.0458 * CHOOSE(CONTROL!$C$15, $D$11, 100%, $F$11)</f>
        <v>11.0458</v>
      </c>
      <c r="J389" s="4">
        <f>10.9267 * CHOOSE(CONTROL!$C$15, $D$11, 100%, $F$11)</f>
        <v>10.9267</v>
      </c>
      <c r="K389" s="4"/>
      <c r="L389" s="9">
        <v>29.306000000000001</v>
      </c>
      <c r="M389" s="9">
        <v>12.063700000000001</v>
      </c>
      <c r="N389" s="9">
        <v>4.9444999999999997</v>
      </c>
      <c r="O389" s="9">
        <v>0.37409999999999999</v>
      </c>
      <c r="P389" s="9">
        <v>1.2927</v>
      </c>
      <c r="Q389" s="9">
        <v>20.331700000000001</v>
      </c>
      <c r="R389" s="9"/>
      <c r="S389" s="11"/>
    </row>
    <row r="390" spans="1:19" ht="15.75">
      <c r="A390" s="13">
        <v>53386</v>
      </c>
      <c r="B390" s="8">
        <f>10.6733 * CHOOSE(CONTROL!$C$15, $D$11, 100%, $F$11)</f>
        <v>10.673299999999999</v>
      </c>
      <c r="C390" s="8">
        <f>10.6785 * CHOOSE(CONTROL!$C$15, $D$11, 100%, $F$11)</f>
        <v>10.6785</v>
      </c>
      <c r="D390" s="8">
        <f>10.665 * CHOOSE( CONTROL!$C$15, $D$11, 100%, $F$11)</f>
        <v>10.664999999999999</v>
      </c>
      <c r="E390" s="12">
        <f>10.6694 * CHOOSE( CONTROL!$C$15, $D$11, 100%, $F$11)</f>
        <v>10.6694</v>
      </c>
      <c r="F390" s="4">
        <f>11.3222 * CHOOSE(CONTROL!$C$15, $D$11, 100%, $F$11)</f>
        <v>11.3222</v>
      </c>
      <c r="G390" s="8">
        <f>10.4125 * CHOOSE( CONTROL!$C$15, $D$11, 100%, $F$11)</f>
        <v>10.4125</v>
      </c>
      <c r="H390" s="4">
        <f>11.2932 * CHOOSE(CONTROL!$C$15, $D$11, 100%, $F$11)</f>
        <v>11.293200000000001</v>
      </c>
      <c r="I390" s="8">
        <f>10.3391 * CHOOSE(CONTROL!$C$15, $D$11, 100%, $F$11)</f>
        <v>10.3391</v>
      </c>
      <c r="J390" s="4">
        <f>10.2203 * CHOOSE(CONTROL!$C$15, $D$11, 100%, $F$11)</f>
        <v>10.2203</v>
      </c>
      <c r="K390" s="4"/>
      <c r="L390" s="9">
        <v>26.469899999999999</v>
      </c>
      <c r="M390" s="9">
        <v>10.8962</v>
      </c>
      <c r="N390" s="9">
        <v>4.4660000000000002</v>
      </c>
      <c r="O390" s="9">
        <v>0.33789999999999998</v>
      </c>
      <c r="P390" s="9">
        <v>1.1676</v>
      </c>
      <c r="Q390" s="9">
        <v>18.364100000000001</v>
      </c>
      <c r="R390" s="9"/>
      <c r="S390" s="11"/>
    </row>
    <row r="391" spans="1:19" ht="15.75">
      <c r="A391" s="13">
        <v>53417</v>
      </c>
      <c r="B391" s="8">
        <f>10.4467 * CHOOSE(CONTROL!$C$15, $D$11, 100%, $F$11)</f>
        <v>10.4467</v>
      </c>
      <c r="C391" s="8">
        <f>10.4519 * CHOOSE(CONTROL!$C$15, $D$11, 100%, $F$11)</f>
        <v>10.4519</v>
      </c>
      <c r="D391" s="8">
        <f>10.4381 * CHOOSE( CONTROL!$C$15, $D$11, 100%, $F$11)</f>
        <v>10.4381</v>
      </c>
      <c r="E391" s="12">
        <f>10.4426 * CHOOSE( CONTROL!$C$15, $D$11, 100%, $F$11)</f>
        <v>10.442600000000001</v>
      </c>
      <c r="F391" s="4">
        <f>11.0956 * CHOOSE(CONTROL!$C$15, $D$11, 100%, $F$11)</f>
        <v>11.095599999999999</v>
      </c>
      <c r="G391" s="8">
        <f>10.1909 * CHOOSE( CONTROL!$C$15, $D$11, 100%, $F$11)</f>
        <v>10.190899999999999</v>
      </c>
      <c r="H391" s="4">
        <f>11.0719 * CHOOSE(CONTROL!$C$15, $D$11, 100%, $F$11)</f>
        <v>11.071899999999999</v>
      </c>
      <c r="I391" s="8">
        <f>10.1204 * CHOOSE(CONTROL!$C$15, $D$11, 100%, $F$11)</f>
        <v>10.1204</v>
      </c>
      <c r="J391" s="4">
        <f>10.0027 * CHOOSE(CONTROL!$C$15, $D$11, 100%, $F$11)</f>
        <v>10.002700000000001</v>
      </c>
      <c r="K391" s="4"/>
      <c r="L391" s="9">
        <v>29.306000000000001</v>
      </c>
      <c r="M391" s="9">
        <v>12.063700000000001</v>
      </c>
      <c r="N391" s="9">
        <v>4.9444999999999997</v>
      </c>
      <c r="O391" s="9">
        <v>0.37409999999999999</v>
      </c>
      <c r="P391" s="9">
        <v>1.2927</v>
      </c>
      <c r="Q391" s="9">
        <v>20.331700000000001</v>
      </c>
      <c r="R391" s="9"/>
      <c r="S391" s="11"/>
    </row>
    <row r="392" spans="1:19" ht="15.75">
      <c r="A392" s="13">
        <v>53447</v>
      </c>
      <c r="B392" s="8">
        <f>10.6058 * CHOOSE(CONTROL!$C$15, $D$11, 100%, $F$11)</f>
        <v>10.6058</v>
      </c>
      <c r="C392" s="8">
        <f>10.6105 * CHOOSE(CONTROL!$C$15, $D$11, 100%, $F$11)</f>
        <v>10.6105</v>
      </c>
      <c r="D392" s="8">
        <f>10.6368 * CHOOSE( CONTROL!$C$15, $D$11, 100%, $F$11)</f>
        <v>10.636799999999999</v>
      </c>
      <c r="E392" s="12">
        <f>10.6276 * CHOOSE( CONTROL!$C$15, $D$11, 100%, $F$11)</f>
        <v>10.627599999999999</v>
      </c>
      <c r="F392" s="4">
        <f>11.305 * CHOOSE(CONTROL!$C$15, $D$11, 100%, $F$11)</f>
        <v>11.305</v>
      </c>
      <c r="G392" s="8">
        <f>10.3456 * CHOOSE( CONTROL!$C$15, $D$11, 100%, $F$11)</f>
        <v>10.345599999999999</v>
      </c>
      <c r="H392" s="4">
        <f>11.2764 * CHOOSE(CONTROL!$C$15, $D$11, 100%, $F$11)</f>
        <v>11.276400000000001</v>
      </c>
      <c r="I392" s="8">
        <f>10.2644 * CHOOSE(CONTROL!$C$15, $D$11, 100%, $F$11)</f>
        <v>10.2644</v>
      </c>
      <c r="J392" s="4">
        <f>10.1548 * CHOOSE(CONTROL!$C$15, $D$11, 100%, $F$11)</f>
        <v>10.1548</v>
      </c>
      <c r="K392" s="4"/>
      <c r="L392" s="9">
        <v>30.092199999999998</v>
      </c>
      <c r="M392" s="9">
        <v>11.6745</v>
      </c>
      <c r="N392" s="9">
        <v>4.7850000000000001</v>
      </c>
      <c r="O392" s="9">
        <v>0.36199999999999999</v>
      </c>
      <c r="P392" s="9">
        <v>1.1791</v>
      </c>
      <c r="Q392" s="9">
        <v>19.675799999999999</v>
      </c>
      <c r="R392" s="9"/>
      <c r="S392" s="11"/>
    </row>
    <row r="393" spans="1:19" ht="15.75">
      <c r="A393" s="13">
        <v>53478</v>
      </c>
      <c r="B393" s="8">
        <f>CHOOSE( CONTROL!$C$32, 10.8939, 10.889) * CHOOSE(CONTROL!$C$15, $D$11, 100%, $F$11)</f>
        <v>10.8939</v>
      </c>
      <c r="C393" s="8">
        <f>CHOOSE( CONTROL!$C$32, 10.902, 10.8971) * CHOOSE(CONTROL!$C$15, $D$11, 100%, $F$11)</f>
        <v>10.901999999999999</v>
      </c>
      <c r="D393" s="8">
        <f>CHOOSE( CONTROL!$C$32, 10.9233, 10.9184) * CHOOSE( CONTROL!$C$15, $D$11, 100%, $F$11)</f>
        <v>10.923299999999999</v>
      </c>
      <c r="E393" s="12">
        <f>CHOOSE( CONTROL!$C$32, 10.9143, 10.9094) * CHOOSE( CONTROL!$C$15, $D$11, 100%, $F$11)</f>
        <v>10.914300000000001</v>
      </c>
      <c r="F393" s="4">
        <f>CHOOSE( CONTROL!$C$32, 11.5917, 11.5868) * CHOOSE(CONTROL!$C$15, $D$11, 100%, $F$11)</f>
        <v>11.591699999999999</v>
      </c>
      <c r="G393" s="8">
        <f>CHOOSE( CONTROL!$C$32, 10.6265, 10.6218) * CHOOSE( CONTROL!$C$15, $D$11, 100%, $F$11)</f>
        <v>10.6265</v>
      </c>
      <c r="H393" s="4">
        <f>CHOOSE( CONTROL!$C$32, 11.5564, 11.5517) * CHOOSE(CONTROL!$C$15, $D$11, 100%, $F$11)</f>
        <v>11.5564</v>
      </c>
      <c r="I393" s="8">
        <f>CHOOSE( CONTROL!$C$32, 10.5397, 10.535) * CHOOSE(CONTROL!$C$15, $D$11, 100%, $F$11)</f>
        <v>10.5397</v>
      </c>
      <c r="J393" s="4">
        <f>CHOOSE( CONTROL!$C$32, 10.43, 10.4253) * CHOOSE(CONTROL!$C$15, $D$11, 100%, $F$11)</f>
        <v>10.43</v>
      </c>
      <c r="K393" s="4"/>
      <c r="L393" s="9">
        <v>30.7165</v>
      </c>
      <c r="M393" s="9">
        <v>12.063700000000001</v>
      </c>
      <c r="N393" s="9">
        <v>4.9444999999999997</v>
      </c>
      <c r="O393" s="9">
        <v>0.37409999999999999</v>
      </c>
      <c r="P393" s="9">
        <v>1.2183999999999999</v>
      </c>
      <c r="Q393" s="9">
        <v>20.331700000000001</v>
      </c>
      <c r="R393" s="9"/>
      <c r="S393" s="11"/>
    </row>
    <row r="394" spans="1:19" ht="15.75">
      <c r="A394" s="13">
        <v>53508</v>
      </c>
      <c r="B394" s="8">
        <f>CHOOSE( CONTROL!$C$32, 10.7193, 10.7145) * CHOOSE(CONTROL!$C$15, $D$11, 100%, $F$11)</f>
        <v>10.7193</v>
      </c>
      <c r="C394" s="8">
        <f>CHOOSE( CONTROL!$C$32, 10.7274, 10.7225) * CHOOSE(CONTROL!$C$15, $D$11, 100%, $F$11)</f>
        <v>10.727399999999999</v>
      </c>
      <c r="D394" s="8">
        <f>CHOOSE( CONTROL!$C$32, 10.7489, 10.744) * CHOOSE( CONTROL!$C$15, $D$11, 100%, $F$11)</f>
        <v>10.748900000000001</v>
      </c>
      <c r="E394" s="12">
        <f>CHOOSE( CONTROL!$C$32, 10.7399, 10.735) * CHOOSE( CONTROL!$C$15, $D$11, 100%, $F$11)</f>
        <v>10.7399</v>
      </c>
      <c r="F394" s="4">
        <f>CHOOSE( CONTROL!$C$32, 11.4171, 11.4123) * CHOOSE(CONTROL!$C$15, $D$11, 100%, $F$11)</f>
        <v>11.4171</v>
      </c>
      <c r="G394" s="8">
        <f>CHOOSE( CONTROL!$C$32, 10.4563, 10.4516) * CHOOSE( CONTROL!$C$15, $D$11, 100%, $F$11)</f>
        <v>10.456300000000001</v>
      </c>
      <c r="H394" s="4">
        <f>CHOOSE( CONTROL!$C$32, 11.3859, 11.3812) * CHOOSE(CONTROL!$C$15, $D$11, 100%, $F$11)</f>
        <v>11.385899999999999</v>
      </c>
      <c r="I394" s="8">
        <f>CHOOSE( CONTROL!$C$32, 10.3729, 10.3683) * CHOOSE(CONTROL!$C$15, $D$11, 100%, $F$11)</f>
        <v>10.3729</v>
      </c>
      <c r="J394" s="4">
        <f>CHOOSE( CONTROL!$C$32, 10.2624, 10.2577) * CHOOSE(CONTROL!$C$15, $D$11, 100%, $F$11)</f>
        <v>10.2624</v>
      </c>
      <c r="K394" s="4"/>
      <c r="L394" s="9">
        <v>29.7257</v>
      </c>
      <c r="M394" s="9">
        <v>11.6745</v>
      </c>
      <c r="N394" s="9">
        <v>4.7850000000000001</v>
      </c>
      <c r="O394" s="9">
        <v>0.36199999999999999</v>
      </c>
      <c r="P394" s="9">
        <v>1.1791</v>
      </c>
      <c r="Q394" s="9">
        <v>19.675799999999999</v>
      </c>
      <c r="R394" s="9"/>
      <c r="S394" s="11"/>
    </row>
    <row r="395" spans="1:19" ht="15.75">
      <c r="A395" s="13">
        <v>53539</v>
      </c>
      <c r="B395" s="8">
        <f>CHOOSE( CONTROL!$C$32, 11.179, 11.1742) * CHOOSE(CONTROL!$C$15, $D$11, 100%, $F$11)</f>
        <v>11.179</v>
      </c>
      <c r="C395" s="8">
        <f>CHOOSE( CONTROL!$C$32, 11.1871, 11.1823) * CHOOSE(CONTROL!$C$15, $D$11, 100%, $F$11)</f>
        <v>11.187099999999999</v>
      </c>
      <c r="D395" s="8">
        <f>CHOOSE( CONTROL!$C$32, 11.2088, 11.204) * CHOOSE( CONTROL!$C$15, $D$11, 100%, $F$11)</f>
        <v>11.2088</v>
      </c>
      <c r="E395" s="12">
        <f>CHOOSE( CONTROL!$C$32, 11.1997, 11.1949) * CHOOSE( CONTROL!$C$15, $D$11, 100%, $F$11)</f>
        <v>11.1997</v>
      </c>
      <c r="F395" s="4">
        <f>CHOOSE( CONTROL!$C$32, 11.8768, 11.872) * CHOOSE(CONTROL!$C$15, $D$11, 100%, $F$11)</f>
        <v>11.876799999999999</v>
      </c>
      <c r="G395" s="8">
        <f>CHOOSE( CONTROL!$C$32, 10.9057, 10.901) * CHOOSE( CONTROL!$C$15, $D$11, 100%, $F$11)</f>
        <v>10.9057</v>
      </c>
      <c r="H395" s="4">
        <f>CHOOSE( CONTROL!$C$32, 11.8349, 11.8302) * CHOOSE(CONTROL!$C$15, $D$11, 100%, $F$11)</f>
        <v>11.834899999999999</v>
      </c>
      <c r="I395" s="8">
        <f>CHOOSE( CONTROL!$C$32, 10.8157, 10.811) * CHOOSE(CONTROL!$C$15, $D$11, 100%, $F$11)</f>
        <v>10.8157</v>
      </c>
      <c r="J395" s="4">
        <f>CHOOSE( CONTROL!$C$32, 10.7038, 10.6991) * CHOOSE(CONTROL!$C$15, $D$11, 100%, $F$11)</f>
        <v>10.703799999999999</v>
      </c>
      <c r="K395" s="4"/>
      <c r="L395" s="9">
        <v>30.7165</v>
      </c>
      <c r="M395" s="9">
        <v>12.063700000000001</v>
      </c>
      <c r="N395" s="9">
        <v>4.9444999999999997</v>
      </c>
      <c r="O395" s="9">
        <v>0.37409999999999999</v>
      </c>
      <c r="P395" s="9">
        <v>1.2183999999999999</v>
      </c>
      <c r="Q395" s="9">
        <v>20.331700000000001</v>
      </c>
      <c r="R395" s="9"/>
      <c r="S395" s="11"/>
    </row>
    <row r="396" spans="1:19" ht="15.75">
      <c r="A396" s="13">
        <v>53570</v>
      </c>
      <c r="B396" s="8">
        <f>CHOOSE( CONTROL!$C$32, 10.3188, 10.314) * CHOOSE(CONTROL!$C$15, $D$11, 100%, $F$11)</f>
        <v>10.3188</v>
      </c>
      <c r="C396" s="8">
        <f>CHOOSE( CONTROL!$C$32, 10.3269, 10.3221) * CHOOSE(CONTROL!$C$15, $D$11, 100%, $F$11)</f>
        <v>10.3269</v>
      </c>
      <c r="D396" s="8">
        <f>CHOOSE( CONTROL!$C$32, 10.3487, 10.3439) * CHOOSE( CONTROL!$C$15, $D$11, 100%, $F$11)</f>
        <v>10.348699999999999</v>
      </c>
      <c r="E396" s="12">
        <f>CHOOSE( CONTROL!$C$32, 10.3396, 10.3348) * CHOOSE( CONTROL!$C$15, $D$11, 100%, $F$11)</f>
        <v>10.339600000000001</v>
      </c>
      <c r="F396" s="4">
        <f>CHOOSE( CONTROL!$C$32, 11.0166, 11.0118) * CHOOSE(CONTROL!$C$15, $D$11, 100%, $F$11)</f>
        <v>11.0166</v>
      </c>
      <c r="G396" s="8">
        <f>CHOOSE( CONTROL!$C$32, 10.0656, 10.0609) * CHOOSE( CONTROL!$C$15, $D$11, 100%, $F$11)</f>
        <v>10.0656</v>
      </c>
      <c r="H396" s="4">
        <f>CHOOSE( CONTROL!$C$32, 10.9947, 10.99) * CHOOSE(CONTROL!$C$15, $D$11, 100%, $F$11)</f>
        <v>10.9947</v>
      </c>
      <c r="I396" s="8">
        <f>CHOOSE( CONTROL!$C$32, 9.9896, 9.985) * CHOOSE(CONTROL!$C$15, $D$11, 100%, $F$11)</f>
        <v>9.9895999999999994</v>
      </c>
      <c r="J396" s="4">
        <f>CHOOSE( CONTROL!$C$32, 9.8779, 9.8732) * CHOOSE(CONTROL!$C$15, $D$11, 100%, $F$11)</f>
        <v>9.8779000000000003</v>
      </c>
      <c r="K396" s="4"/>
      <c r="L396" s="9">
        <v>30.7165</v>
      </c>
      <c r="M396" s="9">
        <v>12.063700000000001</v>
      </c>
      <c r="N396" s="9">
        <v>4.9444999999999997</v>
      </c>
      <c r="O396" s="9">
        <v>0.37409999999999999</v>
      </c>
      <c r="P396" s="9">
        <v>1.2183999999999999</v>
      </c>
      <c r="Q396" s="9">
        <v>20.331700000000001</v>
      </c>
      <c r="R396" s="9"/>
      <c r="S396" s="11"/>
    </row>
    <row r="397" spans="1:19" ht="15.75">
      <c r="A397" s="13">
        <v>53600</v>
      </c>
      <c r="B397" s="8">
        <f>CHOOSE( CONTROL!$C$32, 10.1034, 10.0986) * CHOOSE(CONTROL!$C$15, $D$11, 100%, $F$11)</f>
        <v>10.103400000000001</v>
      </c>
      <c r="C397" s="8">
        <f>CHOOSE( CONTROL!$C$32, 10.1115, 10.1066) * CHOOSE(CONTROL!$C$15, $D$11, 100%, $F$11)</f>
        <v>10.111499999999999</v>
      </c>
      <c r="D397" s="8">
        <f>CHOOSE( CONTROL!$C$32, 10.1333, 10.1284) * CHOOSE( CONTROL!$C$15, $D$11, 100%, $F$11)</f>
        <v>10.1333</v>
      </c>
      <c r="E397" s="12">
        <f>CHOOSE( CONTROL!$C$32, 10.1242, 10.1193) * CHOOSE( CONTROL!$C$15, $D$11, 100%, $F$11)</f>
        <v>10.1242</v>
      </c>
      <c r="F397" s="4">
        <f>CHOOSE( CONTROL!$C$32, 10.8012, 10.7964) * CHOOSE(CONTROL!$C$15, $D$11, 100%, $F$11)</f>
        <v>10.8012</v>
      </c>
      <c r="G397" s="8">
        <f>CHOOSE( CONTROL!$C$32, 9.8552, 9.8505) * CHOOSE( CONTROL!$C$15, $D$11, 100%, $F$11)</f>
        <v>9.8552</v>
      </c>
      <c r="H397" s="4">
        <f>CHOOSE( CONTROL!$C$32, 10.7843, 10.7796) * CHOOSE(CONTROL!$C$15, $D$11, 100%, $F$11)</f>
        <v>10.7843</v>
      </c>
      <c r="I397" s="8">
        <f>CHOOSE( CONTROL!$C$32, 9.7826, 9.778) * CHOOSE(CONTROL!$C$15, $D$11, 100%, $F$11)</f>
        <v>9.7826000000000004</v>
      </c>
      <c r="J397" s="4">
        <f>CHOOSE( CONTROL!$C$32, 9.671, 9.6664) * CHOOSE(CONTROL!$C$15, $D$11, 100%, $F$11)</f>
        <v>9.6709999999999994</v>
      </c>
      <c r="K397" s="4"/>
      <c r="L397" s="9">
        <v>29.7257</v>
      </c>
      <c r="M397" s="9">
        <v>11.6745</v>
      </c>
      <c r="N397" s="9">
        <v>4.7850000000000001</v>
      </c>
      <c r="O397" s="9">
        <v>0.36199999999999999</v>
      </c>
      <c r="P397" s="9">
        <v>1.1791</v>
      </c>
      <c r="Q397" s="9">
        <v>19.675799999999999</v>
      </c>
      <c r="R397" s="9"/>
      <c r="S397" s="11"/>
    </row>
    <row r="398" spans="1:19" ht="15.75">
      <c r="A398" s="13">
        <v>53631</v>
      </c>
      <c r="B398" s="8">
        <f>10.5441 * CHOOSE(CONTROL!$C$15, $D$11, 100%, $F$11)</f>
        <v>10.5441</v>
      </c>
      <c r="C398" s="8">
        <f>10.5495 * CHOOSE(CONTROL!$C$15, $D$11, 100%, $F$11)</f>
        <v>10.5495</v>
      </c>
      <c r="D398" s="8">
        <f>10.576 * CHOOSE( CONTROL!$C$15, $D$11, 100%, $F$11)</f>
        <v>10.576000000000001</v>
      </c>
      <c r="E398" s="12">
        <f>10.5667 * CHOOSE( CONTROL!$C$15, $D$11, 100%, $F$11)</f>
        <v>10.566700000000001</v>
      </c>
      <c r="F398" s="4">
        <f>11.2436 * CHOOSE(CONTROL!$C$15, $D$11, 100%, $F$11)</f>
        <v>11.243600000000001</v>
      </c>
      <c r="G398" s="8">
        <f>10.2866 * CHOOSE( CONTROL!$C$15, $D$11, 100%, $F$11)</f>
        <v>10.2866</v>
      </c>
      <c r="H398" s="4">
        <f>11.2165 * CHOOSE(CONTROL!$C$15, $D$11, 100%, $F$11)</f>
        <v>11.2165</v>
      </c>
      <c r="I398" s="8">
        <f>10.2084 * CHOOSE(CONTROL!$C$15, $D$11, 100%, $F$11)</f>
        <v>10.208399999999999</v>
      </c>
      <c r="J398" s="4">
        <f>10.0958 * CHOOSE(CONTROL!$C$15, $D$11, 100%, $F$11)</f>
        <v>10.095800000000001</v>
      </c>
      <c r="K398" s="4"/>
      <c r="L398" s="9">
        <v>31.095300000000002</v>
      </c>
      <c r="M398" s="9">
        <v>12.063700000000001</v>
      </c>
      <c r="N398" s="9">
        <v>4.9444999999999997</v>
      </c>
      <c r="O398" s="9">
        <v>0.37409999999999999</v>
      </c>
      <c r="P398" s="9">
        <v>1.2183999999999999</v>
      </c>
      <c r="Q398" s="9">
        <v>20.331700000000001</v>
      </c>
      <c r="R398" s="9"/>
      <c r="S398" s="11"/>
    </row>
    <row r="399" spans="1:19" ht="15.75">
      <c r="A399" s="13">
        <v>53661</v>
      </c>
      <c r="B399" s="8">
        <f>11.3692 * CHOOSE(CONTROL!$C$15, $D$11, 100%, $F$11)</f>
        <v>11.369199999999999</v>
      </c>
      <c r="C399" s="8">
        <f>11.3744 * CHOOSE(CONTROL!$C$15, $D$11, 100%, $F$11)</f>
        <v>11.3744</v>
      </c>
      <c r="D399" s="8">
        <f>11.3637 * CHOOSE( CONTROL!$C$15, $D$11, 100%, $F$11)</f>
        <v>11.3637</v>
      </c>
      <c r="E399" s="12">
        <f>11.3671 * CHOOSE( CONTROL!$C$15, $D$11, 100%, $F$11)</f>
        <v>11.367100000000001</v>
      </c>
      <c r="F399" s="4">
        <f>12.0182 * CHOOSE(CONTROL!$C$15, $D$11, 100%, $F$11)</f>
        <v>12.0182</v>
      </c>
      <c r="G399" s="8">
        <f>11.0974 * CHOOSE( CONTROL!$C$15, $D$11, 100%, $F$11)</f>
        <v>11.0974</v>
      </c>
      <c r="H399" s="4">
        <f>11.9729 * CHOOSE(CONTROL!$C$15, $D$11, 100%, $F$11)</f>
        <v>11.972899999999999</v>
      </c>
      <c r="I399" s="8">
        <f>11.027 * CHOOSE(CONTROL!$C$15, $D$11, 100%, $F$11)</f>
        <v>11.026999999999999</v>
      </c>
      <c r="J399" s="4">
        <f>10.8884 * CHOOSE(CONTROL!$C$15, $D$11, 100%, $F$11)</f>
        <v>10.888400000000001</v>
      </c>
      <c r="K399" s="4"/>
      <c r="L399" s="9">
        <v>28.360600000000002</v>
      </c>
      <c r="M399" s="9">
        <v>11.6745</v>
      </c>
      <c r="N399" s="9">
        <v>4.7850000000000001</v>
      </c>
      <c r="O399" s="9">
        <v>0.36199999999999999</v>
      </c>
      <c r="P399" s="9">
        <v>1.2509999999999999</v>
      </c>
      <c r="Q399" s="9">
        <v>19.675799999999999</v>
      </c>
      <c r="R399" s="9"/>
      <c r="S399" s="11"/>
    </row>
    <row r="400" spans="1:19" ht="15.75">
      <c r="A400" s="13">
        <v>53692</v>
      </c>
      <c r="B400" s="8">
        <f>11.3486 * CHOOSE(CONTROL!$C$15, $D$11, 100%, $F$11)</f>
        <v>11.348599999999999</v>
      </c>
      <c r="C400" s="8">
        <f>11.3538 * CHOOSE(CONTROL!$C$15, $D$11, 100%, $F$11)</f>
        <v>11.3538</v>
      </c>
      <c r="D400" s="8">
        <f>11.3444 * CHOOSE( CONTROL!$C$15, $D$11, 100%, $F$11)</f>
        <v>11.3444</v>
      </c>
      <c r="E400" s="12">
        <f>11.3473 * CHOOSE( CONTROL!$C$15, $D$11, 100%, $F$11)</f>
        <v>11.347300000000001</v>
      </c>
      <c r="F400" s="4">
        <f>11.9975 * CHOOSE(CONTROL!$C$15, $D$11, 100%, $F$11)</f>
        <v>11.9975</v>
      </c>
      <c r="G400" s="8">
        <f>11.0783 * CHOOSE( CONTROL!$C$15, $D$11, 100%, $F$11)</f>
        <v>11.0783</v>
      </c>
      <c r="H400" s="4">
        <f>11.9528 * CHOOSE(CONTROL!$C$15, $D$11, 100%, $F$11)</f>
        <v>11.9528</v>
      </c>
      <c r="I400" s="8">
        <f>11.0115 * CHOOSE(CONTROL!$C$15, $D$11, 100%, $F$11)</f>
        <v>11.0115</v>
      </c>
      <c r="J400" s="4">
        <f>10.8686 * CHOOSE(CONTROL!$C$15, $D$11, 100%, $F$11)</f>
        <v>10.868600000000001</v>
      </c>
      <c r="K400" s="4"/>
      <c r="L400" s="9">
        <v>29.306000000000001</v>
      </c>
      <c r="M400" s="9">
        <v>12.063700000000001</v>
      </c>
      <c r="N400" s="9">
        <v>4.9444999999999997</v>
      </c>
      <c r="O400" s="9">
        <v>0.37409999999999999</v>
      </c>
      <c r="P400" s="9">
        <v>1.2927</v>
      </c>
      <c r="Q400" s="9">
        <v>20.331700000000001</v>
      </c>
      <c r="R400" s="9"/>
      <c r="S400" s="11"/>
    </row>
    <row r="401" spans="1:19" ht="15.75">
      <c r="A401" s="13">
        <v>53723</v>
      </c>
      <c r="B401" s="8">
        <f>11.7813 * CHOOSE(CONTROL!$C$15, $D$11, 100%, $F$11)</f>
        <v>11.7813</v>
      </c>
      <c r="C401" s="8">
        <f>11.7865 * CHOOSE(CONTROL!$C$15, $D$11, 100%, $F$11)</f>
        <v>11.7865</v>
      </c>
      <c r="D401" s="8">
        <f>11.7729 * CHOOSE( CONTROL!$C$15, $D$11, 100%, $F$11)</f>
        <v>11.7729</v>
      </c>
      <c r="E401" s="12">
        <f>11.7773 * CHOOSE( CONTROL!$C$15, $D$11, 100%, $F$11)</f>
        <v>11.7773</v>
      </c>
      <c r="F401" s="4">
        <f>12.4302 * CHOOSE(CONTROL!$C$15, $D$11, 100%, $F$11)</f>
        <v>12.430199999999999</v>
      </c>
      <c r="G401" s="8">
        <f>11.4946 * CHOOSE( CONTROL!$C$15, $D$11, 100%, $F$11)</f>
        <v>11.4946</v>
      </c>
      <c r="H401" s="4">
        <f>12.3754 * CHOOSE(CONTROL!$C$15, $D$11, 100%, $F$11)</f>
        <v>12.375400000000001</v>
      </c>
      <c r="I401" s="8">
        <f>11.4034 * CHOOSE(CONTROL!$C$15, $D$11, 100%, $F$11)</f>
        <v>11.4034</v>
      </c>
      <c r="J401" s="4">
        <f>11.284 * CHOOSE(CONTROL!$C$15, $D$11, 100%, $F$11)</f>
        <v>11.284000000000001</v>
      </c>
      <c r="K401" s="4"/>
      <c r="L401" s="9">
        <v>29.306000000000001</v>
      </c>
      <c r="M401" s="9">
        <v>12.063700000000001</v>
      </c>
      <c r="N401" s="9">
        <v>4.9444999999999997</v>
      </c>
      <c r="O401" s="9">
        <v>0.37409999999999999</v>
      </c>
      <c r="P401" s="9">
        <v>1.2927</v>
      </c>
      <c r="Q401" s="9">
        <v>20.2666</v>
      </c>
      <c r="R401" s="9"/>
      <c r="S401" s="11"/>
    </row>
    <row r="402" spans="1:19" ht="15.75">
      <c r="A402" s="13">
        <v>53751</v>
      </c>
      <c r="B402" s="8">
        <f>11.0215 * CHOOSE(CONTROL!$C$15, $D$11, 100%, $F$11)</f>
        <v>11.0215</v>
      </c>
      <c r="C402" s="8">
        <f>11.0267 * CHOOSE(CONTROL!$C$15, $D$11, 100%, $F$11)</f>
        <v>11.0267</v>
      </c>
      <c r="D402" s="8">
        <f>11.0131 * CHOOSE( CONTROL!$C$15, $D$11, 100%, $F$11)</f>
        <v>11.0131</v>
      </c>
      <c r="E402" s="12">
        <f>11.0175 * CHOOSE( CONTROL!$C$15, $D$11, 100%, $F$11)</f>
        <v>11.0175</v>
      </c>
      <c r="F402" s="4">
        <f>11.6704 * CHOOSE(CONTROL!$C$15, $D$11, 100%, $F$11)</f>
        <v>11.670400000000001</v>
      </c>
      <c r="G402" s="8">
        <f>10.7525 * CHOOSE( CONTROL!$C$15, $D$11, 100%, $F$11)</f>
        <v>10.7525</v>
      </c>
      <c r="H402" s="4">
        <f>11.6333 * CHOOSE(CONTROL!$C$15, $D$11, 100%, $F$11)</f>
        <v>11.6333</v>
      </c>
      <c r="I402" s="8">
        <f>10.6735 * CHOOSE(CONTROL!$C$15, $D$11, 100%, $F$11)</f>
        <v>10.673500000000001</v>
      </c>
      <c r="J402" s="4">
        <f>10.5545 * CHOOSE(CONTROL!$C$15, $D$11, 100%, $F$11)</f>
        <v>10.554500000000001</v>
      </c>
      <c r="K402" s="4"/>
      <c r="L402" s="9">
        <v>26.469899999999999</v>
      </c>
      <c r="M402" s="9">
        <v>10.8962</v>
      </c>
      <c r="N402" s="9">
        <v>4.4660000000000002</v>
      </c>
      <c r="O402" s="9">
        <v>0.33789999999999998</v>
      </c>
      <c r="P402" s="9">
        <v>1.1676</v>
      </c>
      <c r="Q402" s="9">
        <v>18.305299999999999</v>
      </c>
      <c r="R402" s="9"/>
      <c r="S402" s="11"/>
    </row>
    <row r="403" spans="1:19" ht="15.75">
      <c r="A403" s="13">
        <v>53782</v>
      </c>
      <c r="B403" s="8">
        <f>10.7874 * CHOOSE(CONTROL!$C$15, $D$11, 100%, $F$11)</f>
        <v>10.7874</v>
      </c>
      <c r="C403" s="8">
        <f>10.7926 * CHOOSE(CONTROL!$C$15, $D$11, 100%, $F$11)</f>
        <v>10.7926</v>
      </c>
      <c r="D403" s="8">
        <f>10.7788 * CHOOSE( CONTROL!$C$15, $D$11, 100%, $F$11)</f>
        <v>10.7788</v>
      </c>
      <c r="E403" s="12">
        <f>10.7833 * CHOOSE( CONTROL!$C$15, $D$11, 100%, $F$11)</f>
        <v>10.783300000000001</v>
      </c>
      <c r="F403" s="4">
        <f>11.4364 * CHOOSE(CONTROL!$C$15, $D$11, 100%, $F$11)</f>
        <v>11.436400000000001</v>
      </c>
      <c r="G403" s="8">
        <f>10.5237 * CHOOSE( CONTROL!$C$15, $D$11, 100%, $F$11)</f>
        <v>10.5237</v>
      </c>
      <c r="H403" s="4">
        <f>11.4047 * CHOOSE(CONTROL!$C$15, $D$11, 100%, $F$11)</f>
        <v>11.4047</v>
      </c>
      <c r="I403" s="8">
        <f>10.4477 * CHOOSE(CONTROL!$C$15, $D$11, 100%, $F$11)</f>
        <v>10.447699999999999</v>
      </c>
      <c r="J403" s="4">
        <f>10.3299 * CHOOSE(CONTROL!$C$15, $D$11, 100%, $F$11)</f>
        <v>10.3299</v>
      </c>
      <c r="K403" s="4"/>
      <c r="L403" s="9">
        <v>29.306000000000001</v>
      </c>
      <c r="M403" s="9">
        <v>12.063700000000001</v>
      </c>
      <c r="N403" s="9">
        <v>4.9444999999999997</v>
      </c>
      <c r="O403" s="9">
        <v>0.37409999999999999</v>
      </c>
      <c r="P403" s="9">
        <v>1.2927</v>
      </c>
      <c r="Q403" s="9">
        <v>20.2666</v>
      </c>
      <c r="R403" s="9"/>
      <c r="S403" s="11"/>
    </row>
    <row r="404" spans="1:19" ht="15.75">
      <c r="A404" s="13">
        <v>53812</v>
      </c>
      <c r="B404" s="8">
        <f>10.9517 * CHOOSE(CONTROL!$C$15, $D$11, 100%, $F$11)</f>
        <v>10.951700000000001</v>
      </c>
      <c r="C404" s="8">
        <f>10.9564 * CHOOSE(CONTROL!$C$15, $D$11, 100%, $F$11)</f>
        <v>10.9564</v>
      </c>
      <c r="D404" s="8">
        <f>10.9827 * CHOOSE( CONTROL!$C$15, $D$11, 100%, $F$11)</f>
        <v>10.982699999999999</v>
      </c>
      <c r="E404" s="12">
        <f>10.9735 * CHOOSE( CONTROL!$C$15, $D$11, 100%, $F$11)</f>
        <v>10.9735</v>
      </c>
      <c r="F404" s="4">
        <f>11.6509 * CHOOSE(CONTROL!$C$15, $D$11, 100%, $F$11)</f>
        <v>11.6509</v>
      </c>
      <c r="G404" s="8">
        <f>10.6834 * CHOOSE( CONTROL!$C$15, $D$11, 100%, $F$11)</f>
        <v>10.683400000000001</v>
      </c>
      <c r="H404" s="4">
        <f>11.6143 * CHOOSE(CONTROL!$C$15, $D$11, 100%, $F$11)</f>
        <v>11.6143</v>
      </c>
      <c r="I404" s="8">
        <f>10.5966 * CHOOSE(CONTROL!$C$15, $D$11, 100%, $F$11)</f>
        <v>10.5966</v>
      </c>
      <c r="J404" s="4">
        <f>10.4869 * CHOOSE(CONTROL!$C$15, $D$11, 100%, $F$11)</f>
        <v>10.4869</v>
      </c>
      <c r="K404" s="4"/>
      <c r="L404" s="9">
        <v>30.092199999999998</v>
      </c>
      <c r="M404" s="9">
        <v>11.6745</v>
      </c>
      <c r="N404" s="9">
        <v>4.7850000000000001</v>
      </c>
      <c r="O404" s="9">
        <v>0.36199999999999999</v>
      </c>
      <c r="P404" s="9">
        <v>1.1791</v>
      </c>
      <c r="Q404" s="9">
        <v>19.6128</v>
      </c>
      <c r="R404" s="9"/>
      <c r="S404" s="11"/>
    </row>
    <row r="405" spans="1:19" ht="15.75">
      <c r="A405" s="13">
        <v>53843</v>
      </c>
      <c r="B405" s="8">
        <f>CHOOSE( CONTROL!$C$32, 11.249, 11.2441) * CHOOSE(CONTROL!$C$15, $D$11, 100%, $F$11)</f>
        <v>11.249000000000001</v>
      </c>
      <c r="C405" s="8">
        <f>CHOOSE( CONTROL!$C$32, 11.2571, 11.2522) * CHOOSE(CONTROL!$C$15, $D$11, 100%, $F$11)</f>
        <v>11.257099999999999</v>
      </c>
      <c r="D405" s="8">
        <f>CHOOSE( CONTROL!$C$32, 11.2784, 11.2735) * CHOOSE( CONTROL!$C$15, $D$11, 100%, $F$11)</f>
        <v>11.2784</v>
      </c>
      <c r="E405" s="12">
        <f>CHOOSE( CONTROL!$C$32, 11.2694, 11.2645) * CHOOSE( CONTROL!$C$15, $D$11, 100%, $F$11)</f>
        <v>11.269399999999999</v>
      </c>
      <c r="F405" s="4">
        <f>CHOOSE( CONTROL!$C$32, 11.9468, 11.942) * CHOOSE(CONTROL!$C$15, $D$11, 100%, $F$11)</f>
        <v>11.9468</v>
      </c>
      <c r="G405" s="8">
        <f>CHOOSE( CONTROL!$C$32, 10.9734, 10.9687) * CHOOSE( CONTROL!$C$15, $D$11, 100%, $F$11)</f>
        <v>10.9734</v>
      </c>
      <c r="H405" s="4">
        <f>CHOOSE( CONTROL!$C$32, 11.9032, 11.8985) * CHOOSE(CONTROL!$C$15, $D$11, 100%, $F$11)</f>
        <v>11.9032</v>
      </c>
      <c r="I405" s="8">
        <f>CHOOSE( CONTROL!$C$32, 10.8808, 10.8762) * CHOOSE(CONTROL!$C$15, $D$11, 100%, $F$11)</f>
        <v>10.880800000000001</v>
      </c>
      <c r="J405" s="4">
        <f>CHOOSE( CONTROL!$C$32, 10.7709, 10.7663) * CHOOSE(CONTROL!$C$15, $D$11, 100%, $F$11)</f>
        <v>10.770899999999999</v>
      </c>
      <c r="K405" s="4"/>
      <c r="L405" s="9">
        <v>30.7165</v>
      </c>
      <c r="M405" s="9">
        <v>12.063700000000001</v>
      </c>
      <c r="N405" s="9">
        <v>4.9444999999999997</v>
      </c>
      <c r="O405" s="9">
        <v>0.37409999999999999</v>
      </c>
      <c r="P405" s="9">
        <v>1.2183999999999999</v>
      </c>
      <c r="Q405" s="9">
        <v>20.2666</v>
      </c>
      <c r="R405" s="9"/>
      <c r="S405" s="11"/>
    </row>
    <row r="406" spans="1:19" ht="15.75">
      <c r="A406" s="13">
        <v>53873</v>
      </c>
      <c r="B406" s="8">
        <f>CHOOSE( CONTROL!$C$32, 11.0687, 11.0639) * CHOOSE(CONTROL!$C$15, $D$11, 100%, $F$11)</f>
        <v>11.0687</v>
      </c>
      <c r="C406" s="8">
        <f>CHOOSE( CONTROL!$C$32, 11.0768, 11.0719) * CHOOSE(CONTROL!$C$15, $D$11, 100%, $F$11)</f>
        <v>11.0768</v>
      </c>
      <c r="D406" s="8">
        <f>CHOOSE( CONTROL!$C$32, 11.0983, 11.0935) * CHOOSE( CONTROL!$C$15, $D$11, 100%, $F$11)</f>
        <v>11.0983</v>
      </c>
      <c r="E406" s="12">
        <f>CHOOSE( CONTROL!$C$32, 11.0893, 11.0845) * CHOOSE( CONTROL!$C$15, $D$11, 100%, $F$11)</f>
        <v>11.0893</v>
      </c>
      <c r="F406" s="4">
        <f>CHOOSE( CONTROL!$C$32, 11.7665, 11.7617) * CHOOSE(CONTROL!$C$15, $D$11, 100%, $F$11)</f>
        <v>11.766500000000001</v>
      </c>
      <c r="G406" s="8">
        <f>CHOOSE( CONTROL!$C$32, 10.7976, 10.7929) * CHOOSE( CONTROL!$C$15, $D$11, 100%, $F$11)</f>
        <v>10.797599999999999</v>
      </c>
      <c r="H406" s="4">
        <f>CHOOSE( CONTROL!$C$32, 11.7271, 11.7224) * CHOOSE(CONTROL!$C$15, $D$11, 100%, $F$11)</f>
        <v>11.7271</v>
      </c>
      <c r="I406" s="8">
        <f>CHOOSE( CONTROL!$C$32, 10.7085, 10.7039) * CHOOSE(CONTROL!$C$15, $D$11, 100%, $F$11)</f>
        <v>10.708500000000001</v>
      </c>
      <c r="J406" s="4">
        <f>CHOOSE( CONTROL!$C$32, 10.5978, 10.5932) * CHOOSE(CONTROL!$C$15, $D$11, 100%, $F$11)</f>
        <v>10.597799999999999</v>
      </c>
      <c r="K406" s="4"/>
      <c r="L406" s="9">
        <v>29.7257</v>
      </c>
      <c r="M406" s="9">
        <v>11.6745</v>
      </c>
      <c r="N406" s="9">
        <v>4.7850000000000001</v>
      </c>
      <c r="O406" s="9">
        <v>0.36199999999999999</v>
      </c>
      <c r="P406" s="9">
        <v>1.1791</v>
      </c>
      <c r="Q406" s="9">
        <v>19.6128</v>
      </c>
      <c r="R406" s="9"/>
      <c r="S406" s="11"/>
    </row>
    <row r="407" spans="1:19" ht="15.75">
      <c r="A407" s="13">
        <v>53904</v>
      </c>
      <c r="B407" s="8">
        <f>CHOOSE( CONTROL!$C$32, 11.5435, 11.5386) * CHOOSE(CONTROL!$C$15, $D$11, 100%, $F$11)</f>
        <v>11.5435</v>
      </c>
      <c r="C407" s="8">
        <f>CHOOSE( CONTROL!$C$32, 11.5515, 11.5467) * CHOOSE(CONTROL!$C$15, $D$11, 100%, $F$11)</f>
        <v>11.551500000000001</v>
      </c>
      <c r="D407" s="8">
        <f>CHOOSE( CONTROL!$C$32, 11.5733, 11.5685) * CHOOSE( CONTROL!$C$15, $D$11, 100%, $F$11)</f>
        <v>11.5733</v>
      </c>
      <c r="E407" s="12">
        <f>CHOOSE( CONTROL!$C$32, 11.5642, 11.5594) * CHOOSE( CONTROL!$C$15, $D$11, 100%, $F$11)</f>
        <v>11.5642</v>
      </c>
      <c r="F407" s="4">
        <f>CHOOSE( CONTROL!$C$32, 12.2413, 12.2364) * CHOOSE(CONTROL!$C$15, $D$11, 100%, $F$11)</f>
        <v>12.241300000000001</v>
      </c>
      <c r="G407" s="8">
        <f>CHOOSE( CONTROL!$C$32, 11.2617, 11.2569) * CHOOSE( CONTROL!$C$15, $D$11, 100%, $F$11)</f>
        <v>11.261699999999999</v>
      </c>
      <c r="H407" s="4">
        <f>CHOOSE( CONTROL!$C$32, 12.1909, 12.1861) * CHOOSE(CONTROL!$C$15, $D$11, 100%, $F$11)</f>
        <v>12.190899999999999</v>
      </c>
      <c r="I407" s="8">
        <f>CHOOSE( CONTROL!$C$32, 11.1657, 11.1611) * CHOOSE(CONTROL!$C$15, $D$11, 100%, $F$11)</f>
        <v>11.165699999999999</v>
      </c>
      <c r="J407" s="4">
        <f>CHOOSE( CONTROL!$C$32, 11.0537, 11.049) * CHOOSE(CONTROL!$C$15, $D$11, 100%, $F$11)</f>
        <v>11.053699999999999</v>
      </c>
      <c r="K407" s="4"/>
      <c r="L407" s="9">
        <v>30.7165</v>
      </c>
      <c r="M407" s="9">
        <v>12.063700000000001</v>
      </c>
      <c r="N407" s="9">
        <v>4.9444999999999997</v>
      </c>
      <c r="O407" s="9">
        <v>0.37409999999999999</v>
      </c>
      <c r="P407" s="9">
        <v>1.2183999999999999</v>
      </c>
      <c r="Q407" s="9">
        <v>20.2666</v>
      </c>
      <c r="R407" s="9"/>
      <c r="S407" s="11"/>
    </row>
    <row r="408" spans="1:19" ht="15.75">
      <c r="A408" s="13">
        <v>53935</v>
      </c>
      <c r="B408" s="8">
        <f>CHOOSE( CONTROL!$C$32, 10.6551, 10.6503) * CHOOSE(CONTROL!$C$15, $D$11, 100%, $F$11)</f>
        <v>10.655099999999999</v>
      </c>
      <c r="C408" s="8">
        <f>CHOOSE( CONTROL!$C$32, 10.6632, 10.6584) * CHOOSE(CONTROL!$C$15, $D$11, 100%, $F$11)</f>
        <v>10.6632</v>
      </c>
      <c r="D408" s="8">
        <f>CHOOSE( CONTROL!$C$32, 10.685, 10.6802) * CHOOSE( CONTROL!$C$15, $D$11, 100%, $F$11)</f>
        <v>10.685</v>
      </c>
      <c r="E408" s="12">
        <f>CHOOSE( CONTROL!$C$32, 10.6759, 10.6711) * CHOOSE( CONTROL!$C$15, $D$11, 100%, $F$11)</f>
        <v>10.6759</v>
      </c>
      <c r="F408" s="4">
        <f>CHOOSE( CONTROL!$C$32, 11.3529, 11.3481) * CHOOSE(CONTROL!$C$15, $D$11, 100%, $F$11)</f>
        <v>11.3529</v>
      </c>
      <c r="G408" s="8">
        <f>CHOOSE( CONTROL!$C$32, 10.3941, 10.3894) * CHOOSE( CONTROL!$C$15, $D$11, 100%, $F$11)</f>
        <v>10.3941</v>
      </c>
      <c r="H408" s="4">
        <f>CHOOSE( CONTROL!$C$32, 11.3232, 11.3185) * CHOOSE(CONTROL!$C$15, $D$11, 100%, $F$11)</f>
        <v>11.3232</v>
      </c>
      <c r="I408" s="8">
        <f>CHOOSE( CONTROL!$C$32, 10.3127, 10.308) * CHOOSE(CONTROL!$C$15, $D$11, 100%, $F$11)</f>
        <v>10.3127</v>
      </c>
      <c r="J408" s="4">
        <f>CHOOSE( CONTROL!$C$32, 10.2008, 10.1961) * CHOOSE(CONTROL!$C$15, $D$11, 100%, $F$11)</f>
        <v>10.200799999999999</v>
      </c>
      <c r="K408" s="4"/>
      <c r="L408" s="9">
        <v>30.7165</v>
      </c>
      <c r="M408" s="9">
        <v>12.063700000000001</v>
      </c>
      <c r="N408" s="9">
        <v>4.9444999999999997</v>
      </c>
      <c r="O408" s="9">
        <v>0.37409999999999999</v>
      </c>
      <c r="P408" s="9">
        <v>1.2183999999999999</v>
      </c>
      <c r="Q408" s="9">
        <v>20.2666</v>
      </c>
      <c r="R408" s="9"/>
      <c r="S408" s="11"/>
    </row>
    <row r="409" spans="1:19" ht="15.75">
      <c r="A409" s="13">
        <v>53965</v>
      </c>
      <c r="B409" s="8">
        <f>CHOOSE( CONTROL!$C$32, 10.4327, 10.4278) * CHOOSE(CONTROL!$C$15, $D$11, 100%, $F$11)</f>
        <v>10.432700000000001</v>
      </c>
      <c r="C409" s="8">
        <f>CHOOSE( CONTROL!$C$32, 10.4407, 10.4359) * CHOOSE(CONTROL!$C$15, $D$11, 100%, $F$11)</f>
        <v>10.4407</v>
      </c>
      <c r="D409" s="8">
        <f>CHOOSE( CONTROL!$C$32, 10.4625, 10.4577) * CHOOSE( CONTROL!$C$15, $D$11, 100%, $F$11)</f>
        <v>10.4625</v>
      </c>
      <c r="E409" s="12">
        <f>CHOOSE( CONTROL!$C$32, 10.4534, 10.4486) * CHOOSE( CONTROL!$C$15, $D$11, 100%, $F$11)</f>
        <v>10.4534</v>
      </c>
      <c r="F409" s="4">
        <f>CHOOSE( CONTROL!$C$32, 11.1305, 11.1256) * CHOOSE(CONTROL!$C$15, $D$11, 100%, $F$11)</f>
        <v>11.1305</v>
      </c>
      <c r="G409" s="8">
        <f>CHOOSE( CONTROL!$C$32, 10.1768, 10.1721) * CHOOSE( CONTROL!$C$15, $D$11, 100%, $F$11)</f>
        <v>10.1768</v>
      </c>
      <c r="H409" s="4">
        <f>CHOOSE( CONTROL!$C$32, 11.1059, 11.1012) * CHOOSE(CONTROL!$C$15, $D$11, 100%, $F$11)</f>
        <v>11.1059</v>
      </c>
      <c r="I409" s="8">
        <f>CHOOSE( CONTROL!$C$32, 10.0989, 10.0943) * CHOOSE(CONTROL!$C$15, $D$11, 100%, $F$11)</f>
        <v>10.0989</v>
      </c>
      <c r="J409" s="4">
        <f>CHOOSE( CONTROL!$C$32, 9.9872, 9.9825) * CHOOSE(CONTROL!$C$15, $D$11, 100%, $F$11)</f>
        <v>9.9871999999999996</v>
      </c>
      <c r="K409" s="4"/>
      <c r="L409" s="9">
        <v>29.7257</v>
      </c>
      <c r="M409" s="9">
        <v>11.6745</v>
      </c>
      <c r="N409" s="9">
        <v>4.7850000000000001</v>
      </c>
      <c r="O409" s="9">
        <v>0.36199999999999999</v>
      </c>
      <c r="P409" s="9">
        <v>1.1791</v>
      </c>
      <c r="Q409" s="9">
        <v>19.6128</v>
      </c>
      <c r="R409" s="9"/>
      <c r="S409" s="11"/>
    </row>
    <row r="410" spans="1:19" ht="15.75">
      <c r="A410" s="13">
        <v>53996</v>
      </c>
      <c r="B410" s="8">
        <f>10.888 * CHOOSE(CONTROL!$C$15, $D$11, 100%, $F$11)</f>
        <v>10.888</v>
      </c>
      <c r="C410" s="8">
        <f>10.8934 * CHOOSE(CONTROL!$C$15, $D$11, 100%, $F$11)</f>
        <v>10.8934</v>
      </c>
      <c r="D410" s="8">
        <f>10.9199 * CHOOSE( CONTROL!$C$15, $D$11, 100%, $F$11)</f>
        <v>10.9199</v>
      </c>
      <c r="E410" s="12">
        <f>10.9106 * CHOOSE( CONTROL!$C$15, $D$11, 100%, $F$11)</f>
        <v>10.910600000000001</v>
      </c>
      <c r="F410" s="4">
        <f>11.5875 * CHOOSE(CONTROL!$C$15, $D$11, 100%, $F$11)</f>
        <v>11.5875</v>
      </c>
      <c r="G410" s="8">
        <f>10.6224 * CHOOSE( CONTROL!$C$15, $D$11, 100%, $F$11)</f>
        <v>10.622400000000001</v>
      </c>
      <c r="H410" s="4">
        <f>11.5523 * CHOOSE(CONTROL!$C$15, $D$11, 100%, $F$11)</f>
        <v>11.552300000000001</v>
      </c>
      <c r="I410" s="8">
        <f>10.5387 * CHOOSE(CONTROL!$C$15, $D$11, 100%, $F$11)</f>
        <v>10.5387</v>
      </c>
      <c r="J410" s="4">
        <f>10.426 * CHOOSE(CONTROL!$C$15, $D$11, 100%, $F$11)</f>
        <v>10.426</v>
      </c>
      <c r="K410" s="4"/>
      <c r="L410" s="9">
        <v>31.095300000000002</v>
      </c>
      <c r="M410" s="9">
        <v>12.063700000000001</v>
      </c>
      <c r="N410" s="9">
        <v>4.9444999999999997</v>
      </c>
      <c r="O410" s="9">
        <v>0.37409999999999999</v>
      </c>
      <c r="P410" s="9">
        <v>1.2183999999999999</v>
      </c>
      <c r="Q410" s="9">
        <v>20.2666</v>
      </c>
      <c r="R410" s="9"/>
      <c r="S410" s="11"/>
    </row>
    <row r="411" spans="1:19" ht="15.75">
      <c r="A411" s="13">
        <v>54026</v>
      </c>
      <c r="B411" s="8">
        <f>11.7401 * CHOOSE(CONTROL!$C$15, $D$11, 100%, $F$11)</f>
        <v>11.7401</v>
      </c>
      <c r="C411" s="8">
        <f>11.7453 * CHOOSE(CONTROL!$C$15, $D$11, 100%, $F$11)</f>
        <v>11.7453</v>
      </c>
      <c r="D411" s="8">
        <f>11.7346 * CHOOSE( CONTROL!$C$15, $D$11, 100%, $F$11)</f>
        <v>11.7346</v>
      </c>
      <c r="E411" s="12">
        <f>11.738 * CHOOSE( CONTROL!$C$15, $D$11, 100%, $F$11)</f>
        <v>11.738</v>
      </c>
      <c r="F411" s="4">
        <f>12.389 * CHOOSE(CONTROL!$C$15, $D$11, 100%, $F$11)</f>
        <v>12.388999999999999</v>
      </c>
      <c r="G411" s="8">
        <f>11.4597 * CHOOSE( CONTROL!$C$15, $D$11, 100%, $F$11)</f>
        <v>11.4597</v>
      </c>
      <c r="H411" s="4">
        <f>12.3352 * CHOOSE(CONTROL!$C$15, $D$11, 100%, $F$11)</f>
        <v>12.3352</v>
      </c>
      <c r="I411" s="8">
        <f>11.3832 * CHOOSE(CONTROL!$C$15, $D$11, 100%, $F$11)</f>
        <v>11.3832</v>
      </c>
      <c r="J411" s="4">
        <f>11.2445 * CHOOSE(CONTROL!$C$15, $D$11, 100%, $F$11)</f>
        <v>11.2445</v>
      </c>
      <c r="K411" s="4"/>
      <c r="L411" s="9">
        <v>28.360600000000002</v>
      </c>
      <c r="M411" s="9">
        <v>11.6745</v>
      </c>
      <c r="N411" s="9">
        <v>4.7850000000000001</v>
      </c>
      <c r="O411" s="9">
        <v>0.36199999999999999</v>
      </c>
      <c r="P411" s="9">
        <v>1.2509999999999999</v>
      </c>
      <c r="Q411" s="9">
        <v>19.6128</v>
      </c>
      <c r="R411" s="9"/>
      <c r="S411" s="11"/>
    </row>
    <row r="412" spans="1:19" ht="15.75">
      <c r="A412" s="13">
        <v>54057</v>
      </c>
      <c r="B412" s="8">
        <f>11.7188 * CHOOSE(CONTROL!$C$15, $D$11, 100%, $F$11)</f>
        <v>11.7188</v>
      </c>
      <c r="C412" s="8">
        <f>11.724 * CHOOSE(CONTROL!$C$15, $D$11, 100%, $F$11)</f>
        <v>11.724</v>
      </c>
      <c r="D412" s="8">
        <f>11.7146 * CHOOSE( CONTROL!$C$15, $D$11, 100%, $F$11)</f>
        <v>11.714600000000001</v>
      </c>
      <c r="E412" s="12">
        <f>11.7175 * CHOOSE( CONTROL!$C$15, $D$11, 100%, $F$11)</f>
        <v>11.717499999999999</v>
      </c>
      <c r="F412" s="4">
        <f>12.3677 * CHOOSE(CONTROL!$C$15, $D$11, 100%, $F$11)</f>
        <v>12.367699999999999</v>
      </c>
      <c r="G412" s="8">
        <f>11.4399 * CHOOSE( CONTROL!$C$15, $D$11, 100%, $F$11)</f>
        <v>11.4399</v>
      </c>
      <c r="H412" s="4">
        <f>12.3144 * CHOOSE(CONTROL!$C$15, $D$11, 100%, $F$11)</f>
        <v>12.314399999999999</v>
      </c>
      <c r="I412" s="8">
        <f>11.3671 * CHOOSE(CONTROL!$C$15, $D$11, 100%, $F$11)</f>
        <v>11.367100000000001</v>
      </c>
      <c r="J412" s="4">
        <f>11.2241 * CHOOSE(CONTROL!$C$15, $D$11, 100%, $F$11)</f>
        <v>11.2241</v>
      </c>
      <c r="K412" s="4"/>
      <c r="L412" s="9">
        <v>29.306000000000001</v>
      </c>
      <c r="M412" s="9">
        <v>12.063700000000001</v>
      </c>
      <c r="N412" s="9">
        <v>4.9444999999999997</v>
      </c>
      <c r="O412" s="9">
        <v>0.37409999999999999</v>
      </c>
      <c r="P412" s="9">
        <v>1.2927</v>
      </c>
      <c r="Q412" s="9">
        <v>20.2666</v>
      </c>
      <c r="R412" s="9"/>
      <c r="S412" s="11"/>
    </row>
    <row r="413" spans="1:19" ht="15.75">
      <c r="A413" s="13">
        <v>54088</v>
      </c>
      <c r="B413" s="8">
        <f>12.1656 * CHOOSE(CONTROL!$C$15, $D$11, 100%, $F$11)</f>
        <v>12.1656</v>
      </c>
      <c r="C413" s="8">
        <f>12.1708 * CHOOSE(CONTROL!$C$15, $D$11, 100%, $F$11)</f>
        <v>12.1708</v>
      </c>
      <c r="D413" s="8">
        <f>12.1573 * CHOOSE( CONTROL!$C$15, $D$11, 100%, $F$11)</f>
        <v>12.157299999999999</v>
      </c>
      <c r="E413" s="12">
        <f>12.1617 * CHOOSE( CONTROL!$C$15, $D$11, 100%, $F$11)</f>
        <v>12.1617</v>
      </c>
      <c r="F413" s="4">
        <f>12.8145 * CHOOSE(CONTROL!$C$15, $D$11, 100%, $F$11)</f>
        <v>12.814500000000001</v>
      </c>
      <c r="G413" s="8">
        <f>11.87 * CHOOSE( CONTROL!$C$15, $D$11, 100%, $F$11)</f>
        <v>11.87</v>
      </c>
      <c r="H413" s="4">
        <f>12.7508 * CHOOSE(CONTROL!$C$15, $D$11, 100%, $F$11)</f>
        <v>12.7508</v>
      </c>
      <c r="I413" s="8">
        <f>11.7726 * CHOOSE(CONTROL!$C$15, $D$11, 100%, $F$11)</f>
        <v>11.772600000000001</v>
      </c>
      <c r="J413" s="4">
        <f>11.6531 * CHOOSE(CONTROL!$C$15, $D$11, 100%, $F$11)</f>
        <v>11.6531</v>
      </c>
      <c r="K413" s="4"/>
      <c r="L413" s="9">
        <v>29.306000000000001</v>
      </c>
      <c r="M413" s="9">
        <v>12.063700000000001</v>
      </c>
      <c r="N413" s="9">
        <v>4.9444999999999997</v>
      </c>
      <c r="O413" s="9">
        <v>0.37409999999999999</v>
      </c>
      <c r="P413" s="9">
        <v>1.2927</v>
      </c>
      <c r="Q413" s="9">
        <v>20.201499999999999</v>
      </c>
      <c r="R413" s="9"/>
      <c r="S413" s="11"/>
    </row>
    <row r="414" spans="1:19" ht="15.75">
      <c r="A414" s="13">
        <v>54116</v>
      </c>
      <c r="B414" s="8">
        <f>11.381 * CHOOSE(CONTROL!$C$15, $D$11, 100%, $F$11)</f>
        <v>11.381</v>
      </c>
      <c r="C414" s="8">
        <f>11.3862 * CHOOSE(CONTROL!$C$15, $D$11, 100%, $F$11)</f>
        <v>11.386200000000001</v>
      </c>
      <c r="D414" s="8">
        <f>11.3726 * CHOOSE( CONTROL!$C$15, $D$11, 100%, $F$11)</f>
        <v>11.3726</v>
      </c>
      <c r="E414" s="12">
        <f>11.377 * CHOOSE( CONTROL!$C$15, $D$11, 100%, $F$11)</f>
        <v>11.377000000000001</v>
      </c>
      <c r="F414" s="4">
        <f>12.0299 * CHOOSE(CONTROL!$C$15, $D$11, 100%, $F$11)</f>
        <v>12.0299</v>
      </c>
      <c r="G414" s="8">
        <f>11.1036 * CHOOSE( CONTROL!$C$15, $D$11, 100%, $F$11)</f>
        <v>11.1036</v>
      </c>
      <c r="H414" s="4">
        <f>11.9844 * CHOOSE(CONTROL!$C$15, $D$11, 100%, $F$11)</f>
        <v>11.984400000000001</v>
      </c>
      <c r="I414" s="8">
        <f>11.0188 * CHOOSE(CONTROL!$C$15, $D$11, 100%, $F$11)</f>
        <v>11.018800000000001</v>
      </c>
      <c r="J414" s="4">
        <f>10.8997 * CHOOSE(CONTROL!$C$15, $D$11, 100%, $F$11)</f>
        <v>10.899699999999999</v>
      </c>
      <c r="K414" s="4"/>
      <c r="L414" s="9">
        <v>27.415299999999998</v>
      </c>
      <c r="M414" s="9">
        <v>11.285299999999999</v>
      </c>
      <c r="N414" s="9">
        <v>4.6254999999999997</v>
      </c>
      <c r="O414" s="9">
        <v>0.34989999999999999</v>
      </c>
      <c r="P414" s="9">
        <v>1.2093</v>
      </c>
      <c r="Q414" s="9">
        <v>18.898099999999999</v>
      </c>
      <c r="R414" s="9"/>
      <c r="S414" s="11"/>
    </row>
    <row r="415" spans="1:19" ht="15.75">
      <c r="A415" s="13">
        <v>54148</v>
      </c>
      <c r="B415" s="8">
        <f>11.1393 * CHOOSE(CONTROL!$C$15, $D$11, 100%, $F$11)</f>
        <v>11.1393</v>
      </c>
      <c r="C415" s="8">
        <f>11.1445 * CHOOSE(CONTROL!$C$15, $D$11, 100%, $F$11)</f>
        <v>11.144500000000001</v>
      </c>
      <c r="D415" s="8">
        <f>11.1307 * CHOOSE( CONTROL!$C$15, $D$11, 100%, $F$11)</f>
        <v>11.130699999999999</v>
      </c>
      <c r="E415" s="12">
        <f>11.1352 * CHOOSE( CONTROL!$C$15, $D$11, 100%, $F$11)</f>
        <v>11.135199999999999</v>
      </c>
      <c r="F415" s="4">
        <f>11.7882 * CHOOSE(CONTROL!$C$15, $D$11, 100%, $F$11)</f>
        <v>11.7882</v>
      </c>
      <c r="G415" s="8">
        <f>10.8673 * CHOOSE( CONTROL!$C$15, $D$11, 100%, $F$11)</f>
        <v>10.8673</v>
      </c>
      <c r="H415" s="4">
        <f>11.7484 * CHOOSE(CONTROL!$C$15, $D$11, 100%, $F$11)</f>
        <v>11.7484</v>
      </c>
      <c r="I415" s="8">
        <f>10.7857 * CHOOSE(CONTROL!$C$15, $D$11, 100%, $F$11)</f>
        <v>10.7857</v>
      </c>
      <c r="J415" s="4">
        <f>10.6677 * CHOOSE(CONTROL!$C$15, $D$11, 100%, $F$11)</f>
        <v>10.6677</v>
      </c>
      <c r="K415" s="4"/>
      <c r="L415" s="9">
        <v>29.306000000000001</v>
      </c>
      <c r="M415" s="9">
        <v>12.063700000000001</v>
      </c>
      <c r="N415" s="9">
        <v>4.9444999999999997</v>
      </c>
      <c r="O415" s="9">
        <v>0.37409999999999999</v>
      </c>
      <c r="P415" s="9">
        <v>1.2927</v>
      </c>
      <c r="Q415" s="9">
        <v>20.201499999999999</v>
      </c>
      <c r="R415" s="9"/>
      <c r="S415" s="11"/>
    </row>
    <row r="416" spans="1:19" ht="15.75">
      <c r="A416" s="13">
        <v>54178</v>
      </c>
      <c r="B416" s="8">
        <f>11.309 * CHOOSE(CONTROL!$C$15, $D$11, 100%, $F$11)</f>
        <v>11.308999999999999</v>
      </c>
      <c r="C416" s="8">
        <f>11.3136 * CHOOSE(CONTROL!$C$15, $D$11, 100%, $F$11)</f>
        <v>11.313599999999999</v>
      </c>
      <c r="D416" s="8">
        <f>11.3399 * CHOOSE( CONTROL!$C$15, $D$11, 100%, $F$11)</f>
        <v>11.3399</v>
      </c>
      <c r="E416" s="12">
        <f>11.3307 * CHOOSE( CONTROL!$C$15, $D$11, 100%, $F$11)</f>
        <v>11.3307</v>
      </c>
      <c r="F416" s="4">
        <f>12.0081 * CHOOSE(CONTROL!$C$15, $D$11, 100%, $F$11)</f>
        <v>12.008100000000001</v>
      </c>
      <c r="G416" s="8">
        <f>11.0323 * CHOOSE( CONTROL!$C$15, $D$11, 100%, $F$11)</f>
        <v>11.032299999999999</v>
      </c>
      <c r="H416" s="4">
        <f>11.9631 * CHOOSE(CONTROL!$C$15, $D$11, 100%, $F$11)</f>
        <v>11.963100000000001</v>
      </c>
      <c r="I416" s="8">
        <f>10.9398 * CHOOSE(CONTROL!$C$15, $D$11, 100%, $F$11)</f>
        <v>10.9398</v>
      </c>
      <c r="J416" s="4">
        <f>10.8298 * CHOOSE(CONTROL!$C$15, $D$11, 100%, $F$11)</f>
        <v>10.829800000000001</v>
      </c>
      <c r="K416" s="4"/>
      <c r="L416" s="9">
        <v>30.092199999999998</v>
      </c>
      <c r="M416" s="9">
        <v>11.6745</v>
      </c>
      <c r="N416" s="9">
        <v>4.7850000000000001</v>
      </c>
      <c r="O416" s="9">
        <v>0.36199999999999999</v>
      </c>
      <c r="P416" s="9">
        <v>1.1791</v>
      </c>
      <c r="Q416" s="9">
        <v>19.549800000000001</v>
      </c>
      <c r="R416" s="9"/>
      <c r="S416" s="11"/>
    </row>
    <row r="417" spans="1:19" ht="15.75">
      <c r="A417" s="13">
        <v>54209</v>
      </c>
      <c r="B417" s="8">
        <f>CHOOSE( CONTROL!$C$32, 11.6157, 11.6109) * CHOOSE(CONTROL!$C$15, $D$11, 100%, $F$11)</f>
        <v>11.6157</v>
      </c>
      <c r="C417" s="8">
        <f>CHOOSE( CONTROL!$C$32, 11.6238, 11.619) * CHOOSE(CONTROL!$C$15, $D$11, 100%, $F$11)</f>
        <v>11.623799999999999</v>
      </c>
      <c r="D417" s="8">
        <f>CHOOSE( CONTROL!$C$32, 11.6451, 11.6403) * CHOOSE( CONTROL!$C$15, $D$11, 100%, $F$11)</f>
        <v>11.645099999999999</v>
      </c>
      <c r="E417" s="12">
        <f>CHOOSE( CONTROL!$C$32, 11.6361, 11.6313) * CHOOSE( CONTROL!$C$15, $D$11, 100%, $F$11)</f>
        <v>11.636100000000001</v>
      </c>
      <c r="F417" s="4">
        <f>CHOOSE( CONTROL!$C$32, 12.3135, 12.3087) * CHOOSE(CONTROL!$C$15, $D$11, 100%, $F$11)</f>
        <v>12.313499999999999</v>
      </c>
      <c r="G417" s="8">
        <f>CHOOSE( CONTROL!$C$32, 11.3316, 11.3269) * CHOOSE( CONTROL!$C$15, $D$11, 100%, $F$11)</f>
        <v>11.3316</v>
      </c>
      <c r="H417" s="4">
        <f>CHOOSE( CONTROL!$C$32, 12.2614, 12.2567) * CHOOSE(CONTROL!$C$15, $D$11, 100%, $F$11)</f>
        <v>12.2614</v>
      </c>
      <c r="I417" s="8">
        <f>CHOOSE( CONTROL!$C$32, 11.2331, 11.2284) * CHOOSE(CONTROL!$C$15, $D$11, 100%, $F$11)</f>
        <v>11.2331</v>
      </c>
      <c r="J417" s="4">
        <f>CHOOSE( CONTROL!$C$32, 11.123, 11.1184) * CHOOSE(CONTROL!$C$15, $D$11, 100%, $F$11)</f>
        <v>11.122999999999999</v>
      </c>
      <c r="K417" s="4"/>
      <c r="L417" s="9">
        <v>30.7165</v>
      </c>
      <c r="M417" s="9">
        <v>12.063700000000001</v>
      </c>
      <c r="N417" s="9">
        <v>4.9444999999999997</v>
      </c>
      <c r="O417" s="9">
        <v>0.37409999999999999</v>
      </c>
      <c r="P417" s="9">
        <v>1.2183999999999999</v>
      </c>
      <c r="Q417" s="9">
        <v>20.201499999999999</v>
      </c>
      <c r="R417" s="9"/>
      <c r="S417" s="11"/>
    </row>
    <row r="418" spans="1:19" ht="15.75">
      <c r="A418" s="13">
        <v>54239</v>
      </c>
      <c r="B418" s="8">
        <f>CHOOSE( CONTROL!$C$32, 11.4295, 11.4247) * CHOOSE(CONTROL!$C$15, $D$11, 100%, $F$11)</f>
        <v>11.429500000000001</v>
      </c>
      <c r="C418" s="8">
        <f>CHOOSE( CONTROL!$C$32, 11.4376, 11.4328) * CHOOSE(CONTROL!$C$15, $D$11, 100%, $F$11)</f>
        <v>11.4376</v>
      </c>
      <c r="D418" s="8">
        <f>CHOOSE( CONTROL!$C$32, 11.4591, 11.4543) * CHOOSE( CONTROL!$C$15, $D$11, 100%, $F$11)</f>
        <v>11.459099999999999</v>
      </c>
      <c r="E418" s="12">
        <f>CHOOSE( CONTROL!$C$32, 11.4501, 11.4453) * CHOOSE( CONTROL!$C$15, $D$11, 100%, $F$11)</f>
        <v>11.450100000000001</v>
      </c>
      <c r="F418" s="4">
        <f>CHOOSE( CONTROL!$C$32, 12.1273, 12.1225) * CHOOSE(CONTROL!$C$15, $D$11, 100%, $F$11)</f>
        <v>12.1273</v>
      </c>
      <c r="G418" s="8">
        <f>CHOOSE( CONTROL!$C$32, 11.15, 11.1453) * CHOOSE( CONTROL!$C$15, $D$11, 100%, $F$11)</f>
        <v>11.15</v>
      </c>
      <c r="H418" s="4">
        <f>CHOOSE( CONTROL!$C$32, 12.0796, 12.0749) * CHOOSE(CONTROL!$C$15, $D$11, 100%, $F$11)</f>
        <v>12.079599999999999</v>
      </c>
      <c r="I418" s="8">
        <f>CHOOSE( CONTROL!$C$32, 11.0552, 11.0505) * CHOOSE(CONTROL!$C$15, $D$11, 100%, $F$11)</f>
        <v>11.055199999999999</v>
      </c>
      <c r="J418" s="4">
        <f>CHOOSE( CONTROL!$C$32, 10.9443, 10.9396) * CHOOSE(CONTROL!$C$15, $D$11, 100%, $F$11)</f>
        <v>10.9443</v>
      </c>
      <c r="K418" s="4"/>
      <c r="L418" s="9">
        <v>29.7257</v>
      </c>
      <c r="M418" s="9">
        <v>11.6745</v>
      </c>
      <c r="N418" s="9">
        <v>4.7850000000000001</v>
      </c>
      <c r="O418" s="9">
        <v>0.36199999999999999</v>
      </c>
      <c r="P418" s="9">
        <v>1.1791</v>
      </c>
      <c r="Q418" s="9">
        <v>19.549800000000001</v>
      </c>
      <c r="R418" s="9"/>
      <c r="S418" s="11"/>
    </row>
    <row r="419" spans="1:19" ht="15.75">
      <c r="A419" s="13">
        <v>54270</v>
      </c>
      <c r="B419" s="8">
        <f>CHOOSE( CONTROL!$C$32, 11.9198, 11.915) * CHOOSE(CONTROL!$C$15, $D$11, 100%, $F$11)</f>
        <v>11.9198</v>
      </c>
      <c r="C419" s="8">
        <f>CHOOSE( CONTROL!$C$32, 11.9279, 11.9231) * CHOOSE(CONTROL!$C$15, $D$11, 100%, $F$11)</f>
        <v>11.927899999999999</v>
      </c>
      <c r="D419" s="8">
        <f>CHOOSE( CONTROL!$C$32, 11.9497, 11.9448) * CHOOSE( CONTROL!$C$15, $D$11, 100%, $F$11)</f>
        <v>11.9497</v>
      </c>
      <c r="E419" s="12">
        <f>CHOOSE( CONTROL!$C$32, 11.9406, 11.9357) * CHOOSE( CONTROL!$C$15, $D$11, 100%, $F$11)</f>
        <v>11.9406</v>
      </c>
      <c r="F419" s="4">
        <f>CHOOSE( CONTROL!$C$32, 12.6176, 12.6128) * CHOOSE(CONTROL!$C$15, $D$11, 100%, $F$11)</f>
        <v>12.617599999999999</v>
      </c>
      <c r="G419" s="8">
        <f>CHOOSE( CONTROL!$C$32, 11.6292, 11.6245) * CHOOSE( CONTROL!$C$15, $D$11, 100%, $F$11)</f>
        <v>11.629200000000001</v>
      </c>
      <c r="H419" s="4">
        <f>CHOOSE( CONTROL!$C$32, 12.5585, 12.5537) * CHOOSE(CONTROL!$C$15, $D$11, 100%, $F$11)</f>
        <v>12.5585</v>
      </c>
      <c r="I419" s="8">
        <f>CHOOSE( CONTROL!$C$32, 11.5273, 11.5226) * CHOOSE(CONTROL!$C$15, $D$11, 100%, $F$11)</f>
        <v>11.5273</v>
      </c>
      <c r="J419" s="4">
        <f>CHOOSE( CONTROL!$C$32, 11.415, 11.4104) * CHOOSE(CONTROL!$C$15, $D$11, 100%, $F$11)</f>
        <v>11.414999999999999</v>
      </c>
      <c r="K419" s="4"/>
      <c r="L419" s="9">
        <v>30.7165</v>
      </c>
      <c r="M419" s="9">
        <v>12.063700000000001</v>
      </c>
      <c r="N419" s="9">
        <v>4.9444999999999997</v>
      </c>
      <c r="O419" s="9">
        <v>0.37409999999999999</v>
      </c>
      <c r="P419" s="9">
        <v>1.2183999999999999</v>
      </c>
      <c r="Q419" s="9">
        <v>20.201499999999999</v>
      </c>
      <c r="R419" s="9"/>
      <c r="S419" s="11"/>
    </row>
    <row r="420" spans="1:19" ht="15.75">
      <c r="A420" s="13">
        <v>54301</v>
      </c>
      <c r="B420" s="8">
        <f>CHOOSE( CONTROL!$C$32, 11.0024, 10.9976) * CHOOSE(CONTROL!$C$15, $D$11, 100%, $F$11)</f>
        <v>11.0024</v>
      </c>
      <c r="C420" s="8">
        <f>CHOOSE( CONTROL!$C$32, 11.0105, 11.0057) * CHOOSE(CONTROL!$C$15, $D$11, 100%, $F$11)</f>
        <v>11.0105</v>
      </c>
      <c r="D420" s="8">
        <f>CHOOSE( CONTROL!$C$32, 11.0323, 11.0275) * CHOOSE( CONTROL!$C$15, $D$11, 100%, $F$11)</f>
        <v>11.032299999999999</v>
      </c>
      <c r="E420" s="12">
        <f>CHOOSE( CONTROL!$C$32, 11.0232, 11.0184) * CHOOSE( CONTROL!$C$15, $D$11, 100%, $F$11)</f>
        <v>11.023199999999999</v>
      </c>
      <c r="F420" s="4">
        <f>CHOOSE( CONTROL!$C$32, 11.7002, 11.6954) * CHOOSE(CONTROL!$C$15, $D$11, 100%, $F$11)</f>
        <v>11.700200000000001</v>
      </c>
      <c r="G420" s="8">
        <f>CHOOSE( CONTROL!$C$32, 10.7333, 10.7286) * CHOOSE( CONTROL!$C$15, $D$11, 100%, $F$11)</f>
        <v>10.7333</v>
      </c>
      <c r="H420" s="4">
        <f>CHOOSE( CONTROL!$C$32, 11.6624, 11.6577) * CHOOSE(CONTROL!$C$15, $D$11, 100%, $F$11)</f>
        <v>11.6624</v>
      </c>
      <c r="I420" s="8">
        <f>CHOOSE( CONTROL!$C$32, 10.6463, 10.6417) * CHOOSE(CONTROL!$C$15, $D$11, 100%, $F$11)</f>
        <v>10.6463</v>
      </c>
      <c r="J420" s="4">
        <f>CHOOSE( CONTROL!$C$32, 10.5342, 10.5296) * CHOOSE(CONTROL!$C$15, $D$11, 100%, $F$11)</f>
        <v>10.5342</v>
      </c>
      <c r="K420" s="4"/>
      <c r="L420" s="9">
        <v>30.7165</v>
      </c>
      <c r="M420" s="9">
        <v>12.063700000000001</v>
      </c>
      <c r="N420" s="9">
        <v>4.9444999999999997</v>
      </c>
      <c r="O420" s="9">
        <v>0.37409999999999999</v>
      </c>
      <c r="P420" s="9">
        <v>1.2183999999999999</v>
      </c>
      <c r="Q420" s="9">
        <v>20.201499999999999</v>
      </c>
      <c r="R420" s="9"/>
      <c r="S420" s="11"/>
    </row>
    <row r="421" spans="1:19" ht="15.75">
      <c r="A421" s="13">
        <v>54331</v>
      </c>
      <c r="B421" s="8">
        <f>CHOOSE( CONTROL!$C$32, 10.7727, 10.7679) * CHOOSE(CONTROL!$C$15, $D$11, 100%, $F$11)</f>
        <v>10.7727</v>
      </c>
      <c r="C421" s="8">
        <f>CHOOSE( CONTROL!$C$32, 10.7808, 10.7759) * CHOOSE(CONTROL!$C$15, $D$11, 100%, $F$11)</f>
        <v>10.780799999999999</v>
      </c>
      <c r="D421" s="8">
        <f>CHOOSE( CONTROL!$C$32, 10.8026, 10.7977) * CHOOSE( CONTROL!$C$15, $D$11, 100%, $F$11)</f>
        <v>10.8026</v>
      </c>
      <c r="E421" s="12">
        <f>CHOOSE( CONTROL!$C$32, 10.7935, 10.7886) * CHOOSE( CONTROL!$C$15, $D$11, 100%, $F$11)</f>
        <v>10.7935</v>
      </c>
      <c r="F421" s="4">
        <f>CHOOSE( CONTROL!$C$32, 11.4705, 11.4657) * CHOOSE(CONTROL!$C$15, $D$11, 100%, $F$11)</f>
        <v>11.470499999999999</v>
      </c>
      <c r="G421" s="8">
        <f>CHOOSE( CONTROL!$C$32, 10.5089, 10.5042) * CHOOSE( CONTROL!$C$15, $D$11, 100%, $F$11)</f>
        <v>10.508900000000001</v>
      </c>
      <c r="H421" s="4">
        <f>CHOOSE( CONTROL!$C$32, 11.438, 11.4333) * CHOOSE(CONTROL!$C$15, $D$11, 100%, $F$11)</f>
        <v>11.438000000000001</v>
      </c>
      <c r="I421" s="8">
        <f>CHOOSE( CONTROL!$C$32, 10.4255, 10.4209) * CHOOSE(CONTROL!$C$15, $D$11, 100%, $F$11)</f>
        <v>10.4255</v>
      </c>
      <c r="J421" s="4">
        <f>CHOOSE( CONTROL!$C$32, 10.3136, 10.309) * CHOOSE(CONTROL!$C$15, $D$11, 100%, $F$11)</f>
        <v>10.313599999999999</v>
      </c>
      <c r="K421" s="4"/>
      <c r="L421" s="9">
        <v>29.7257</v>
      </c>
      <c r="M421" s="9">
        <v>11.6745</v>
      </c>
      <c r="N421" s="9">
        <v>4.7850000000000001</v>
      </c>
      <c r="O421" s="9">
        <v>0.36199999999999999</v>
      </c>
      <c r="P421" s="9">
        <v>1.1791</v>
      </c>
      <c r="Q421" s="9">
        <v>19.549800000000001</v>
      </c>
      <c r="R421" s="9"/>
      <c r="S421" s="11"/>
    </row>
    <row r="422" spans="1:19" ht="15.75">
      <c r="A422" s="13">
        <v>54362</v>
      </c>
      <c r="B422" s="8">
        <f>11.2431 * CHOOSE(CONTROL!$C$15, $D$11, 100%, $F$11)</f>
        <v>11.2431</v>
      </c>
      <c r="C422" s="8">
        <f>11.2486 * CHOOSE(CONTROL!$C$15, $D$11, 100%, $F$11)</f>
        <v>11.2486</v>
      </c>
      <c r="D422" s="8">
        <f>11.275 * CHOOSE( CONTROL!$C$15, $D$11, 100%, $F$11)</f>
        <v>11.275</v>
      </c>
      <c r="E422" s="12">
        <f>11.2657 * CHOOSE( CONTROL!$C$15, $D$11, 100%, $F$11)</f>
        <v>11.265700000000001</v>
      </c>
      <c r="F422" s="4">
        <f>11.9427 * CHOOSE(CONTROL!$C$15, $D$11, 100%, $F$11)</f>
        <v>11.9427</v>
      </c>
      <c r="G422" s="8">
        <f>10.9693 * CHOOSE( CONTROL!$C$15, $D$11, 100%, $F$11)</f>
        <v>10.9693</v>
      </c>
      <c r="H422" s="4">
        <f>11.8992 * CHOOSE(CONTROL!$C$15, $D$11, 100%, $F$11)</f>
        <v>11.8992</v>
      </c>
      <c r="I422" s="8">
        <f>10.8798 * CHOOSE(CONTROL!$C$15, $D$11, 100%, $F$11)</f>
        <v>10.879799999999999</v>
      </c>
      <c r="J422" s="4">
        <f>10.767 * CHOOSE(CONTROL!$C$15, $D$11, 100%, $F$11)</f>
        <v>10.766999999999999</v>
      </c>
      <c r="K422" s="4"/>
      <c r="L422" s="9">
        <v>31.095300000000002</v>
      </c>
      <c r="M422" s="9">
        <v>12.063700000000001</v>
      </c>
      <c r="N422" s="9">
        <v>4.9444999999999997</v>
      </c>
      <c r="O422" s="9">
        <v>0.37409999999999999</v>
      </c>
      <c r="P422" s="9">
        <v>1.2183999999999999</v>
      </c>
      <c r="Q422" s="9">
        <v>20.201499999999999</v>
      </c>
      <c r="R422" s="9"/>
      <c r="S422" s="11"/>
    </row>
    <row r="423" spans="1:19" ht="15.75">
      <c r="A423" s="13">
        <v>54392</v>
      </c>
      <c r="B423" s="8">
        <f>12.1232 * CHOOSE(CONTROL!$C$15, $D$11, 100%, $F$11)</f>
        <v>12.123200000000001</v>
      </c>
      <c r="C423" s="8">
        <f>12.1283 * CHOOSE(CONTROL!$C$15, $D$11, 100%, $F$11)</f>
        <v>12.128299999999999</v>
      </c>
      <c r="D423" s="8">
        <f>12.1176 * CHOOSE( CONTROL!$C$15, $D$11, 100%, $F$11)</f>
        <v>12.117599999999999</v>
      </c>
      <c r="E423" s="12">
        <f>12.121 * CHOOSE( CONTROL!$C$15, $D$11, 100%, $F$11)</f>
        <v>12.121</v>
      </c>
      <c r="F423" s="4">
        <f>12.7721 * CHOOSE(CONTROL!$C$15, $D$11, 100%, $F$11)</f>
        <v>12.7721</v>
      </c>
      <c r="G423" s="8">
        <f>11.8338 * CHOOSE( CONTROL!$C$15, $D$11, 100%, $F$11)</f>
        <v>11.8338</v>
      </c>
      <c r="H423" s="4">
        <f>12.7093 * CHOOSE(CONTROL!$C$15, $D$11, 100%, $F$11)</f>
        <v>12.709300000000001</v>
      </c>
      <c r="I423" s="8">
        <f>11.7512 * CHOOSE(CONTROL!$C$15, $D$11, 100%, $F$11)</f>
        <v>11.751200000000001</v>
      </c>
      <c r="J423" s="4">
        <f>11.6123 * CHOOSE(CONTROL!$C$15, $D$11, 100%, $F$11)</f>
        <v>11.612299999999999</v>
      </c>
      <c r="K423" s="4"/>
      <c r="L423" s="9">
        <v>28.360600000000002</v>
      </c>
      <c r="M423" s="9">
        <v>11.6745</v>
      </c>
      <c r="N423" s="9">
        <v>4.7850000000000001</v>
      </c>
      <c r="O423" s="9">
        <v>0.36199999999999999</v>
      </c>
      <c r="P423" s="9">
        <v>1.2509999999999999</v>
      </c>
      <c r="Q423" s="9">
        <v>19.549800000000001</v>
      </c>
      <c r="R423" s="9"/>
      <c r="S423" s="11"/>
    </row>
    <row r="424" spans="1:19" ht="15.75">
      <c r="A424" s="13">
        <v>54423</v>
      </c>
      <c r="B424" s="8">
        <f>12.1012 * CHOOSE(CONTROL!$C$15, $D$11, 100%, $F$11)</f>
        <v>12.1012</v>
      </c>
      <c r="C424" s="8">
        <f>12.1064 * CHOOSE(CONTROL!$C$15, $D$11, 100%, $F$11)</f>
        <v>12.106400000000001</v>
      </c>
      <c r="D424" s="8">
        <f>12.097 * CHOOSE( CONTROL!$C$15, $D$11, 100%, $F$11)</f>
        <v>12.097</v>
      </c>
      <c r="E424" s="12">
        <f>12.0999 * CHOOSE( CONTROL!$C$15, $D$11, 100%, $F$11)</f>
        <v>12.0999</v>
      </c>
      <c r="F424" s="4">
        <f>12.7501 * CHOOSE(CONTROL!$C$15, $D$11, 100%, $F$11)</f>
        <v>12.7501</v>
      </c>
      <c r="G424" s="8">
        <f>11.8133 * CHOOSE( CONTROL!$C$15, $D$11, 100%, $F$11)</f>
        <v>11.8133</v>
      </c>
      <c r="H424" s="4">
        <f>12.6878 * CHOOSE(CONTROL!$C$15, $D$11, 100%, $F$11)</f>
        <v>12.687799999999999</v>
      </c>
      <c r="I424" s="8">
        <f>11.7343 * CHOOSE(CONTROL!$C$15, $D$11, 100%, $F$11)</f>
        <v>11.734299999999999</v>
      </c>
      <c r="J424" s="4">
        <f>11.5911 * CHOOSE(CONTROL!$C$15, $D$11, 100%, $F$11)</f>
        <v>11.591100000000001</v>
      </c>
      <c r="K424" s="4"/>
      <c r="L424" s="9">
        <v>29.306000000000001</v>
      </c>
      <c r="M424" s="9">
        <v>12.063700000000001</v>
      </c>
      <c r="N424" s="9">
        <v>4.9444999999999997</v>
      </c>
      <c r="O424" s="9">
        <v>0.37409999999999999</v>
      </c>
      <c r="P424" s="9">
        <v>1.2927</v>
      </c>
      <c r="Q424" s="9">
        <v>20.201499999999999</v>
      </c>
      <c r="R424" s="9"/>
      <c r="S424" s="11"/>
    </row>
    <row r="425" spans="1:19" ht="15.75">
      <c r="A425" s="13">
        <v>54454</v>
      </c>
      <c r="B425" s="8">
        <f>12.5626 * CHOOSE(CONTROL!$C$15, $D$11, 100%, $F$11)</f>
        <v>12.5626</v>
      </c>
      <c r="C425" s="8">
        <f>12.5678 * CHOOSE(CONTROL!$C$15, $D$11, 100%, $F$11)</f>
        <v>12.5678</v>
      </c>
      <c r="D425" s="8">
        <f>12.5542 * CHOOSE( CONTROL!$C$15, $D$11, 100%, $F$11)</f>
        <v>12.5542</v>
      </c>
      <c r="E425" s="12">
        <f>12.5586 * CHOOSE( CONTROL!$C$15, $D$11, 100%, $F$11)</f>
        <v>12.5586</v>
      </c>
      <c r="F425" s="4">
        <f>13.2115 * CHOOSE(CONTROL!$C$15, $D$11, 100%, $F$11)</f>
        <v>13.211499999999999</v>
      </c>
      <c r="G425" s="8">
        <f>12.2577 * CHOOSE( CONTROL!$C$15, $D$11, 100%, $F$11)</f>
        <v>12.2577</v>
      </c>
      <c r="H425" s="4">
        <f>13.1385 * CHOOSE(CONTROL!$C$15, $D$11, 100%, $F$11)</f>
        <v>13.138500000000001</v>
      </c>
      <c r="I425" s="8">
        <f>12.1539 * CHOOSE(CONTROL!$C$15, $D$11, 100%, $F$11)</f>
        <v>12.1539</v>
      </c>
      <c r="J425" s="4">
        <f>12.0342 * CHOOSE(CONTROL!$C$15, $D$11, 100%, $F$11)</f>
        <v>12.0342</v>
      </c>
      <c r="K425" s="4"/>
      <c r="L425" s="9">
        <v>29.306000000000001</v>
      </c>
      <c r="M425" s="9">
        <v>12.063700000000001</v>
      </c>
      <c r="N425" s="9">
        <v>4.9444999999999997</v>
      </c>
      <c r="O425" s="9">
        <v>0.37409999999999999</v>
      </c>
      <c r="P425" s="9">
        <v>1.2927</v>
      </c>
      <c r="Q425" s="9">
        <v>20.136399999999998</v>
      </c>
      <c r="R425" s="9"/>
      <c r="S425" s="11"/>
    </row>
    <row r="426" spans="1:19" ht="15.75">
      <c r="A426" s="13">
        <v>54482</v>
      </c>
      <c r="B426" s="8">
        <f>11.7523 * CHOOSE(CONTROL!$C$15, $D$11, 100%, $F$11)</f>
        <v>11.7523</v>
      </c>
      <c r="C426" s="8">
        <f>11.7574 * CHOOSE(CONTROL!$C$15, $D$11, 100%, $F$11)</f>
        <v>11.757400000000001</v>
      </c>
      <c r="D426" s="8">
        <f>11.7439 * CHOOSE( CONTROL!$C$15, $D$11, 100%, $F$11)</f>
        <v>11.7439</v>
      </c>
      <c r="E426" s="12">
        <f>11.7483 * CHOOSE( CONTROL!$C$15, $D$11, 100%, $F$11)</f>
        <v>11.7483</v>
      </c>
      <c r="F426" s="4">
        <f>12.4012 * CHOOSE(CONTROL!$C$15, $D$11, 100%, $F$11)</f>
        <v>12.401199999999999</v>
      </c>
      <c r="G426" s="8">
        <f>11.4662 * CHOOSE( CONTROL!$C$15, $D$11, 100%, $F$11)</f>
        <v>11.466200000000001</v>
      </c>
      <c r="H426" s="4">
        <f>12.347 * CHOOSE(CONTROL!$C$15, $D$11, 100%, $F$11)</f>
        <v>12.347</v>
      </c>
      <c r="I426" s="8">
        <f>11.3755 * CHOOSE(CONTROL!$C$15, $D$11, 100%, $F$11)</f>
        <v>11.375500000000001</v>
      </c>
      <c r="J426" s="4">
        <f>11.2562 * CHOOSE(CONTROL!$C$15, $D$11, 100%, $F$11)</f>
        <v>11.2562</v>
      </c>
      <c r="K426" s="4"/>
      <c r="L426" s="9">
        <v>26.469899999999999</v>
      </c>
      <c r="M426" s="9">
        <v>10.8962</v>
      </c>
      <c r="N426" s="9">
        <v>4.4660000000000002</v>
      </c>
      <c r="O426" s="9">
        <v>0.33789999999999998</v>
      </c>
      <c r="P426" s="9">
        <v>1.1676</v>
      </c>
      <c r="Q426" s="9">
        <v>18.1877</v>
      </c>
      <c r="R426" s="9"/>
      <c r="S426" s="11"/>
    </row>
    <row r="427" spans="1:19" ht="15.75">
      <c r="A427" s="13">
        <v>54513</v>
      </c>
      <c r="B427" s="8">
        <f>11.5027 * CHOOSE(CONTROL!$C$15, $D$11, 100%, $F$11)</f>
        <v>11.502700000000001</v>
      </c>
      <c r="C427" s="8">
        <f>11.5079 * CHOOSE(CONTROL!$C$15, $D$11, 100%, $F$11)</f>
        <v>11.507899999999999</v>
      </c>
      <c r="D427" s="8">
        <f>11.494 * CHOOSE( CONTROL!$C$15, $D$11, 100%, $F$11)</f>
        <v>11.494</v>
      </c>
      <c r="E427" s="12">
        <f>11.4985 * CHOOSE( CONTROL!$C$15, $D$11, 100%, $F$11)</f>
        <v>11.4985</v>
      </c>
      <c r="F427" s="4">
        <f>12.1516 * CHOOSE(CONTROL!$C$15, $D$11, 100%, $F$11)</f>
        <v>12.1516</v>
      </c>
      <c r="G427" s="8">
        <f>11.2223 * CHOOSE( CONTROL!$C$15, $D$11, 100%, $F$11)</f>
        <v>11.222300000000001</v>
      </c>
      <c r="H427" s="4">
        <f>12.1033 * CHOOSE(CONTROL!$C$15, $D$11, 100%, $F$11)</f>
        <v>12.103300000000001</v>
      </c>
      <c r="I427" s="8">
        <f>11.1347 * CHOOSE(CONTROL!$C$15, $D$11, 100%, $F$11)</f>
        <v>11.1347</v>
      </c>
      <c r="J427" s="4">
        <f>11.0165 * CHOOSE(CONTROL!$C$15, $D$11, 100%, $F$11)</f>
        <v>11.016500000000001</v>
      </c>
      <c r="K427" s="4"/>
      <c r="L427" s="9">
        <v>29.306000000000001</v>
      </c>
      <c r="M427" s="9">
        <v>12.063700000000001</v>
      </c>
      <c r="N427" s="9">
        <v>4.9444999999999997</v>
      </c>
      <c r="O427" s="9">
        <v>0.37409999999999999</v>
      </c>
      <c r="P427" s="9">
        <v>1.2927</v>
      </c>
      <c r="Q427" s="9">
        <v>20.136399999999998</v>
      </c>
      <c r="R427" s="9"/>
      <c r="S427" s="11"/>
    </row>
    <row r="428" spans="1:19" ht="15.75">
      <c r="A428" s="13">
        <v>54543</v>
      </c>
      <c r="B428" s="8">
        <f>11.6778 * CHOOSE(CONTROL!$C$15, $D$11, 100%, $F$11)</f>
        <v>11.6778</v>
      </c>
      <c r="C428" s="8">
        <f>11.6825 * CHOOSE(CONTROL!$C$15, $D$11, 100%, $F$11)</f>
        <v>11.682499999999999</v>
      </c>
      <c r="D428" s="8">
        <f>11.7088 * CHOOSE( CONTROL!$C$15, $D$11, 100%, $F$11)</f>
        <v>11.7088</v>
      </c>
      <c r="E428" s="12">
        <f>11.6996 * CHOOSE( CONTROL!$C$15, $D$11, 100%, $F$11)</f>
        <v>11.6996</v>
      </c>
      <c r="F428" s="4">
        <f>12.377 * CHOOSE(CONTROL!$C$15, $D$11, 100%, $F$11)</f>
        <v>12.377000000000001</v>
      </c>
      <c r="G428" s="8">
        <f>11.3926 * CHOOSE( CONTROL!$C$15, $D$11, 100%, $F$11)</f>
        <v>11.3926</v>
      </c>
      <c r="H428" s="4">
        <f>12.3234 * CHOOSE(CONTROL!$C$15, $D$11, 100%, $F$11)</f>
        <v>12.323399999999999</v>
      </c>
      <c r="I428" s="8">
        <f>11.2941 * CHOOSE(CONTROL!$C$15, $D$11, 100%, $F$11)</f>
        <v>11.2941</v>
      </c>
      <c r="J428" s="4">
        <f>11.184 * CHOOSE(CONTROL!$C$15, $D$11, 100%, $F$11)</f>
        <v>11.183999999999999</v>
      </c>
      <c r="K428" s="4"/>
      <c r="L428" s="9">
        <v>30.092199999999998</v>
      </c>
      <c r="M428" s="9">
        <v>11.6745</v>
      </c>
      <c r="N428" s="9">
        <v>4.7850000000000001</v>
      </c>
      <c r="O428" s="9">
        <v>0.36199999999999999</v>
      </c>
      <c r="P428" s="9">
        <v>1.1791</v>
      </c>
      <c r="Q428" s="9">
        <v>19.486799999999999</v>
      </c>
      <c r="R428" s="9"/>
      <c r="S428" s="11"/>
    </row>
    <row r="429" spans="1:19" ht="15.75">
      <c r="A429" s="13">
        <v>54574</v>
      </c>
      <c r="B429" s="8">
        <f>CHOOSE( CONTROL!$C$32, 11.9944, 11.9896) * CHOOSE(CONTROL!$C$15, $D$11, 100%, $F$11)</f>
        <v>11.994400000000001</v>
      </c>
      <c r="C429" s="8">
        <f>CHOOSE( CONTROL!$C$32, 12.0025, 11.9977) * CHOOSE(CONTROL!$C$15, $D$11, 100%, $F$11)</f>
        <v>12.0025</v>
      </c>
      <c r="D429" s="8">
        <f>CHOOSE( CONTROL!$C$32, 12.0238, 12.019) * CHOOSE( CONTROL!$C$15, $D$11, 100%, $F$11)</f>
        <v>12.0238</v>
      </c>
      <c r="E429" s="12">
        <f>CHOOSE( CONTROL!$C$32, 12.0148, 12.01) * CHOOSE( CONTROL!$C$15, $D$11, 100%, $F$11)</f>
        <v>12.014799999999999</v>
      </c>
      <c r="F429" s="4">
        <f>CHOOSE( CONTROL!$C$32, 12.6922, 12.6874) * CHOOSE(CONTROL!$C$15, $D$11, 100%, $F$11)</f>
        <v>12.6922</v>
      </c>
      <c r="G429" s="8">
        <f>CHOOSE( CONTROL!$C$32, 11.7015, 11.6968) * CHOOSE( CONTROL!$C$15, $D$11, 100%, $F$11)</f>
        <v>11.701499999999999</v>
      </c>
      <c r="H429" s="4">
        <f>CHOOSE( CONTROL!$C$32, 12.6313, 12.6266) * CHOOSE(CONTROL!$C$15, $D$11, 100%, $F$11)</f>
        <v>12.6313</v>
      </c>
      <c r="I429" s="8">
        <f>CHOOSE( CONTROL!$C$32, 11.5969, 11.5922) * CHOOSE(CONTROL!$C$15, $D$11, 100%, $F$11)</f>
        <v>11.5969</v>
      </c>
      <c r="J429" s="4">
        <f>CHOOSE( CONTROL!$C$32, 11.4866, 11.482) * CHOOSE(CONTROL!$C$15, $D$11, 100%, $F$11)</f>
        <v>11.486599999999999</v>
      </c>
      <c r="K429" s="4"/>
      <c r="L429" s="9">
        <v>30.7165</v>
      </c>
      <c r="M429" s="9">
        <v>12.063700000000001</v>
      </c>
      <c r="N429" s="9">
        <v>4.9444999999999997</v>
      </c>
      <c r="O429" s="9">
        <v>0.37409999999999999</v>
      </c>
      <c r="P429" s="9">
        <v>1.2183999999999999</v>
      </c>
      <c r="Q429" s="9">
        <v>20.136399999999998</v>
      </c>
      <c r="R429" s="9"/>
      <c r="S429" s="11"/>
    </row>
    <row r="430" spans="1:19" ht="15.75">
      <c r="A430" s="13">
        <v>54604</v>
      </c>
      <c r="B430" s="8">
        <f>CHOOSE( CONTROL!$C$32, 11.8022, 11.7973) * CHOOSE(CONTROL!$C$15, $D$11, 100%, $F$11)</f>
        <v>11.802199999999999</v>
      </c>
      <c r="C430" s="8">
        <f>CHOOSE( CONTROL!$C$32, 11.8102, 11.8054) * CHOOSE(CONTROL!$C$15, $D$11, 100%, $F$11)</f>
        <v>11.8102</v>
      </c>
      <c r="D430" s="8">
        <f>CHOOSE( CONTROL!$C$32, 11.8318, 11.8269) * CHOOSE( CONTROL!$C$15, $D$11, 100%, $F$11)</f>
        <v>11.831799999999999</v>
      </c>
      <c r="E430" s="12">
        <f>CHOOSE( CONTROL!$C$32, 11.8228, 11.8179) * CHOOSE( CONTROL!$C$15, $D$11, 100%, $F$11)</f>
        <v>11.822800000000001</v>
      </c>
      <c r="F430" s="4">
        <f>CHOOSE( CONTROL!$C$32, 12.5, 12.4951) * CHOOSE(CONTROL!$C$15, $D$11, 100%, $F$11)</f>
        <v>12.5</v>
      </c>
      <c r="G430" s="8">
        <f>CHOOSE( CONTROL!$C$32, 11.514, 11.5093) * CHOOSE( CONTROL!$C$15, $D$11, 100%, $F$11)</f>
        <v>11.513999999999999</v>
      </c>
      <c r="H430" s="4">
        <f>CHOOSE( CONTROL!$C$32, 12.4435, 12.4388) * CHOOSE(CONTROL!$C$15, $D$11, 100%, $F$11)</f>
        <v>12.4435</v>
      </c>
      <c r="I430" s="8">
        <f>CHOOSE( CONTROL!$C$32, 11.4131, 11.4085) * CHOOSE(CONTROL!$C$15, $D$11, 100%, $F$11)</f>
        <v>11.4131</v>
      </c>
      <c r="J430" s="4">
        <f>CHOOSE( CONTROL!$C$32, 11.302, 11.2974) * CHOOSE(CONTROL!$C$15, $D$11, 100%, $F$11)</f>
        <v>11.302</v>
      </c>
      <c r="K430" s="4"/>
      <c r="L430" s="9">
        <v>29.7257</v>
      </c>
      <c r="M430" s="9">
        <v>11.6745</v>
      </c>
      <c r="N430" s="9">
        <v>4.7850000000000001</v>
      </c>
      <c r="O430" s="9">
        <v>0.36199999999999999</v>
      </c>
      <c r="P430" s="9">
        <v>1.1791</v>
      </c>
      <c r="Q430" s="9">
        <v>19.486799999999999</v>
      </c>
      <c r="R430" s="9"/>
      <c r="S430" s="11"/>
    </row>
    <row r="431" spans="1:19" ht="15.75">
      <c r="A431" s="13">
        <v>54635</v>
      </c>
      <c r="B431" s="8">
        <f>CHOOSE( CONTROL!$C$32, 12.3085, 12.3037) * CHOOSE(CONTROL!$C$15, $D$11, 100%, $F$11)</f>
        <v>12.3085</v>
      </c>
      <c r="C431" s="8">
        <f>CHOOSE( CONTROL!$C$32, 12.3166, 12.3117) * CHOOSE(CONTROL!$C$15, $D$11, 100%, $F$11)</f>
        <v>12.316599999999999</v>
      </c>
      <c r="D431" s="8">
        <f>CHOOSE( CONTROL!$C$32, 12.3383, 12.3335) * CHOOSE( CONTROL!$C$15, $D$11, 100%, $F$11)</f>
        <v>12.3383</v>
      </c>
      <c r="E431" s="12">
        <f>CHOOSE( CONTROL!$C$32, 12.3292, 12.3244) * CHOOSE( CONTROL!$C$15, $D$11, 100%, $F$11)</f>
        <v>12.3292</v>
      </c>
      <c r="F431" s="4">
        <f>CHOOSE( CONTROL!$C$32, 13.0063, 13.0015) * CHOOSE(CONTROL!$C$15, $D$11, 100%, $F$11)</f>
        <v>13.0063</v>
      </c>
      <c r="G431" s="8">
        <f>CHOOSE( CONTROL!$C$32, 12.0089, 12.0041) * CHOOSE( CONTROL!$C$15, $D$11, 100%, $F$11)</f>
        <v>12.008900000000001</v>
      </c>
      <c r="H431" s="4">
        <f>CHOOSE( CONTROL!$C$32, 12.9381, 12.9333) * CHOOSE(CONTROL!$C$15, $D$11, 100%, $F$11)</f>
        <v>12.9381</v>
      </c>
      <c r="I431" s="8">
        <f>CHOOSE( CONTROL!$C$32, 11.9006, 11.896) * CHOOSE(CONTROL!$C$15, $D$11, 100%, $F$11)</f>
        <v>11.900600000000001</v>
      </c>
      <c r="J431" s="4">
        <f>CHOOSE( CONTROL!$C$32, 11.7882, 11.7835) * CHOOSE(CONTROL!$C$15, $D$11, 100%, $F$11)</f>
        <v>11.7882</v>
      </c>
      <c r="K431" s="4"/>
      <c r="L431" s="9">
        <v>30.7165</v>
      </c>
      <c r="M431" s="9">
        <v>12.063700000000001</v>
      </c>
      <c r="N431" s="9">
        <v>4.9444999999999997</v>
      </c>
      <c r="O431" s="9">
        <v>0.37409999999999999</v>
      </c>
      <c r="P431" s="9">
        <v>1.2183999999999999</v>
      </c>
      <c r="Q431" s="9">
        <v>20.136399999999998</v>
      </c>
      <c r="R431" s="9"/>
      <c r="S431" s="11"/>
    </row>
    <row r="432" spans="1:19" ht="15.75">
      <c r="A432" s="13">
        <v>54666</v>
      </c>
      <c r="B432" s="8">
        <f>CHOOSE( CONTROL!$C$32, 11.3611, 11.3563) * CHOOSE(CONTROL!$C$15, $D$11, 100%, $F$11)</f>
        <v>11.3611</v>
      </c>
      <c r="C432" s="8">
        <f>CHOOSE( CONTROL!$C$32, 11.3692, 11.3643) * CHOOSE(CONTROL!$C$15, $D$11, 100%, $F$11)</f>
        <v>11.369199999999999</v>
      </c>
      <c r="D432" s="8">
        <f>CHOOSE( CONTROL!$C$32, 11.391, 11.3861) * CHOOSE( CONTROL!$C$15, $D$11, 100%, $F$11)</f>
        <v>11.391</v>
      </c>
      <c r="E432" s="12">
        <f>CHOOSE( CONTROL!$C$32, 11.3819, 11.377) * CHOOSE( CONTROL!$C$15, $D$11, 100%, $F$11)</f>
        <v>11.3819</v>
      </c>
      <c r="F432" s="4">
        <f>CHOOSE( CONTROL!$C$32, 12.0589, 12.0541) * CHOOSE(CONTROL!$C$15, $D$11, 100%, $F$11)</f>
        <v>12.0589</v>
      </c>
      <c r="G432" s="8">
        <f>CHOOSE( CONTROL!$C$32, 11.0836, 11.0789) * CHOOSE( CONTROL!$C$15, $D$11, 100%, $F$11)</f>
        <v>11.083600000000001</v>
      </c>
      <c r="H432" s="4">
        <f>CHOOSE( CONTROL!$C$32, 12.0127, 12.008) * CHOOSE(CONTROL!$C$15, $D$11, 100%, $F$11)</f>
        <v>12.012700000000001</v>
      </c>
      <c r="I432" s="8">
        <f>CHOOSE( CONTROL!$C$32, 10.9908, 10.9862) * CHOOSE(CONTROL!$C$15, $D$11, 100%, $F$11)</f>
        <v>10.9908</v>
      </c>
      <c r="J432" s="4">
        <f>CHOOSE( CONTROL!$C$32, 10.8786, 10.8739) * CHOOSE(CONTROL!$C$15, $D$11, 100%, $F$11)</f>
        <v>10.8786</v>
      </c>
      <c r="K432" s="4"/>
      <c r="L432" s="9">
        <v>30.7165</v>
      </c>
      <c r="M432" s="9">
        <v>12.063700000000001</v>
      </c>
      <c r="N432" s="9">
        <v>4.9444999999999997</v>
      </c>
      <c r="O432" s="9">
        <v>0.37409999999999999</v>
      </c>
      <c r="P432" s="9">
        <v>1.2183999999999999</v>
      </c>
      <c r="Q432" s="9">
        <v>20.136399999999998</v>
      </c>
      <c r="R432" s="9"/>
      <c r="S432" s="11"/>
    </row>
    <row r="433" spans="1:19" ht="15.75">
      <c r="A433" s="13">
        <v>54696</v>
      </c>
      <c r="B433" s="8">
        <f>CHOOSE( CONTROL!$C$32, 11.1238, 11.119) * CHOOSE(CONTROL!$C$15, $D$11, 100%, $F$11)</f>
        <v>11.123799999999999</v>
      </c>
      <c r="C433" s="8">
        <f>CHOOSE( CONTROL!$C$32, 11.1319, 11.1271) * CHOOSE(CONTROL!$C$15, $D$11, 100%, $F$11)</f>
        <v>11.1319</v>
      </c>
      <c r="D433" s="8">
        <f>CHOOSE( CONTROL!$C$32, 11.1537, 11.1489) * CHOOSE( CONTROL!$C$15, $D$11, 100%, $F$11)</f>
        <v>11.153700000000001</v>
      </c>
      <c r="E433" s="12">
        <f>CHOOSE( CONTROL!$C$32, 11.1446, 11.1398) * CHOOSE( CONTROL!$C$15, $D$11, 100%, $F$11)</f>
        <v>11.144600000000001</v>
      </c>
      <c r="F433" s="4">
        <f>CHOOSE( CONTROL!$C$32, 11.8217, 11.8168) * CHOOSE(CONTROL!$C$15, $D$11, 100%, $F$11)</f>
        <v>11.8217</v>
      </c>
      <c r="G433" s="8">
        <f>CHOOSE( CONTROL!$C$32, 10.8519, 10.8472) * CHOOSE( CONTROL!$C$15, $D$11, 100%, $F$11)</f>
        <v>10.851900000000001</v>
      </c>
      <c r="H433" s="4">
        <f>CHOOSE( CONTROL!$C$32, 11.781, 11.7763) * CHOOSE(CONTROL!$C$15, $D$11, 100%, $F$11)</f>
        <v>11.781000000000001</v>
      </c>
      <c r="I433" s="8">
        <f>CHOOSE( CONTROL!$C$32, 10.7629, 10.7582) * CHOOSE(CONTROL!$C$15, $D$11, 100%, $F$11)</f>
        <v>10.7629</v>
      </c>
      <c r="J433" s="4">
        <f>CHOOSE( CONTROL!$C$32, 10.6508, 10.6461) * CHOOSE(CONTROL!$C$15, $D$11, 100%, $F$11)</f>
        <v>10.6508</v>
      </c>
      <c r="K433" s="4"/>
      <c r="L433" s="9">
        <v>29.7257</v>
      </c>
      <c r="M433" s="9">
        <v>11.6745</v>
      </c>
      <c r="N433" s="9">
        <v>4.7850000000000001</v>
      </c>
      <c r="O433" s="9">
        <v>0.36199999999999999</v>
      </c>
      <c r="P433" s="9">
        <v>1.1791</v>
      </c>
      <c r="Q433" s="9">
        <v>19.486799999999999</v>
      </c>
      <c r="R433" s="9"/>
      <c r="S433" s="11"/>
    </row>
    <row r="434" spans="1:19" ht="15.75">
      <c r="A434" s="13">
        <v>54727</v>
      </c>
      <c r="B434" s="8">
        <f>11.6099 * CHOOSE(CONTROL!$C$15, $D$11, 100%, $F$11)</f>
        <v>11.6099</v>
      </c>
      <c r="C434" s="8">
        <f>11.6153 * CHOOSE(CONTROL!$C$15, $D$11, 100%, $F$11)</f>
        <v>11.6153</v>
      </c>
      <c r="D434" s="8">
        <f>11.6418 * CHOOSE( CONTROL!$C$15, $D$11, 100%, $F$11)</f>
        <v>11.6418</v>
      </c>
      <c r="E434" s="12">
        <f>11.6325 * CHOOSE( CONTROL!$C$15, $D$11, 100%, $F$11)</f>
        <v>11.6325</v>
      </c>
      <c r="F434" s="4">
        <f>12.3094 * CHOOSE(CONTROL!$C$15, $D$11, 100%, $F$11)</f>
        <v>12.3094</v>
      </c>
      <c r="G434" s="8">
        <f>11.3275 * CHOOSE( CONTROL!$C$15, $D$11, 100%, $F$11)</f>
        <v>11.327500000000001</v>
      </c>
      <c r="H434" s="4">
        <f>12.2574 * CHOOSE(CONTROL!$C$15, $D$11, 100%, $F$11)</f>
        <v>12.257400000000001</v>
      </c>
      <c r="I434" s="8">
        <f>11.2321 * CHOOSE(CONTROL!$C$15, $D$11, 100%, $F$11)</f>
        <v>11.232100000000001</v>
      </c>
      <c r="J434" s="4">
        <f>11.1191 * CHOOSE(CONTROL!$C$15, $D$11, 100%, $F$11)</f>
        <v>11.1191</v>
      </c>
      <c r="K434" s="4"/>
      <c r="L434" s="9">
        <v>31.095300000000002</v>
      </c>
      <c r="M434" s="9">
        <v>12.063700000000001</v>
      </c>
      <c r="N434" s="9">
        <v>4.9444999999999997</v>
      </c>
      <c r="O434" s="9">
        <v>0.37409999999999999</v>
      </c>
      <c r="P434" s="9">
        <v>1.2183999999999999</v>
      </c>
      <c r="Q434" s="9">
        <v>20.136399999999998</v>
      </c>
      <c r="R434" s="9"/>
      <c r="S434" s="11"/>
    </row>
    <row r="435" spans="1:19" ht="15.75">
      <c r="A435" s="13">
        <v>54757</v>
      </c>
      <c r="B435" s="8">
        <f>12.5187 * CHOOSE(CONTROL!$C$15, $D$11, 100%, $F$11)</f>
        <v>12.518700000000001</v>
      </c>
      <c r="C435" s="8">
        <f>12.5239 * CHOOSE(CONTROL!$C$15, $D$11, 100%, $F$11)</f>
        <v>12.523899999999999</v>
      </c>
      <c r="D435" s="8">
        <f>12.5131 * CHOOSE( CONTROL!$C$15, $D$11, 100%, $F$11)</f>
        <v>12.5131</v>
      </c>
      <c r="E435" s="12">
        <f>12.5165 * CHOOSE( CONTROL!$C$15, $D$11, 100%, $F$11)</f>
        <v>12.516500000000001</v>
      </c>
      <c r="F435" s="4">
        <f>13.1676 * CHOOSE(CONTROL!$C$15, $D$11, 100%, $F$11)</f>
        <v>13.1676</v>
      </c>
      <c r="G435" s="8">
        <f>12.2201 * CHOOSE( CONTROL!$C$15, $D$11, 100%, $F$11)</f>
        <v>12.2201</v>
      </c>
      <c r="H435" s="4">
        <f>13.0956 * CHOOSE(CONTROL!$C$15, $D$11, 100%, $F$11)</f>
        <v>13.095599999999999</v>
      </c>
      <c r="I435" s="8">
        <f>12.1311 * CHOOSE(CONTROL!$C$15, $D$11, 100%, $F$11)</f>
        <v>12.1311</v>
      </c>
      <c r="J435" s="4">
        <f>11.992 * CHOOSE(CONTROL!$C$15, $D$11, 100%, $F$11)</f>
        <v>11.992000000000001</v>
      </c>
      <c r="K435" s="4"/>
      <c r="L435" s="9">
        <v>28.360600000000002</v>
      </c>
      <c r="M435" s="9">
        <v>11.6745</v>
      </c>
      <c r="N435" s="9">
        <v>4.7850000000000001</v>
      </c>
      <c r="O435" s="9">
        <v>0.36199999999999999</v>
      </c>
      <c r="P435" s="9">
        <v>1.2509999999999999</v>
      </c>
      <c r="Q435" s="9">
        <v>19.486799999999999</v>
      </c>
      <c r="R435" s="9"/>
      <c r="S435" s="11"/>
    </row>
    <row r="436" spans="1:19" ht="15.75">
      <c r="A436" s="13">
        <v>54788</v>
      </c>
      <c r="B436" s="8">
        <f>12.496 * CHOOSE(CONTROL!$C$15, $D$11, 100%, $F$11)</f>
        <v>12.496</v>
      </c>
      <c r="C436" s="8">
        <f>12.5012 * CHOOSE(CONTROL!$C$15, $D$11, 100%, $F$11)</f>
        <v>12.501200000000001</v>
      </c>
      <c r="D436" s="8">
        <f>12.4918 * CHOOSE( CONTROL!$C$15, $D$11, 100%, $F$11)</f>
        <v>12.4918</v>
      </c>
      <c r="E436" s="12">
        <f>12.4947 * CHOOSE( CONTROL!$C$15, $D$11, 100%, $F$11)</f>
        <v>12.4947</v>
      </c>
      <c r="F436" s="4">
        <f>13.1449 * CHOOSE(CONTROL!$C$15, $D$11, 100%, $F$11)</f>
        <v>13.1449</v>
      </c>
      <c r="G436" s="8">
        <f>12.1989 * CHOOSE( CONTROL!$C$15, $D$11, 100%, $F$11)</f>
        <v>12.1989</v>
      </c>
      <c r="H436" s="4">
        <f>13.0734 * CHOOSE(CONTROL!$C$15, $D$11, 100%, $F$11)</f>
        <v>13.073399999999999</v>
      </c>
      <c r="I436" s="8">
        <f>12.1136 * CHOOSE(CONTROL!$C$15, $D$11, 100%, $F$11)</f>
        <v>12.1136</v>
      </c>
      <c r="J436" s="4">
        <f>11.9702 * CHOOSE(CONTROL!$C$15, $D$11, 100%, $F$11)</f>
        <v>11.9702</v>
      </c>
      <c r="K436" s="4"/>
      <c r="L436" s="9">
        <v>29.306000000000001</v>
      </c>
      <c r="M436" s="9">
        <v>12.063700000000001</v>
      </c>
      <c r="N436" s="9">
        <v>4.9444999999999997</v>
      </c>
      <c r="O436" s="9">
        <v>0.37409999999999999</v>
      </c>
      <c r="P436" s="9">
        <v>1.2927</v>
      </c>
      <c r="Q436" s="9">
        <v>20.136399999999998</v>
      </c>
      <c r="R436" s="9"/>
      <c r="S436" s="11"/>
    </row>
    <row r="437" spans="1:19" ht="15.75">
      <c r="A437" s="13">
        <v>54819</v>
      </c>
      <c r="B437" s="8">
        <f>12.9725 * CHOOSE(CONTROL!$C$15, $D$11, 100%, $F$11)</f>
        <v>12.9725</v>
      </c>
      <c r="C437" s="8">
        <f>12.9777 * CHOOSE(CONTROL!$C$15, $D$11, 100%, $F$11)</f>
        <v>12.9777</v>
      </c>
      <c r="D437" s="8">
        <f>12.9642 * CHOOSE( CONTROL!$C$15, $D$11, 100%, $F$11)</f>
        <v>12.9642</v>
      </c>
      <c r="E437" s="12">
        <f>12.9686 * CHOOSE( CONTROL!$C$15, $D$11, 100%, $F$11)</f>
        <v>12.9686</v>
      </c>
      <c r="F437" s="4">
        <f>13.6214 * CHOOSE(CONTROL!$C$15, $D$11, 100%, $F$11)</f>
        <v>13.6214</v>
      </c>
      <c r="G437" s="8">
        <f>12.6581 * CHOOSE( CONTROL!$C$15, $D$11, 100%, $F$11)</f>
        <v>12.658099999999999</v>
      </c>
      <c r="H437" s="4">
        <f>13.5388 * CHOOSE(CONTROL!$C$15, $D$11, 100%, $F$11)</f>
        <v>13.5388</v>
      </c>
      <c r="I437" s="8">
        <f>12.5476 * CHOOSE(CONTROL!$C$15, $D$11, 100%, $F$11)</f>
        <v>12.547599999999999</v>
      </c>
      <c r="J437" s="4">
        <f>12.4277 * CHOOSE(CONTROL!$C$15, $D$11, 100%, $F$11)</f>
        <v>12.4277</v>
      </c>
      <c r="K437" s="4"/>
      <c r="L437" s="9">
        <v>29.306000000000001</v>
      </c>
      <c r="M437" s="9">
        <v>12.063700000000001</v>
      </c>
      <c r="N437" s="9">
        <v>4.9444999999999997</v>
      </c>
      <c r="O437" s="9">
        <v>0.37409999999999999</v>
      </c>
      <c r="P437" s="9">
        <v>1.2927</v>
      </c>
      <c r="Q437" s="9">
        <v>20.071300000000001</v>
      </c>
      <c r="R437" s="9"/>
      <c r="S437" s="11"/>
    </row>
    <row r="438" spans="1:19" ht="15.75">
      <c r="A438" s="13">
        <v>54847</v>
      </c>
      <c r="B438" s="8">
        <f>12.1357 * CHOOSE(CONTROL!$C$15, $D$11, 100%, $F$11)</f>
        <v>12.1357</v>
      </c>
      <c r="C438" s="8">
        <f>12.1409 * CHOOSE(CONTROL!$C$15, $D$11, 100%, $F$11)</f>
        <v>12.1409</v>
      </c>
      <c r="D438" s="8">
        <f>12.1273 * CHOOSE( CONTROL!$C$15, $D$11, 100%, $F$11)</f>
        <v>12.1273</v>
      </c>
      <c r="E438" s="12">
        <f>12.1317 * CHOOSE( CONTROL!$C$15, $D$11, 100%, $F$11)</f>
        <v>12.1317</v>
      </c>
      <c r="F438" s="4">
        <f>12.7846 * CHOOSE(CONTROL!$C$15, $D$11, 100%, $F$11)</f>
        <v>12.784599999999999</v>
      </c>
      <c r="G438" s="8">
        <f>11.8407 * CHOOSE( CONTROL!$C$15, $D$11, 100%, $F$11)</f>
        <v>11.8407</v>
      </c>
      <c r="H438" s="4">
        <f>12.7215 * CHOOSE(CONTROL!$C$15, $D$11, 100%, $F$11)</f>
        <v>12.721500000000001</v>
      </c>
      <c r="I438" s="8">
        <f>11.7438 * CHOOSE(CONTROL!$C$15, $D$11, 100%, $F$11)</f>
        <v>11.7438</v>
      </c>
      <c r="J438" s="4">
        <f>11.6243 * CHOOSE(CONTROL!$C$15, $D$11, 100%, $F$11)</f>
        <v>11.6243</v>
      </c>
      <c r="K438" s="4"/>
      <c r="L438" s="9">
        <v>26.469899999999999</v>
      </c>
      <c r="M438" s="9">
        <v>10.8962</v>
      </c>
      <c r="N438" s="9">
        <v>4.4660000000000002</v>
      </c>
      <c r="O438" s="9">
        <v>0.33789999999999998</v>
      </c>
      <c r="P438" s="9">
        <v>1.1676</v>
      </c>
      <c r="Q438" s="9">
        <v>18.128900000000002</v>
      </c>
      <c r="R438" s="9"/>
      <c r="S438" s="11"/>
    </row>
    <row r="439" spans="1:19" ht="15.75">
      <c r="A439" s="13">
        <v>54878</v>
      </c>
      <c r="B439" s="8">
        <f>11.8779 * CHOOSE(CONTROL!$C$15, $D$11, 100%, $F$11)</f>
        <v>11.8779</v>
      </c>
      <c r="C439" s="8">
        <f>11.8831 * CHOOSE(CONTROL!$C$15, $D$11, 100%, $F$11)</f>
        <v>11.883100000000001</v>
      </c>
      <c r="D439" s="8">
        <f>11.8693 * CHOOSE( CONTROL!$C$15, $D$11, 100%, $F$11)</f>
        <v>11.869300000000001</v>
      </c>
      <c r="E439" s="12">
        <f>11.8738 * CHOOSE( CONTROL!$C$15, $D$11, 100%, $F$11)</f>
        <v>11.873799999999999</v>
      </c>
      <c r="F439" s="4">
        <f>12.5268 * CHOOSE(CONTROL!$C$15, $D$11, 100%, $F$11)</f>
        <v>12.5268</v>
      </c>
      <c r="G439" s="8">
        <f>11.5888 * CHOOSE( CONTROL!$C$15, $D$11, 100%, $F$11)</f>
        <v>11.588800000000001</v>
      </c>
      <c r="H439" s="4">
        <f>12.4698 * CHOOSE(CONTROL!$C$15, $D$11, 100%, $F$11)</f>
        <v>12.469799999999999</v>
      </c>
      <c r="I439" s="8">
        <f>11.4952 * CHOOSE(CONTROL!$C$15, $D$11, 100%, $F$11)</f>
        <v>11.495200000000001</v>
      </c>
      <c r="J439" s="4">
        <f>11.3768 * CHOOSE(CONTROL!$C$15, $D$11, 100%, $F$11)</f>
        <v>11.376799999999999</v>
      </c>
      <c r="K439" s="4"/>
      <c r="L439" s="9">
        <v>29.306000000000001</v>
      </c>
      <c r="M439" s="9">
        <v>12.063700000000001</v>
      </c>
      <c r="N439" s="9">
        <v>4.9444999999999997</v>
      </c>
      <c r="O439" s="9">
        <v>0.37409999999999999</v>
      </c>
      <c r="P439" s="9">
        <v>1.2927</v>
      </c>
      <c r="Q439" s="9">
        <v>20.071300000000001</v>
      </c>
      <c r="R439" s="9"/>
      <c r="S439" s="11"/>
    </row>
    <row r="440" spans="1:19" ht="15.75">
      <c r="A440" s="13">
        <v>54908</v>
      </c>
      <c r="B440" s="8">
        <f>12.0588 * CHOOSE(CONTROL!$C$15, $D$11, 100%, $F$11)</f>
        <v>12.0588</v>
      </c>
      <c r="C440" s="8">
        <f>12.0634 * CHOOSE(CONTROL!$C$15, $D$11, 100%, $F$11)</f>
        <v>12.0634</v>
      </c>
      <c r="D440" s="8">
        <f>12.0897 * CHOOSE( CONTROL!$C$15, $D$11, 100%, $F$11)</f>
        <v>12.089700000000001</v>
      </c>
      <c r="E440" s="12">
        <f>12.0805 * CHOOSE( CONTROL!$C$15, $D$11, 100%, $F$11)</f>
        <v>12.080500000000001</v>
      </c>
      <c r="F440" s="4">
        <f>12.758 * CHOOSE(CONTROL!$C$15, $D$11, 100%, $F$11)</f>
        <v>12.757999999999999</v>
      </c>
      <c r="G440" s="8">
        <f>11.7647 * CHOOSE( CONTROL!$C$15, $D$11, 100%, $F$11)</f>
        <v>11.764699999999999</v>
      </c>
      <c r="H440" s="4">
        <f>12.6955 * CHOOSE(CONTROL!$C$15, $D$11, 100%, $F$11)</f>
        <v>12.695499999999999</v>
      </c>
      <c r="I440" s="8">
        <f>11.6601 * CHOOSE(CONTROL!$C$15, $D$11, 100%, $F$11)</f>
        <v>11.6601</v>
      </c>
      <c r="J440" s="4">
        <f>11.5497 * CHOOSE(CONTROL!$C$15, $D$11, 100%, $F$11)</f>
        <v>11.5497</v>
      </c>
      <c r="K440" s="4"/>
      <c r="L440" s="9">
        <v>30.092199999999998</v>
      </c>
      <c r="M440" s="9">
        <v>11.6745</v>
      </c>
      <c r="N440" s="9">
        <v>4.7850000000000001</v>
      </c>
      <c r="O440" s="9">
        <v>0.36199999999999999</v>
      </c>
      <c r="P440" s="9">
        <v>1.1791</v>
      </c>
      <c r="Q440" s="9">
        <v>19.4238</v>
      </c>
      <c r="R440" s="9"/>
      <c r="S440" s="11"/>
    </row>
    <row r="441" spans="1:19" ht="15.75">
      <c r="A441" s="13">
        <v>54939</v>
      </c>
      <c r="B441" s="8">
        <f>CHOOSE( CONTROL!$C$32, 12.3855, 12.3807) * CHOOSE(CONTROL!$C$15, $D$11, 100%, $F$11)</f>
        <v>12.3855</v>
      </c>
      <c r="C441" s="8">
        <f>CHOOSE( CONTROL!$C$32, 12.3936, 12.3888) * CHOOSE(CONTROL!$C$15, $D$11, 100%, $F$11)</f>
        <v>12.393599999999999</v>
      </c>
      <c r="D441" s="8">
        <f>CHOOSE( CONTROL!$C$32, 12.4149, 12.4101) * CHOOSE( CONTROL!$C$15, $D$11, 100%, $F$11)</f>
        <v>12.414899999999999</v>
      </c>
      <c r="E441" s="12">
        <f>CHOOSE( CONTROL!$C$32, 12.4059, 12.4011) * CHOOSE( CONTROL!$C$15, $D$11, 100%, $F$11)</f>
        <v>12.405900000000001</v>
      </c>
      <c r="F441" s="4">
        <f>CHOOSE( CONTROL!$C$32, 13.0834, 13.0785) * CHOOSE(CONTROL!$C$15, $D$11, 100%, $F$11)</f>
        <v>13.083399999999999</v>
      </c>
      <c r="G441" s="8">
        <f>CHOOSE( CONTROL!$C$32, 12.0835, 12.0788) * CHOOSE( CONTROL!$C$15, $D$11, 100%, $F$11)</f>
        <v>12.083500000000001</v>
      </c>
      <c r="H441" s="4">
        <f>CHOOSE( CONTROL!$C$32, 13.0133, 13.0086) * CHOOSE(CONTROL!$C$15, $D$11, 100%, $F$11)</f>
        <v>13.013299999999999</v>
      </c>
      <c r="I441" s="8">
        <f>CHOOSE( CONTROL!$C$32, 11.9726, 11.9679) * CHOOSE(CONTROL!$C$15, $D$11, 100%, $F$11)</f>
        <v>11.9726</v>
      </c>
      <c r="J441" s="4">
        <f>CHOOSE( CONTROL!$C$32, 11.8621, 11.8575) * CHOOSE(CONTROL!$C$15, $D$11, 100%, $F$11)</f>
        <v>11.8621</v>
      </c>
      <c r="K441" s="4"/>
      <c r="L441" s="9">
        <v>30.7165</v>
      </c>
      <c r="M441" s="9">
        <v>12.063700000000001</v>
      </c>
      <c r="N441" s="9">
        <v>4.9444999999999997</v>
      </c>
      <c r="O441" s="9">
        <v>0.37409999999999999</v>
      </c>
      <c r="P441" s="9">
        <v>1.2183999999999999</v>
      </c>
      <c r="Q441" s="9">
        <v>20.071300000000001</v>
      </c>
      <c r="R441" s="9"/>
      <c r="S441" s="11"/>
    </row>
    <row r="442" spans="1:19" ht="15.75">
      <c r="A442" s="13">
        <v>54969</v>
      </c>
      <c r="B442" s="8">
        <f>CHOOSE( CONTROL!$C$32, 12.187, 12.1821) * CHOOSE(CONTROL!$C$15, $D$11, 100%, $F$11)</f>
        <v>12.186999999999999</v>
      </c>
      <c r="C442" s="8">
        <f>CHOOSE( CONTROL!$C$32, 12.1951, 12.1902) * CHOOSE(CONTROL!$C$15, $D$11, 100%, $F$11)</f>
        <v>12.1951</v>
      </c>
      <c r="D442" s="8">
        <f>CHOOSE( CONTROL!$C$32, 12.2166, 12.2117) * CHOOSE( CONTROL!$C$15, $D$11, 100%, $F$11)</f>
        <v>12.2166</v>
      </c>
      <c r="E442" s="12">
        <f>CHOOSE( CONTROL!$C$32, 12.2076, 12.2027) * CHOOSE( CONTROL!$C$15, $D$11, 100%, $F$11)</f>
        <v>12.207599999999999</v>
      </c>
      <c r="F442" s="4">
        <f>CHOOSE( CONTROL!$C$32, 12.8848, 12.88) * CHOOSE(CONTROL!$C$15, $D$11, 100%, $F$11)</f>
        <v>12.8848</v>
      </c>
      <c r="G442" s="8">
        <f>CHOOSE( CONTROL!$C$32, 11.8898, 11.8851) * CHOOSE( CONTROL!$C$15, $D$11, 100%, $F$11)</f>
        <v>11.889799999999999</v>
      </c>
      <c r="H442" s="4">
        <f>CHOOSE( CONTROL!$C$32, 12.8194, 12.8147) * CHOOSE(CONTROL!$C$15, $D$11, 100%, $F$11)</f>
        <v>12.8194</v>
      </c>
      <c r="I442" s="8">
        <f>CHOOSE( CONTROL!$C$32, 11.7828, 11.7781) * CHOOSE(CONTROL!$C$15, $D$11, 100%, $F$11)</f>
        <v>11.7828</v>
      </c>
      <c r="J442" s="4">
        <f>CHOOSE( CONTROL!$C$32, 11.6715, 11.6669) * CHOOSE(CONTROL!$C$15, $D$11, 100%, $F$11)</f>
        <v>11.6715</v>
      </c>
      <c r="K442" s="4"/>
      <c r="L442" s="9">
        <v>29.7257</v>
      </c>
      <c r="M442" s="9">
        <v>11.6745</v>
      </c>
      <c r="N442" s="9">
        <v>4.7850000000000001</v>
      </c>
      <c r="O442" s="9">
        <v>0.36199999999999999</v>
      </c>
      <c r="P442" s="9">
        <v>1.1791</v>
      </c>
      <c r="Q442" s="9">
        <v>19.4238</v>
      </c>
      <c r="R442" s="9"/>
      <c r="S442" s="11"/>
    </row>
    <row r="443" spans="1:19" ht="15.75">
      <c r="A443" s="13">
        <v>55000</v>
      </c>
      <c r="B443" s="8">
        <f>CHOOSE( CONTROL!$C$32, 12.7099, 12.705) * CHOOSE(CONTROL!$C$15, $D$11, 100%, $F$11)</f>
        <v>12.709899999999999</v>
      </c>
      <c r="C443" s="8">
        <f>CHOOSE( CONTROL!$C$32, 12.718, 12.7131) * CHOOSE(CONTROL!$C$15, $D$11, 100%, $F$11)</f>
        <v>12.718</v>
      </c>
      <c r="D443" s="8">
        <f>CHOOSE( CONTROL!$C$32, 12.7397, 12.7349) * CHOOSE( CONTROL!$C$15, $D$11, 100%, $F$11)</f>
        <v>12.739699999999999</v>
      </c>
      <c r="E443" s="12">
        <f>CHOOSE( CONTROL!$C$32, 12.7306, 12.7258) * CHOOSE( CONTROL!$C$15, $D$11, 100%, $F$11)</f>
        <v>12.730600000000001</v>
      </c>
      <c r="F443" s="4">
        <f>CHOOSE( CONTROL!$C$32, 13.4077, 13.4028) * CHOOSE(CONTROL!$C$15, $D$11, 100%, $F$11)</f>
        <v>13.4077</v>
      </c>
      <c r="G443" s="8">
        <f>CHOOSE( CONTROL!$C$32, 12.4009, 12.3962) * CHOOSE( CONTROL!$C$15, $D$11, 100%, $F$11)</f>
        <v>12.4009</v>
      </c>
      <c r="H443" s="4">
        <f>CHOOSE( CONTROL!$C$32, 13.3301, 13.3254) * CHOOSE(CONTROL!$C$15, $D$11, 100%, $F$11)</f>
        <v>13.3301</v>
      </c>
      <c r="I443" s="8">
        <f>CHOOSE( CONTROL!$C$32, 12.2862, 12.2815) * CHOOSE(CONTROL!$C$15, $D$11, 100%, $F$11)</f>
        <v>12.286199999999999</v>
      </c>
      <c r="J443" s="4">
        <f>CHOOSE( CONTROL!$C$32, 12.1735, 12.1689) * CHOOSE(CONTROL!$C$15, $D$11, 100%, $F$11)</f>
        <v>12.173500000000001</v>
      </c>
      <c r="K443" s="4"/>
      <c r="L443" s="9">
        <v>30.7165</v>
      </c>
      <c r="M443" s="9">
        <v>12.063700000000001</v>
      </c>
      <c r="N443" s="9">
        <v>4.9444999999999997</v>
      </c>
      <c r="O443" s="9">
        <v>0.37409999999999999</v>
      </c>
      <c r="P443" s="9">
        <v>1.2183999999999999</v>
      </c>
      <c r="Q443" s="9">
        <v>20.071300000000001</v>
      </c>
      <c r="R443" s="9"/>
      <c r="S443" s="11"/>
    </row>
    <row r="444" spans="1:19" ht="15.75">
      <c r="A444" s="13">
        <v>55031</v>
      </c>
      <c r="B444" s="8">
        <f>CHOOSE( CONTROL!$C$32, 11.7315, 11.7267) * CHOOSE(CONTROL!$C$15, $D$11, 100%, $F$11)</f>
        <v>11.7315</v>
      </c>
      <c r="C444" s="8">
        <f>CHOOSE( CONTROL!$C$32, 11.7396, 11.7347) * CHOOSE(CONTROL!$C$15, $D$11, 100%, $F$11)</f>
        <v>11.739599999999999</v>
      </c>
      <c r="D444" s="8">
        <f>CHOOSE( CONTROL!$C$32, 11.7614, 11.7565) * CHOOSE( CONTROL!$C$15, $D$11, 100%, $F$11)</f>
        <v>11.7614</v>
      </c>
      <c r="E444" s="12">
        <f>CHOOSE( CONTROL!$C$32, 11.7523, 11.7474) * CHOOSE( CONTROL!$C$15, $D$11, 100%, $F$11)</f>
        <v>11.7523</v>
      </c>
      <c r="F444" s="4">
        <f>CHOOSE( CONTROL!$C$32, 12.4293, 12.4245) * CHOOSE(CONTROL!$C$15, $D$11, 100%, $F$11)</f>
        <v>12.4293</v>
      </c>
      <c r="G444" s="8">
        <f>CHOOSE( CONTROL!$C$32, 11.4454, 11.4407) * CHOOSE( CONTROL!$C$15, $D$11, 100%, $F$11)</f>
        <v>11.445399999999999</v>
      </c>
      <c r="H444" s="4">
        <f>CHOOSE( CONTROL!$C$32, 12.3745, 12.3698) * CHOOSE(CONTROL!$C$15, $D$11, 100%, $F$11)</f>
        <v>12.374499999999999</v>
      </c>
      <c r="I444" s="8">
        <f>CHOOSE( CONTROL!$C$32, 11.3466, 11.342) * CHOOSE(CONTROL!$C$15, $D$11, 100%, $F$11)</f>
        <v>11.3466</v>
      </c>
      <c r="J444" s="4">
        <f>CHOOSE( CONTROL!$C$32, 11.2342, 11.2295) * CHOOSE(CONTROL!$C$15, $D$11, 100%, $F$11)</f>
        <v>11.2342</v>
      </c>
      <c r="K444" s="4"/>
      <c r="L444" s="9">
        <v>30.7165</v>
      </c>
      <c r="M444" s="9">
        <v>12.063700000000001</v>
      </c>
      <c r="N444" s="9">
        <v>4.9444999999999997</v>
      </c>
      <c r="O444" s="9">
        <v>0.37409999999999999</v>
      </c>
      <c r="P444" s="9">
        <v>1.2183999999999999</v>
      </c>
      <c r="Q444" s="9">
        <v>20.071300000000001</v>
      </c>
      <c r="R444" s="9"/>
      <c r="S444" s="11"/>
    </row>
    <row r="445" spans="1:19" ht="15.75">
      <c r="A445" s="13">
        <v>55061</v>
      </c>
      <c r="B445" s="8">
        <f>CHOOSE( CONTROL!$C$32, 11.4865, 11.4817) * CHOOSE(CONTROL!$C$15, $D$11, 100%, $F$11)</f>
        <v>11.486499999999999</v>
      </c>
      <c r="C445" s="8">
        <f>CHOOSE( CONTROL!$C$32, 11.4946, 11.4897) * CHOOSE(CONTROL!$C$15, $D$11, 100%, $F$11)</f>
        <v>11.4946</v>
      </c>
      <c r="D445" s="8">
        <f>CHOOSE( CONTROL!$C$32, 11.5164, 11.5115) * CHOOSE( CONTROL!$C$15, $D$11, 100%, $F$11)</f>
        <v>11.516400000000001</v>
      </c>
      <c r="E445" s="12">
        <f>CHOOSE( CONTROL!$C$32, 11.5073, 11.5024) * CHOOSE( CONTROL!$C$15, $D$11, 100%, $F$11)</f>
        <v>11.507300000000001</v>
      </c>
      <c r="F445" s="4">
        <f>CHOOSE( CONTROL!$C$32, 12.1843, 12.1795) * CHOOSE(CONTROL!$C$15, $D$11, 100%, $F$11)</f>
        <v>12.1843</v>
      </c>
      <c r="G445" s="8">
        <f>CHOOSE( CONTROL!$C$32, 11.2061, 11.2013) * CHOOSE( CONTROL!$C$15, $D$11, 100%, $F$11)</f>
        <v>11.206099999999999</v>
      </c>
      <c r="H445" s="4">
        <f>CHOOSE( CONTROL!$C$32, 12.1352, 12.1305) * CHOOSE(CONTROL!$C$15, $D$11, 100%, $F$11)</f>
        <v>12.135199999999999</v>
      </c>
      <c r="I445" s="8">
        <f>CHOOSE( CONTROL!$C$32, 11.1112, 11.1066) * CHOOSE(CONTROL!$C$15, $D$11, 100%, $F$11)</f>
        <v>11.1112</v>
      </c>
      <c r="J445" s="4">
        <f>CHOOSE( CONTROL!$C$32, 10.999, 10.9943) * CHOOSE(CONTROL!$C$15, $D$11, 100%, $F$11)</f>
        <v>10.999000000000001</v>
      </c>
      <c r="K445" s="4"/>
      <c r="L445" s="9">
        <v>29.7257</v>
      </c>
      <c r="M445" s="9">
        <v>11.6745</v>
      </c>
      <c r="N445" s="9">
        <v>4.7850000000000001</v>
      </c>
      <c r="O445" s="9">
        <v>0.36199999999999999</v>
      </c>
      <c r="P445" s="9">
        <v>1.1791</v>
      </c>
      <c r="Q445" s="9">
        <v>19.4238</v>
      </c>
      <c r="R445" s="9"/>
      <c r="S445" s="11"/>
    </row>
    <row r="446" spans="1:19" ht="15.75">
      <c r="A446" s="13">
        <v>55092</v>
      </c>
      <c r="B446" s="8">
        <f>11.9886 * CHOOSE(CONTROL!$C$15, $D$11, 100%, $F$11)</f>
        <v>11.9886</v>
      </c>
      <c r="C446" s="8">
        <f>11.9941 * CHOOSE(CONTROL!$C$15, $D$11, 100%, $F$11)</f>
        <v>11.9941</v>
      </c>
      <c r="D446" s="8">
        <f>12.0205 * CHOOSE( CONTROL!$C$15, $D$11, 100%, $F$11)</f>
        <v>12.0205</v>
      </c>
      <c r="E446" s="12">
        <f>12.0112 * CHOOSE( CONTROL!$C$15, $D$11, 100%, $F$11)</f>
        <v>12.011200000000001</v>
      </c>
      <c r="F446" s="4">
        <f>12.6882 * CHOOSE(CONTROL!$C$15, $D$11, 100%, $F$11)</f>
        <v>12.6882</v>
      </c>
      <c r="G446" s="8">
        <f>11.6974 * CHOOSE( CONTROL!$C$15, $D$11, 100%, $F$11)</f>
        <v>11.6974</v>
      </c>
      <c r="H446" s="4">
        <f>12.6273 * CHOOSE(CONTROL!$C$15, $D$11, 100%, $F$11)</f>
        <v>12.6273</v>
      </c>
      <c r="I446" s="8">
        <f>11.596 * CHOOSE(CONTROL!$C$15, $D$11, 100%, $F$11)</f>
        <v>11.596</v>
      </c>
      <c r="J446" s="4">
        <f>11.4827 * CHOOSE(CONTROL!$C$15, $D$11, 100%, $F$11)</f>
        <v>11.482699999999999</v>
      </c>
      <c r="K446" s="4"/>
      <c r="L446" s="9">
        <v>31.095300000000002</v>
      </c>
      <c r="M446" s="9">
        <v>12.063700000000001</v>
      </c>
      <c r="N446" s="9">
        <v>4.9444999999999997</v>
      </c>
      <c r="O446" s="9">
        <v>0.37409999999999999</v>
      </c>
      <c r="P446" s="9">
        <v>1.2183999999999999</v>
      </c>
      <c r="Q446" s="9">
        <v>20.071300000000001</v>
      </c>
      <c r="R446" s="9"/>
      <c r="S446" s="11"/>
    </row>
    <row r="447" spans="1:19" ht="15.75">
      <c r="A447" s="13">
        <v>55122</v>
      </c>
      <c r="B447" s="8">
        <f>12.9272 * CHOOSE(CONTROL!$C$15, $D$11, 100%, $F$11)</f>
        <v>12.927199999999999</v>
      </c>
      <c r="C447" s="8">
        <f>12.9324 * CHOOSE(CONTROL!$C$15, $D$11, 100%, $F$11)</f>
        <v>12.932399999999999</v>
      </c>
      <c r="D447" s="8">
        <f>12.9216 * CHOOSE( CONTROL!$C$15, $D$11, 100%, $F$11)</f>
        <v>12.9216</v>
      </c>
      <c r="E447" s="12">
        <f>12.925 * CHOOSE( CONTROL!$C$15, $D$11, 100%, $F$11)</f>
        <v>12.925000000000001</v>
      </c>
      <c r="F447" s="4">
        <f>13.5761 * CHOOSE(CONTROL!$C$15, $D$11, 100%, $F$11)</f>
        <v>13.5761</v>
      </c>
      <c r="G447" s="8">
        <f>12.6191 * CHOOSE( CONTROL!$C$15, $D$11, 100%, $F$11)</f>
        <v>12.6191</v>
      </c>
      <c r="H447" s="4">
        <f>13.4946 * CHOOSE(CONTROL!$C$15, $D$11, 100%, $F$11)</f>
        <v>13.4946</v>
      </c>
      <c r="I447" s="8">
        <f>12.5235 * CHOOSE(CONTROL!$C$15, $D$11, 100%, $F$11)</f>
        <v>12.5235</v>
      </c>
      <c r="J447" s="4">
        <f>12.3842 * CHOOSE(CONTROL!$C$15, $D$11, 100%, $F$11)</f>
        <v>12.3842</v>
      </c>
      <c r="K447" s="4"/>
      <c r="L447" s="9">
        <v>28.360600000000002</v>
      </c>
      <c r="M447" s="9">
        <v>11.6745</v>
      </c>
      <c r="N447" s="9">
        <v>4.7850000000000001</v>
      </c>
      <c r="O447" s="9">
        <v>0.36199999999999999</v>
      </c>
      <c r="P447" s="9">
        <v>1.2509999999999999</v>
      </c>
      <c r="Q447" s="9">
        <v>19.4238</v>
      </c>
      <c r="R447" s="9"/>
      <c r="S447" s="11"/>
    </row>
    <row r="448" spans="1:19" ht="15.75">
      <c r="A448" s="13">
        <v>55153</v>
      </c>
      <c r="B448" s="8">
        <f>12.9037 * CHOOSE(CONTROL!$C$15, $D$11, 100%, $F$11)</f>
        <v>12.903700000000001</v>
      </c>
      <c r="C448" s="8">
        <f>12.9089 * CHOOSE(CONTROL!$C$15, $D$11, 100%, $F$11)</f>
        <v>12.908899999999999</v>
      </c>
      <c r="D448" s="8">
        <f>12.8995 * CHOOSE( CONTROL!$C$15, $D$11, 100%, $F$11)</f>
        <v>12.8995</v>
      </c>
      <c r="E448" s="12">
        <f>12.9024 * CHOOSE( CONTROL!$C$15, $D$11, 100%, $F$11)</f>
        <v>12.9024</v>
      </c>
      <c r="F448" s="4">
        <f>13.5526 * CHOOSE(CONTROL!$C$15, $D$11, 100%, $F$11)</f>
        <v>13.5526</v>
      </c>
      <c r="G448" s="8">
        <f>12.5972 * CHOOSE( CONTROL!$C$15, $D$11, 100%, $F$11)</f>
        <v>12.597200000000001</v>
      </c>
      <c r="H448" s="4">
        <f>13.4717 * CHOOSE(CONTROL!$C$15, $D$11, 100%, $F$11)</f>
        <v>13.4717</v>
      </c>
      <c r="I448" s="8">
        <f>12.5053 * CHOOSE(CONTROL!$C$15, $D$11, 100%, $F$11)</f>
        <v>12.5053</v>
      </c>
      <c r="J448" s="4">
        <f>12.3617 * CHOOSE(CONTROL!$C$15, $D$11, 100%, $F$11)</f>
        <v>12.361700000000001</v>
      </c>
      <c r="K448" s="4"/>
      <c r="L448" s="9">
        <v>29.306000000000001</v>
      </c>
      <c r="M448" s="9">
        <v>12.063700000000001</v>
      </c>
      <c r="N448" s="9">
        <v>4.9444999999999997</v>
      </c>
      <c r="O448" s="9">
        <v>0.37409999999999999</v>
      </c>
      <c r="P448" s="9">
        <v>1.2927</v>
      </c>
      <c r="Q448" s="9">
        <v>20.071300000000001</v>
      </c>
      <c r="R448" s="9"/>
      <c r="S448" s="11"/>
    </row>
    <row r="449" spans="1:19" ht="15.75">
      <c r="A449" s="13">
        <v>55184</v>
      </c>
      <c r="B449" s="8">
        <f>13.3958 * CHOOSE(CONTROL!$C$15, $D$11, 100%, $F$11)</f>
        <v>13.395799999999999</v>
      </c>
      <c r="C449" s="8">
        <f>13.401 * CHOOSE(CONTROL!$C$15, $D$11, 100%, $F$11)</f>
        <v>13.401</v>
      </c>
      <c r="D449" s="8">
        <f>13.3875 * CHOOSE( CONTROL!$C$15, $D$11, 100%, $F$11)</f>
        <v>13.387499999999999</v>
      </c>
      <c r="E449" s="12">
        <f>13.3919 * CHOOSE( CONTROL!$C$15, $D$11, 100%, $F$11)</f>
        <v>13.3919</v>
      </c>
      <c r="F449" s="4">
        <f>14.0447 * CHOOSE(CONTROL!$C$15, $D$11, 100%, $F$11)</f>
        <v>14.044700000000001</v>
      </c>
      <c r="G449" s="8">
        <f>13.0715 * CHOOSE( CONTROL!$C$15, $D$11, 100%, $F$11)</f>
        <v>13.0715</v>
      </c>
      <c r="H449" s="4">
        <f>13.9523 * CHOOSE(CONTROL!$C$15, $D$11, 100%, $F$11)</f>
        <v>13.952299999999999</v>
      </c>
      <c r="I449" s="8">
        <f>12.9543 * CHOOSE(CONTROL!$C$15, $D$11, 100%, $F$11)</f>
        <v>12.9543</v>
      </c>
      <c r="J449" s="4">
        <f>12.8341 * CHOOSE(CONTROL!$C$15, $D$11, 100%, $F$11)</f>
        <v>12.834099999999999</v>
      </c>
      <c r="K449" s="4"/>
      <c r="L449" s="9">
        <v>29.306000000000001</v>
      </c>
      <c r="M449" s="9">
        <v>12.063700000000001</v>
      </c>
      <c r="N449" s="9">
        <v>4.9444999999999997</v>
      </c>
      <c r="O449" s="9">
        <v>0.37409999999999999</v>
      </c>
      <c r="P449" s="9">
        <v>1.2927</v>
      </c>
      <c r="Q449" s="9">
        <v>20.007999999999999</v>
      </c>
      <c r="R449" s="9"/>
      <c r="S449" s="11"/>
    </row>
    <row r="450" spans="1:19" ht="15.75">
      <c r="A450" s="13">
        <v>55212</v>
      </c>
      <c r="B450" s="8">
        <f>12.5316 * CHOOSE(CONTROL!$C$15, $D$11, 100%, $F$11)</f>
        <v>12.531599999999999</v>
      </c>
      <c r="C450" s="8">
        <f>12.5368 * CHOOSE(CONTROL!$C$15, $D$11, 100%, $F$11)</f>
        <v>12.536799999999999</v>
      </c>
      <c r="D450" s="8">
        <f>12.5233 * CHOOSE( CONTROL!$C$15, $D$11, 100%, $F$11)</f>
        <v>12.523300000000001</v>
      </c>
      <c r="E450" s="12">
        <f>12.5277 * CHOOSE( CONTROL!$C$15, $D$11, 100%, $F$11)</f>
        <v>12.527699999999999</v>
      </c>
      <c r="F450" s="4">
        <f>13.1805 * CHOOSE(CONTROL!$C$15, $D$11, 100%, $F$11)</f>
        <v>13.1805</v>
      </c>
      <c r="G450" s="8">
        <f>12.2275 * CHOOSE( CONTROL!$C$15, $D$11, 100%, $F$11)</f>
        <v>12.227499999999999</v>
      </c>
      <c r="H450" s="4">
        <f>13.1082 * CHOOSE(CONTROL!$C$15, $D$11, 100%, $F$11)</f>
        <v>13.1082</v>
      </c>
      <c r="I450" s="8">
        <f>12.1241 * CHOOSE(CONTROL!$C$15, $D$11, 100%, $F$11)</f>
        <v>12.1241</v>
      </c>
      <c r="J450" s="4">
        <f>12.0044 * CHOOSE(CONTROL!$C$15, $D$11, 100%, $F$11)</f>
        <v>12.0044</v>
      </c>
      <c r="K450" s="4"/>
      <c r="L450" s="9">
        <v>26.469899999999999</v>
      </c>
      <c r="M450" s="9">
        <v>10.8962</v>
      </c>
      <c r="N450" s="9">
        <v>4.4660000000000002</v>
      </c>
      <c r="O450" s="9">
        <v>0.33789999999999998</v>
      </c>
      <c r="P450" s="9">
        <v>1.1676</v>
      </c>
      <c r="Q450" s="9">
        <v>18.0718</v>
      </c>
      <c r="R450" s="9"/>
      <c r="S450" s="11"/>
    </row>
    <row r="451" spans="1:19" ht="15.75">
      <c r="A451" s="13">
        <v>55243</v>
      </c>
      <c r="B451" s="8">
        <f>12.2655 * CHOOSE(CONTROL!$C$15, $D$11, 100%, $F$11)</f>
        <v>12.265499999999999</v>
      </c>
      <c r="C451" s="8">
        <f>12.2707 * CHOOSE(CONTROL!$C$15, $D$11, 100%, $F$11)</f>
        <v>12.2707</v>
      </c>
      <c r="D451" s="8">
        <f>12.2568 * CHOOSE( CONTROL!$C$15, $D$11, 100%, $F$11)</f>
        <v>12.2568</v>
      </c>
      <c r="E451" s="12">
        <f>12.2613 * CHOOSE( CONTROL!$C$15, $D$11, 100%, $F$11)</f>
        <v>12.2613</v>
      </c>
      <c r="F451" s="4">
        <f>12.9144 * CHOOSE(CONTROL!$C$15, $D$11, 100%, $F$11)</f>
        <v>12.914400000000001</v>
      </c>
      <c r="G451" s="8">
        <f>11.9673 * CHOOSE( CONTROL!$C$15, $D$11, 100%, $F$11)</f>
        <v>11.9673</v>
      </c>
      <c r="H451" s="4">
        <f>12.8483 * CHOOSE(CONTROL!$C$15, $D$11, 100%, $F$11)</f>
        <v>12.8483</v>
      </c>
      <c r="I451" s="8">
        <f>11.8675 * CHOOSE(CONTROL!$C$15, $D$11, 100%, $F$11)</f>
        <v>11.8675</v>
      </c>
      <c r="J451" s="4">
        <f>11.7489 * CHOOSE(CONTROL!$C$15, $D$11, 100%, $F$11)</f>
        <v>11.748900000000001</v>
      </c>
      <c r="K451" s="4"/>
      <c r="L451" s="9">
        <v>29.306000000000001</v>
      </c>
      <c r="M451" s="9">
        <v>12.063700000000001</v>
      </c>
      <c r="N451" s="9">
        <v>4.9444999999999997</v>
      </c>
      <c r="O451" s="9">
        <v>0.37409999999999999</v>
      </c>
      <c r="P451" s="9">
        <v>1.2927</v>
      </c>
      <c r="Q451" s="9">
        <v>20.007999999999999</v>
      </c>
      <c r="R451" s="9"/>
      <c r="S451" s="11"/>
    </row>
    <row r="452" spans="1:19" ht="15.75">
      <c r="A452" s="13">
        <v>55273</v>
      </c>
      <c r="B452" s="8">
        <f>12.4522 * CHOOSE(CONTROL!$C$15, $D$11, 100%, $F$11)</f>
        <v>12.452199999999999</v>
      </c>
      <c r="C452" s="8">
        <f>12.4568 * CHOOSE(CONTROL!$C$15, $D$11, 100%, $F$11)</f>
        <v>12.456799999999999</v>
      </c>
      <c r="D452" s="8">
        <f>12.4831 * CHOOSE( CONTROL!$C$15, $D$11, 100%, $F$11)</f>
        <v>12.4831</v>
      </c>
      <c r="E452" s="12">
        <f>12.4739 * CHOOSE( CONTROL!$C$15, $D$11, 100%, $F$11)</f>
        <v>12.4739</v>
      </c>
      <c r="F452" s="4">
        <f>13.1514 * CHOOSE(CONTROL!$C$15, $D$11, 100%, $F$11)</f>
        <v>13.151400000000001</v>
      </c>
      <c r="G452" s="8">
        <f>12.149 * CHOOSE( CONTROL!$C$15, $D$11, 100%, $F$11)</f>
        <v>12.148999999999999</v>
      </c>
      <c r="H452" s="4">
        <f>13.0798 * CHOOSE(CONTROL!$C$15, $D$11, 100%, $F$11)</f>
        <v>13.079800000000001</v>
      </c>
      <c r="I452" s="8">
        <f>12.038 * CHOOSE(CONTROL!$C$15, $D$11, 100%, $F$11)</f>
        <v>12.038</v>
      </c>
      <c r="J452" s="4">
        <f>11.9275 * CHOOSE(CONTROL!$C$15, $D$11, 100%, $F$11)</f>
        <v>11.9275</v>
      </c>
      <c r="K452" s="4"/>
      <c r="L452" s="9">
        <v>30.092199999999998</v>
      </c>
      <c r="M452" s="9">
        <v>11.6745</v>
      </c>
      <c r="N452" s="9">
        <v>4.7850000000000001</v>
      </c>
      <c r="O452" s="9">
        <v>0.36199999999999999</v>
      </c>
      <c r="P452" s="9">
        <v>1.1791</v>
      </c>
      <c r="Q452" s="9">
        <v>19.3626</v>
      </c>
      <c r="R452" s="9"/>
      <c r="S452" s="11"/>
    </row>
    <row r="453" spans="1:19" ht="15.75">
      <c r="A453" s="13">
        <v>55304</v>
      </c>
      <c r="B453" s="8">
        <f>CHOOSE( CONTROL!$C$32, 12.7894, 12.7846) * CHOOSE(CONTROL!$C$15, $D$11, 100%, $F$11)</f>
        <v>12.789400000000001</v>
      </c>
      <c r="C453" s="8">
        <f>CHOOSE( CONTROL!$C$32, 12.7975, 12.7927) * CHOOSE(CONTROL!$C$15, $D$11, 100%, $F$11)</f>
        <v>12.797499999999999</v>
      </c>
      <c r="D453" s="8">
        <f>CHOOSE( CONTROL!$C$32, 12.8188, 12.814) * CHOOSE( CONTROL!$C$15, $D$11, 100%, $F$11)</f>
        <v>12.8188</v>
      </c>
      <c r="E453" s="12">
        <f>CHOOSE( CONTROL!$C$32, 12.8098, 12.805) * CHOOSE( CONTROL!$C$15, $D$11, 100%, $F$11)</f>
        <v>12.809799999999999</v>
      </c>
      <c r="F453" s="4">
        <f>CHOOSE( CONTROL!$C$32, 13.4873, 13.4824) * CHOOSE(CONTROL!$C$15, $D$11, 100%, $F$11)</f>
        <v>13.487299999999999</v>
      </c>
      <c r="G453" s="8">
        <f>CHOOSE( CONTROL!$C$32, 12.478, 12.4732) * CHOOSE( CONTROL!$C$15, $D$11, 100%, $F$11)</f>
        <v>12.478</v>
      </c>
      <c r="H453" s="4">
        <f>CHOOSE( CONTROL!$C$32, 13.4078, 13.4031) * CHOOSE(CONTROL!$C$15, $D$11, 100%, $F$11)</f>
        <v>13.4078</v>
      </c>
      <c r="I453" s="8">
        <f>CHOOSE( CONTROL!$C$32, 12.3605, 12.3559) * CHOOSE(CONTROL!$C$15, $D$11, 100%, $F$11)</f>
        <v>12.3605</v>
      </c>
      <c r="J453" s="4">
        <f>CHOOSE( CONTROL!$C$32, 12.2499, 12.2453) * CHOOSE(CONTROL!$C$15, $D$11, 100%, $F$11)</f>
        <v>12.2499</v>
      </c>
      <c r="K453" s="4"/>
      <c r="L453" s="9">
        <v>30.7165</v>
      </c>
      <c r="M453" s="9">
        <v>12.063700000000001</v>
      </c>
      <c r="N453" s="9">
        <v>4.9444999999999997</v>
      </c>
      <c r="O453" s="9">
        <v>0.37409999999999999</v>
      </c>
      <c r="P453" s="9">
        <v>1.2183999999999999</v>
      </c>
      <c r="Q453" s="9">
        <v>20.007999999999999</v>
      </c>
      <c r="R453" s="9"/>
      <c r="S453" s="11"/>
    </row>
    <row r="454" spans="1:19" ht="15.75">
      <c r="A454" s="13">
        <v>55334</v>
      </c>
      <c r="B454" s="8">
        <f>CHOOSE( CONTROL!$C$32, 12.5844, 12.5796) * CHOOSE(CONTROL!$C$15, $D$11, 100%, $F$11)</f>
        <v>12.5844</v>
      </c>
      <c r="C454" s="8">
        <f>CHOOSE( CONTROL!$C$32, 12.5925, 12.5876) * CHOOSE(CONTROL!$C$15, $D$11, 100%, $F$11)</f>
        <v>12.592499999999999</v>
      </c>
      <c r="D454" s="8">
        <f>CHOOSE( CONTROL!$C$32, 12.614, 12.6091) * CHOOSE( CONTROL!$C$15, $D$11, 100%, $F$11)</f>
        <v>12.614000000000001</v>
      </c>
      <c r="E454" s="12">
        <f>CHOOSE( CONTROL!$C$32, 12.605, 12.6001) * CHOOSE( CONTROL!$C$15, $D$11, 100%, $F$11)</f>
        <v>12.605</v>
      </c>
      <c r="F454" s="4">
        <f>CHOOSE( CONTROL!$C$32, 13.2822, 13.2774) * CHOOSE(CONTROL!$C$15, $D$11, 100%, $F$11)</f>
        <v>13.2822</v>
      </c>
      <c r="G454" s="8">
        <f>CHOOSE( CONTROL!$C$32, 12.278, 12.2733) * CHOOSE( CONTROL!$C$15, $D$11, 100%, $F$11)</f>
        <v>12.278</v>
      </c>
      <c r="H454" s="4">
        <f>CHOOSE( CONTROL!$C$32, 13.2075, 13.2028) * CHOOSE(CONTROL!$C$15, $D$11, 100%, $F$11)</f>
        <v>13.2075</v>
      </c>
      <c r="I454" s="8">
        <f>CHOOSE( CONTROL!$C$32, 12.1645, 12.1599) * CHOOSE(CONTROL!$C$15, $D$11, 100%, $F$11)</f>
        <v>12.1645</v>
      </c>
      <c r="J454" s="4">
        <f>CHOOSE( CONTROL!$C$32, 12.053, 12.0484) * CHOOSE(CONTROL!$C$15, $D$11, 100%, $F$11)</f>
        <v>12.053000000000001</v>
      </c>
      <c r="K454" s="4"/>
      <c r="L454" s="9">
        <v>29.7257</v>
      </c>
      <c r="M454" s="9">
        <v>11.6745</v>
      </c>
      <c r="N454" s="9">
        <v>4.7850000000000001</v>
      </c>
      <c r="O454" s="9">
        <v>0.36199999999999999</v>
      </c>
      <c r="P454" s="9">
        <v>1.1791</v>
      </c>
      <c r="Q454" s="9">
        <v>19.3626</v>
      </c>
      <c r="R454" s="9"/>
      <c r="S454" s="11"/>
    </row>
    <row r="455" spans="1:19" ht="15.75">
      <c r="A455" s="13">
        <v>55365</v>
      </c>
      <c r="B455" s="8">
        <f>CHOOSE( CONTROL!$C$32, 13.1244, 13.1195) * CHOOSE(CONTROL!$C$15, $D$11, 100%, $F$11)</f>
        <v>13.1244</v>
      </c>
      <c r="C455" s="8">
        <f>CHOOSE( CONTROL!$C$32, 13.1325, 13.1276) * CHOOSE(CONTROL!$C$15, $D$11, 100%, $F$11)</f>
        <v>13.1325</v>
      </c>
      <c r="D455" s="8">
        <f>CHOOSE( CONTROL!$C$32, 13.1542, 13.1494) * CHOOSE( CONTROL!$C$15, $D$11, 100%, $F$11)</f>
        <v>13.154199999999999</v>
      </c>
      <c r="E455" s="12">
        <f>CHOOSE( CONTROL!$C$32, 13.1451, 13.1403) * CHOOSE( CONTROL!$C$15, $D$11, 100%, $F$11)</f>
        <v>13.145099999999999</v>
      </c>
      <c r="F455" s="4">
        <f>CHOOSE( CONTROL!$C$32, 13.8222, 13.8174) * CHOOSE(CONTROL!$C$15, $D$11, 100%, $F$11)</f>
        <v>13.8222</v>
      </c>
      <c r="G455" s="8">
        <f>CHOOSE( CONTROL!$C$32, 12.8057, 12.801) * CHOOSE( CONTROL!$C$15, $D$11, 100%, $F$11)</f>
        <v>12.8057</v>
      </c>
      <c r="H455" s="4">
        <f>CHOOSE( CONTROL!$C$32, 13.7349, 13.7302) * CHOOSE(CONTROL!$C$15, $D$11, 100%, $F$11)</f>
        <v>13.7349</v>
      </c>
      <c r="I455" s="8">
        <f>CHOOSE( CONTROL!$C$32, 12.6843, 12.6797) * CHOOSE(CONTROL!$C$15, $D$11, 100%, $F$11)</f>
        <v>12.6843</v>
      </c>
      <c r="J455" s="4">
        <f>CHOOSE( CONTROL!$C$32, 12.5715, 12.5669) * CHOOSE(CONTROL!$C$15, $D$11, 100%, $F$11)</f>
        <v>12.5715</v>
      </c>
      <c r="K455" s="4"/>
      <c r="L455" s="9">
        <v>30.7165</v>
      </c>
      <c r="M455" s="9">
        <v>12.063700000000001</v>
      </c>
      <c r="N455" s="9">
        <v>4.9444999999999997</v>
      </c>
      <c r="O455" s="9">
        <v>0.37409999999999999</v>
      </c>
      <c r="P455" s="9">
        <v>1.2183999999999999</v>
      </c>
      <c r="Q455" s="9">
        <v>20.007999999999999</v>
      </c>
      <c r="R455" s="9"/>
      <c r="S455" s="11"/>
    </row>
    <row r="456" spans="1:19" ht="15.75">
      <c r="A456" s="13">
        <v>55396</v>
      </c>
      <c r="B456" s="8">
        <f>CHOOSE( CONTROL!$C$32, 12.114, 12.1092) * CHOOSE(CONTROL!$C$15, $D$11, 100%, $F$11)</f>
        <v>12.114000000000001</v>
      </c>
      <c r="C456" s="8">
        <f>CHOOSE( CONTROL!$C$32, 12.1221, 12.1172) * CHOOSE(CONTROL!$C$15, $D$11, 100%, $F$11)</f>
        <v>12.1221</v>
      </c>
      <c r="D456" s="8">
        <f>CHOOSE( CONTROL!$C$32, 12.1439, 12.1391) * CHOOSE( CONTROL!$C$15, $D$11, 100%, $F$11)</f>
        <v>12.1439</v>
      </c>
      <c r="E456" s="12">
        <f>CHOOSE( CONTROL!$C$32, 12.1348, 12.1299) * CHOOSE( CONTROL!$C$15, $D$11, 100%, $F$11)</f>
        <v>12.1348</v>
      </c>
      <c r="F456" s="4">
        <f>CHOOSE( CONTROL!$C$32, 12.8118, 12.807) * CHOOSE(CONTROL!$C$15, $D$11, 100%, $F$11)</f>
        <v>12.8118</v>
      </c>
      <c r="G456" s="8">
        <f>CHOOSE( CONTROL!$C$32, 11.819, 11.8143) * CHOOSE( CONTROL!$C$15, $D$11, 100%, $F$11)</f>
        <v>11.819000000000001</v>
      </c>
      <c r="H456" s="4">
        <f>CHOOSE( CONTROL!$C$32, 12.7481, 12.7434) * CHOOSE(CONTROL!$C$15, $D$11, 100%, $F$11)</f>
        <v>12.748100000000001</v>
      </c>
      <c r="I456" s="8">
        <f>CHOOSE( CONTROL!$C$32, 11.7141, 11.7094) * CHOOSE(CONTROL!$C$15, $D$11, 100%, $F$11)</f>
        <v>11.7141</v>
      </c>
      <c r="J456" s="4">
        <f>CHOOSE( CONTROL!$C$32, 11.6014, 11.5968) * CHOOSE(CONTROL!$C$15, $D$11, 100%, $F$11)</f>
        <v>11.6014</v>
      </c>
      <c r="K456" s="4"/>
      <c r="L456" s="9">
        <v>30.7165</v>
      </c>
      <c r="M456" s="9">
        <v>12.063700000000001</v>
      </c>
      <c r="N456" s="9">
        <v>4.9444999999999997</v>
      </c>
      <c r="O456" s="9">
        <v>0.37409999999999999</v>
      </c>
      <c r="P456" s="9">
        <v>1.2183999999999999</v>
      </c>
      <c r="Q456" s="9">
        <v>20.007999999999999</v>
      </c>
      <c r="R456" s="9"/>
      <c r="S456" s="11"/>
    </row>
    <row r="457" spans="1:19" ht="15.75">
      <c r="A457" s="13">
        <v>55426</v>
      </c>
      <c r="B457" s="8">
        <f>CHOOSE( CONTROL!$C$32, 11.861, 11.8562) * CHOOSE(CONTROL!$C$15, $D$11, 100%, $F$11)</f>
        <v>11.861000000000001</v>
      </c>
      <c r="C457" s="8">
        <f>CHOOSE( CONTROL!$C$32, 11.8691, 11.8642) * CHOOSE(CONTROL!$C$15, $D$11, 100%, $F$11)</f>
        <v>11.8691</v>
      </c>
      <c r="D457" s="8">
        <f>CHOOSE( CONTROL!$C$32, 11.8909, 11.886) * CHOOSE( CONTROL!$C$15, $D$11, 100%, $F$11)</f>
        <v>11.8909</v>
      </c>
      <c r="E457" s="12">
        <f>CHOOSE( CONTROL!$C$32, 11.8818, 11.8769) * CHOOSE( CONTROL!$C$15, $D$11, 100%, $F$11)</f>
        <v>11.8818</v>
      </c>
      <c r="F457" s="4">
        <f>CHOOSE( CONTROL!$C$32, 12.5588, 12.554) * CHOOSE(CONTROL!$C$15, $D$11, 100%, $F$11)</f>
        <v>12.5588</v>
      </c>
      <c r="G457" s="8">
        <f>CHOOSE( CONTROL!$C$32, 11.5718, 11.5671) * CHOOSE( CONTROL!$C$15, $D$11, 100%, $F$11)</f>
        <v>11.5718</v>
      </c>
      <c r="H457" s="4">
        <f>CHOOSE( CONTROL!$C$32, 12.501, 12.4963) * CHOOSE(CONTROL!$C$15, $D$11, 100%, $F$11)</f>
        <v>12.500999999999999</v>
      </c>
      <c r="I457" s="8">
        <f>CHOOSE( CONTROL!$C$32, 11.4709, 11.4663) * CHOOSE(CONTROL!$C$15, $D$11, 100%, $F$11)</f>
        <v>11.4709</v>
      </c>
      <c r="J457" s="4">
        <f>CHOOSE( CONTROL!$C$32, 11.3585, 11.3539) * CHOOSE(CONTROL!$C$15, $D$11, 100%, $F$11)</f>
        <v>11.358499999999999</v>
      </c>
      <c r="K457" s="4"/>
      <c r="L457" s="9">
        <v>29.7257</v>
      </c>
      <c r="M457" s="9">
        <v>11.6745</v>
      </c>
      <c r="N457" s="9">
        <v>4.7850000000000001</v>
      </c>
      <c r="O457" s="9">
        <v>0.36199999999999999</v>
      </c>
      <c r="P457" s="9">
        <v>1.1791</v>
      </c>
      <c r="Q457" s="9">
        <v>19.3626</v>
      </c>
      <c r="R457" s="9"/>
      <c r="S457" s="11"/>
    </row>
    <row r="458" spans="1:19" ht="15.75">
      <c r="A458" s="13">
        <v>55457</v>
      </c>
      <c r="B458" s="8">
        <f>12.3798 * CHOOSE(CONTROL!$C$15, $D$11, 100%, $F$11)</f>
        <v>12.379799999999999</v>
      </c>
      <c r="C458" s="8">
        <f>12.3852 * CHOOSE(CONTROL!$C$15, $D$11, 100%, $F$11)</f>
        <v>12.385199999999999</v>
      </c>
      <c r="D458" s="8">
        <f>12.4116 * CHOOSE( CONTROL!$C$15, $D$11, 100%, $F$11)</f>
        <v>12.4116</v>
      </c>
      <c r="E458" s="12">
        <f>12.4023 * CHOOSE( CONTROL!$C$15, $D$11, 100%, $F$11)</f>
        <v>12.4023</v>
      </c>
      <c r="F458" s="4">
        <f>13.0793 * CHOOSE(CONTROL!$C$15, $D$11, 100%, $F$11)</f>
        <v>13.0793</v>
      </c>
      <c r="G458" s="8">
        <f>12.0795 * CHOOSE( CONTROL!$C$15, $D$11, 100%, $F$11)</f>
        <v>12.079499999999999</v>
      </c>
      <c r="H458" s="4">
        <f>13.0094 * CHOOSE(CONTROL!$C$15, $D$11, 100%, $F$11)</f>
        <v>13.009399999999999</v>
      </c>
      <c r="I458" s="8">
        <f>11.9717 * CHOOSE(CONTROL!$C$15, $D$11, 100%, $F$11)</f>
        <v>11.9717</v>
      </c>
      <c r="J458" s="4">
        <f>11.8582 * CHOOSE(CONTROL!$C$15, $D$11, 100%, $F$11)</f>
        <v>11.8582</v>
      </c>
      <c r="K458" s="4"/>
      <c r="L458" s="9">
        <v>31.095300000000002</v>
      </c>
      <c r="M458" s="9">
        <v>12.063700000000001</v>
      </c>
      <c r="N458" s="9">
        <v>4.9444999999999997</v>
      </c>
      <c r="O458" s="9">
        <v>0.37409999999999999</v>
      </c>
      <c r="P458" s="9">
        <v>1.2183999999999999</v>
      </c>
      <c r="Q458" s="9">
        <v>20.007999999999999</v>
      </c>
      <c r="R458" s="9"/>
      <c r="S458" s="11"/>
    </row>
    <row r="459" spans="1:19" ht="15.75">
      <c r="A459" s="13">
        <v>55487</v>
      </c>
      <c r="B459" s="8">
        <f>13.349 * CHOOSE(CONTROL!$C$15, $D$11, 100%, $F$11)</f>
        <v>13.349</v>
      </c>
      <c r="C459" s="8">
        <f>13.3542 * CHOOSE(CONTROL!$C$15, $D$11, 100%, $F$11)</f>
        <v>13.354200000000001</v>
      </c>
      <c r="D459" s="8">
        <f>13.3435 * CHOOSE( CONTROL!$C$15, $D$11, 100%, $F$11)</f>
        <v>13.343500000000001</v>
      </c>
      <c r="E459" s="12">
        <f>13.3469 * CHOOSE( CONTROL!$C$15, $D$11, 100%, $F$11)</f>
        <v>13.3469</v>
      </c>
      <c r="F459" s="4">
        <f>13.9979 * CHOOSE(CONTROL!$C$15, $D$11, 100%, $F$11)</f>
        <v>13.9979</v>
      </c>
      <c r="G459" s="8">
        <f>13.0311 * CHOOSE( CONTROL!$C$15, $D$11, 100%, $F$11)</f>
        <v>13.0311</v>
      </c>
      <c r="H459" s="4">
        <f>13.9066 * CHOOSE(CONTROL!$C$15, $D$11, 100%, $F$11)</f>
        <v>13.906599999999999</v>
      </c>
      <c r="I459" s="8">
        <f>12.9287 * CHOOSE(CONTROL!$C$15, $D$11, 100%, $F$11)</f>
        <v>12.928699999999999</v>
      </c>
      <c r="J459" s="4">
        <f>12.7892 * CHOOSE(CONTROL!$C$15, $D$11, 100%, $F$11)</f>
        <v>12.789199999999999</v>
      </c>
      <c r="K459" s="4"/>
      <c r="L459" s="9">
        <v>28.360600000000002</v>
      </c>
      <c r="M459" s="9">
        <v>11.6745</v>
      </c>
      <c r="N459" s="9">
        <v>4.7850000000000001</v>
      </c>
      <c r="O459" s="9">
        <v>0.36199999999999999</v>
      </c>
      <c r="P459" s="9">
        <v>1.2509999999999999</v>
      </c>
      <c r="Q459" s="9">
        <v>19.3626</v>
      </c>
      <c r="R459" s="9"/>
      <c r="S459" s="11"/>
    </row>
    <row r="460" spans="1:19" ht="15.75">
      <c r="A460" s="13">
        <v>55518</v>
      </c>
      <c r="B460" s="8">
        <f>13.3248 * CHOOSE(CONTROL!$C$15, $D$11, 100%, $F$11)</f>
        <v>13.3248</v>
      </c>
      <c r="C460" s="8">
        <f>13.33 * CHOOSE(CONTROL!$C$15, $D$11, 100%, $F$11)</f>
        <v>13.33</v>
      </c>
      <c r="D460" s="8">
        <f>13.3206 * CHOOSE( CONTROL!$C$15, $D$11, 100%, $F$11)</f>
        <v>13.320600000000001</v>
      </c>
      <c r="E460" s="12">
        <f>13.3235 * CHOOSE( CONTROL!$C$15, $D$11, 100%, $F$11)</f>
        <v>13.323499999999999</v>
      </c>
      <c r="F460" s="4">
        <f>13.9737 * CHOOSE(CONTROL!$C$15, $D$11, 100%, $F$11)</f>
        <v>13.973699999999999</v>
      </c>
      <c r="G460" s="8">
        <f>13.0084 * CHOOSE( CONTROL!$C$15, $D$11, 100%, $F$11)</f>
        <v>13.0084</v>
      </c>
      <c r="H460" s="4">
        <f>13.8829 * CHOOSE(CONTROL!$C$15, $D$11, 100%, $F$11)</f>
        <v>13.882899999999999</v>
      </c>
      <c r="I460" s="8">
        <f>12.9098 * CHOOSE(CONTROL!$C$15, $D$11, 100%, $F$11)</f>
        <v>12.909800000000001</v>
      </c>
      <c r="J460" s="4">
        <f>12.766 * CHOOSE(CONTROL!$C$15, $D$11, 100%, $F$11)</f>
        <v>12.766</v>
      </c>
      <c r="K460" s="4"/>
      <c r="L460" s="9">
        <v>29.306000000000001</v>
      </c>
      <c r="M460" s="9">
        <v>12.063700000000001</v>
      </c>
      <c r="N460" s="9">
        <v>4.9444999999999997</v>
      </c>
      <c r="O460" s="9">
        <v>0.37409999999999999</v>
      </c>
      <c r="P460" s="9">
        <v>1.2927</v>
      </c>
      <c r="Q460" s="9">
        <v>20.007999999999999</v>
      </c>
      <c r="R460" s="9"/>
      <c r="S460" s="11"/>
    </row>
    <row r="461" spans="1:19" ht="15.75">
      <c r="A461" s="13">
        <v>55549</v>
      </c>
      <c r="B461" s="8">
        <f>13.833 * CHOOSE(CONTROL!$C$15, $D$11, 100%, $F$11)</f>
        <v>13.833</v>
      </c>
      <c r="C461" s="8">
        <f>13.8382 * CHOOSE(CONTROL!$C$15, $D$11, 100%, $F$11)</f>
        <v>13.838200000000001</v>
      </c>
      <c r="D461" s="8">
        <f>13.8247 * CHOOSE( CONTROL!$C$15, $D$11, 100%, $F$11)</f>
        <v>13.8247</v>
      </c>
      <c r="E461" s="12">
        <f>13.8291 * CHOOSE( CONTROL!$C$15, $D$11, 100%, $F$11)</f>
        <v>13.8291</v>
      </c>
      <c r="F461" s="4">
        <f>14.4819 * CHOOSE(CONTROL!$C$15, $D$11, 100%, $F$11)</f>
        <v>14.4819</v>
      </c>
      <c r="G461" s="8">
        <f>13.4985 * CHOOSE( CONTROL!$C$15, $D$11, 100%, $F$11)</f>
        <v>13.4985</v>
      </c>
      <c r="H461" s="4">
        <f>14.3793 * CHOOSE(CONTROL!$C$15, $D$11, 100%, $F$11)</f>
        <v>14.379300000000001</v>
      </c>
      <c r="I461" s="8">
        <f>13.3742 * CHOOSE(CONTROL!$C$15, $D$11, 100%, $F$11)</f>
        <v>13.3742</v>
      </c>
      <c r="J461" s="4">
        <f>13.2539 * CHOOSE(CONTROL!$C$15, $D$11, 100%, $F$11)</f>
        <v>13.2539</v>
      </c>
      <c r="K461" s="4"/>
      <c r="L461" s="9">
        <v>29.306000000000001</v>
      </c>
      <c r="M461" s="9">
        <v>12.063700000000001</v>
      </c>
      <c r="N461" s="9">
        <v>4.9444999999999997</v>
      </c>
      <c r="O461" s="9">
        <v>0.37409999999999999</v>
      </c>
      <c r="P461" s="9">
        <v>1.2927</v>
      </c>
      <c r="Q461" s="9">
        <v>19.942900000000002</v>
      </c>
      <c r="R461" s="9"/>
      <c r="S461" s="11"/>
    </row>
    <row r="462" spans="1:19" ht="15.75">
      <c r="A462" s="13">
        <v>55577</v>
      </c>
      <c r="B462" s="8">
        <f>12.9405 * CHOOSE(CONTROL!$C$15, $D$11, 100%, $F$11)</f>
        <v>12.9405</v>
      </c>
      <c r="C462" s="8">
        <f>12.9457 * CHOOSE(CONTROL!$C$15, $D$11, 100%, $F$11)</f>
        <v>12.9457</v>
      </c>
      <c r="D462" s="8">
        <f>12.9322 * CHOOSE( CONTROL!$C$15, $D$11, 100%, $F$11)</f>
        <v>12.9322</v>
      </c>
      <c r="E462" s="12">
        <f>12.9366 * CHOOSE( CONTROL!$C$15, $D$11, 100%, $F$11)</f>
        <v>12.9366</v>
      </c>
      <c r="F462" s="4">
        <f>13.5894 * CHOOSE(CONTROL!$C$15, $D$11, 100%, $F$11)</f>
        <v>13.589399999999999</v>
      </c>
      <c r="G462" s="8">
        <f>12.6268 * CHOOSE( CONTROL!$C$15, $D$11, 100%, $F$11)</f>
        <v>12.626799999999999</v>
      </c>
      <c r="H462" s="4">
        <f>13.5076 * CHOOSE(CONTROL!$C$15, $D$11, 100%, $F$11)</f>
        <v>13.5076</v>
      </c>
      <c r="I462" s="8">
        <f>12.5169 * CHOOSE(CONTROL!$C$15, $D$11, 100%, $F$11)</f>
        <v>12.5169</v>
      </c>
      <c r="J462" s="4">
        <f>12.397 * CHOOSE(CONTROL!$C$15, $D$11, 100%, $F$11)</f>
        <v>12.397</v>
      </c>
      <c r="K462" s="4"/>
      <c r="L462" s="9">
        <v>27.415299999999998</v>
      </c>
      <c r="M462" s="9">
        <v>11.285299999999999</v>
      </c>
      <c r="N462" s="9">
        <v>4.6254999999999997</v>
      </c>
      <c r="O462" s="9">
        <v>0.34989999999999999</v>
      </c>
      <c r="P462" s="9">
        <v>1.2093</v>
      </c>
      <c r="Q462" s="9">
        <v>18.656300000000002</v>
      </c>
      <c r="R462" s="9"/>
      <c r="S462" s="11"/>
    </row>
    <row r="463" spans="1:19" ht="15.75">
      <c r="A463" s="13">
        <v>55609</v>
      </c>
      <c r="B463" s="8">
        <f>12.6657 * CHOOSE(CONTROL!$C$15, $D$11, 100%, $F$11)</f>
        <v>12.665699999999999</v>
      </c>
      <c r="C463" s="8">
        <f>12.6709 * CHOOSE(CONTROL!$C$15, $D$11, 100%, $F$11)</f>
        <v>12.6709</v>
      </c>
      <c r="D463" s="8">
        <f>12.657 * CHOOSE( CONTROL!$C$15, $D$11, 100%, $F$11)</f>
        <v>12.657</v>
      </c>
      <c r="E463" s="12">
        <f>12.6615 * CHOOSE( CONTROL!$C$15, $D$11, 100%, $F$11)</f>
        <v>12.6615</v>
      </c>
      <c r="F463" s="4">
        <f>13.3146 * CHOOSE(CONTROL!$C$15, $D$11, 100%, $F$11)</f>
        <v>13.3146</v>
      </c>
      <c r="G463" s="8">
        <f>12.3581 * CHOOSE( CONTROL!$C$15, $D$11, 100%, $F$11)</f>
        <v>12.3581</v>
      </c>
      <c r="H463" s="4">
        <f>13.2392 * CHOOSE(CONTROL!$C$15, $D$11, 100%, $F$11)</f>
        <v>13.2392</v>
      </c>
      <c r="I463" s="8">
        <f>12.2519 * CHOOSE(CONTROL!$C$15, $D$11, 100%, $F$11)</f>
        <v>12.251899999999999</v>
      </c>
      <c r="J463" s="4">
        <f>12.1331 * CHOOSE(CONTROL!$C$15, $D$11, 100%, $F$11)</f>
        <v>12.133100000000001</v>
      </c>
      <c r="K463" s="4"/>
      <c r="L463" s="9">
        <v>29.306000000000001</v>
      </c>
      <c r="M463" s="9">
        <v>12.063700000000001</v>
      </c>
      <c r="N463" s="9">
        <v>4.9444999999999997</v>
      </c>
      <c r="O463" s="9">
        <v>0.37409999999999999</v>
      </c>
      <c r="P463" s="9">
        <v>1.2927</v>
      </c>
      <c r="Q463" s="9">
        <v>19.942900000000002</v>
      </c>
      <c r="R463" s="9"/>
      <c r="S463" s="11"/>
    </row>
    <row r="464" spans="1:19" ht="15.75">
      <c r="A464" s="13">
        <v>55639</v>
      </c>
      <c r="B464" s="8">
        <f>12.8585 * CHOOSE(CONTROL!$C$15, $D$11, 100%, $F$11)</f>
        <v>12.858499999999999</v>
      </c>
      <c r="C464" s="8">
        <f>12.8631 * CHOOSE(CONTROL!$C$15, $D$11, 100%, $F$11)</f>
        <v>12.863099999999999</v>
      </c>
      <c r="D464" s="8">
        <f>12.8894 * CHOOSE( CONTROL!$C$15, $D$11, 100%, $F$11)</f>
        <v>12.8894</v>
      </c>
      <c r="E464" s="12">
        <f>12.8802 * CHOOSE( CONTROL!$C$15, $D$11, 100%, $F$11)</f>
        <v>12.8802</v>
      </c>
      <c r="F464" s="4">
        <f>13.5577 * CHOOSE(CONTROL!$C$15, $D$11, 100%, $F$11)</f>
        <v>13.557700000000001</v>
      </c>
      <c r="G464" s="8">
        <f>12.5458 * CHOOSE( CONTROL!$C$15, $D$11, 100%, $F$11)</f>
        <v>12.5458</v>
      </c>
      <c r="H464" s="4">
        <f>13.4766 * CHOOSE(CONTROL!$C$15, $D$11, 100%, $F$11)</f>
        <v>13.476599999999999</v>
      </c>
      <c r="I464" s="8">
        <f>12.4282 * CHOOSE(CONTROL!$C$15, $D$11, 100%, $F$11)</f>
        <v>12.4282</v>
      </c>
      <c r="J464" s="4">
        <f>12.3175 * CHOOSE(CONTROL!$C$15, $D$11, 100%, $F$11)</f>
        <v>12.317500000000001</v>
      </c>
      <c r="K464" s="4"/>
      <c r="L464" s="9">
        <v>30.092199999999998</v>
      </c>
      <c r="M464" s="9">
        <v>11.6745</v>
      </c>
      <c r="N464" s="9">
        <v>4.7850000000000001</v>
      </c>
      <c r="O464" s="9">
        <v>0.36199999999999999</v>
      </c>
      <c r="P464" s="9">
        <v>1.1791</v>
      </c>
      <c r="Q464" s="9">
        <v>19.299600000000002</v>
      </c>
      <c r="R464" s="9"/>
      <c r="S464" s="11"/>
    </row>
    <row r="465" spans="1:19" ht="15.75">
      <c r="A465" s="13">
        <v>55670</v>
      </c>
      <c r="B465" s="8">
        <f>CHOOSE( CONTROL!$C$32, 13.2066, 13.2017) * CHOOSE(CONTROL!$C$15, $D$11, 100%, $F$11)</f>
        <v>13.2066</v>
      </c>
      <c r="C465" s="8">
        <f>CHOOSE( CONTROL!$C$32, 13.2146, 13.2098) * CHOOSE(CONTROL!$C$15, $D$11, 100%, $F$11)</f>
        <v>13.214600000000001</v>
      </c>
      <c r="D465" s="8">
        <f>CHOOSE( CONTROL!$C$32, 13.236, 13.2311) * CHOOSE( CONTROL!$C$15, $D$11, 100%, $F$11)</f>
        <v>13.236000000000001</v>
      </c>
      <c r="E465" s="12">
        <f>CHOOSE( CONTROL!$C$32, 13.227, 13.2221) * CHOOSE( CONTROL!$C$15, $D$11, 100%, $F$11)</f>
        <v>13.227</v>
      </c>
      <c r="F465" s="4">
        <f>CHOOSE( CONTROL!$C$32, 13.9044, 13.8995) * CHOOSE(CONTROL!$C$15, $D$11, 100%, $F$11)</f>
        <v>13.904400000000001</v>
      </c>
      <c r="G465" s="8">
        <f>CHOOSE( CONTROL!$C$32, 12.8854, 12.8806) * CHOOSE( CONTROL!$C$15, $D$11, 100%, $F$11)</f>
        <v>12.885400000000001</v>
      </c>
      <c r="H465" s="4">
        <f>CHOOSE( CONTROL!$C$32, 13.8152, 13.8105) * CHOOSE(CONTROL!$C$15, $D$11, 100%, $F$11)</f>
        <v>13.815200000000001</v>
      </c>
      <c r="I465" s="8">
        <f>CHOOSE( CONTROL!$C$32, 12.7612, 12.7566) * CHOOSE(CONTROL!$C$15, $D$11, 100%, $F$11)</f>
        <v>12.761200000000001</v>
      </c>
      <c r="J465" s="4">
        <f>CHOOSE( CONTROL!$C$32, 12.6504, 12.6457) * CHOOSE(CONTROL!$C$15, $D$11, 100%, $F$11)</f>
        <v>12.650399999999999</v>
      </c>
      <c r="K465" s="4"/>
      <c r="L465" s="9">
        <v>30.7165</v>
      </c>
      <c r="M465" s="9">
        <v>12.063700000000001</v>
      </c>
      <c r="N465" s="9">
        <v>4.9444999999999997</v>
      </c>
      <c r="O465" s="9">
        <v>0.37409999999999999</v>
      </c>
      <c r="P465" s="9">
        <v>1.2183999999999999</v>
      </c>
      <c r="Q465" s="9">
        <v>19.942900000000002</v>
      </c>
      <c r="R465" s="9"/>
      <c r="S465" s="11"/>
    </row>
    <row r="466" spans="1:19" ht="15.75">
      <c r="A466" s="13">
        <v>55700</v>
      </c>
      <c r="B466" s="8">
        <f>CHOOSE( CONTROL!$C$32, 12.9948, 12.99) * CHOOSE(CONTROL!$C$15, $D$11, 100%, $F$11)</f>
        <v>12.9948</v>
      </c>
      <c r="C466" s="8">
        <f>CHOOSE( CONTROL!$C$32, 13.0029, 12.998) * CHOOSE(CONTROL!$C$15, $D$11, 100%, $F$11)</f>
        <v>13.0029</v>
      </c>
      <c r="D466" s="8">
        <f>CHOOSE( CONTROL!$C$32, 13.0244, 13.0195) * CHOOSE( CONTROL!$C$15, $D$11, 100%, $F$11)</f>
        <v>13.0244</v>
      </c>
      <c r="E466" s="12">
        <f>CHOOSE( CONTROL!$C$32, 13.0154, 13.0105) * CHOOSE( CONTROL!$C$15, $D$11, 100%, $F$11)</f>
        <v>13.0154</v>
      </c>
      <c r="F466" s="4">
        <f>CHOOSE( CONTROL!$C$32, 13.6926, 13.6878) * CHOOSE(CONTROL!$C$15, $D$11, 100%, $F$11)</f>
        <v>13.692600000000001</v>
      </c>
      <c r="G466" s="8">
        <f>CHOOSE( CONTROL!$C$32, 12.6788, 12.6741) * CHOOSE( CONTROL!$C$15, $D$11, 100%, $F$11)</f>
        <v>12.678800000000001</v>
      </c>
      <c r="H466" s="4">
        <f>CHOOSE( CONTROL!$C$32, 13.6084, 13.6037) * CHOOSE(CONTROL!$C$15, $D$11, 100%, $F$11)</f>
        <v>13.6084</v>
      </c>
      <c r="I466" s="8">
        <f>CHOOSE( CONTROL!$C$32, 12.5587, 12.5541) * CHOOSE(CONTROL!$C$15, $D$11, 100%, $F$11)</f>
        <v>12.5587</v>
      </c>
      <c r="J466" s="4">
        <f>CHOOSE( CONTROL!$C$32, 12.4471, 12.4424) * CHOOSE(CONTROL!$C$15, $D$11, 100%, $F$11)</f>
        <v>12.447100000000001</v>
      </c>
      <c r="K466" s="4"/>
      <c r="L466" s="9">
        <v>29.7257</v>
      </c>
      <c r="M466" s="9">
        <v>11.6745</v>
      </c>
      <c r="N466" s="9">
        <v>4.7850000000000001</v>
      </c>
      <c r="O466" s="9">
        <v>0.36199999999999999</v>
      </c>
      <c r="P466" s="9">
        <v>1.1791</v>
      </c>
      <c r="Q466" s="9">
        <v>19.299600000000002</v>
      </c>
      <c r="R466" s="9"/>
      <c r="S466" s="11"/>
    </row>
    <row r="467" spans="1:19" ht="15.75">
      <c r="A467" s="13">
        <v>55731</v>
      </c>
      <c r="B467" s="8">
        <f>CHOOSE( CONTROL!$C$32, 13.5524, 13.5476) * CHOOSE(CONTROL!$C$15, $D$11, 100%, $F$11)</f>
        <v>13.5524</v>
      </c>
      <c r="C467" s="8">
        <f>CHOOSE( CONTROL!$C$32, 13.5605, 13.5557) * CHOOSE(CONTROL!$C$15, $D$11, 100%, $F$11)</f>
        <v>13.560499999999999</v>
      </c>
      <c r="D467" s="8">
        <f>CHOOSE( CONTROL!$C$32, 13.5823, 13.5774) * CHOOSE( CONTROL!$C$15, $D$11, 100%, $F$11)</f>
        <v>13.5823</v>
      </c>
      <c r="E467" s="12">
        <f>CHOOSE( CONTROL!$C$32, 13.5732, 13.5683) * CHOOSE( CONTROL!$C$15, $D$11, 100%, $F$11)</f>
        <v>13.5732</v>
      </c>
      <c r="F467" s="4">
        <f>CHOOSE( CONTROL!$C$32, 14.2503, 14.2454) * CHOOSE(CONTROL!$C$15, $D$11, 100%, $F$11)</f>
        <v>14.250299999999999</v>
      </c>
      <c r="G467" s="8">
        <f>CHOOSE( CONTROL!$C$32, 13.2238, 13.2191) * CHOOSE( CONTROL!$C$15, $D$11, 100%, $F$11)</f>
        <v>13.223800000000001</v>
      </c>
      <c r="H467" s="4">
        <f>CHOOSE( CONTROL!$C$32, 14.153, 14.1483) * CHOOSE(CONTROL!$C$15, $D$11, 100%, $F$11)</f>
        <v>14.153</v>
      </c>
      <c r="I467" s="8">
        <f>CHOOSE( CONTROL!$C$32, 13.0955, 13.0909) * CHOOSE(CONTROL!$C$15, $D$11, 100%, $F$11)</f>
        <v>13.095499999999999</v>
      </c>
      <c r="J467" s="4">
        <f>CHOOSE( CONTROL!$C$32, 12.9825, 12.9778) * CHOOSE(CONTROL!$C$15, $D$11, 100%, $F$11)</f>
        <v>12.9825</v>
      </c>
      <c r="K467" s="4"/>
      <c r="L467" s="9">
        <v>30.7165</v>
      </c>
      <c r="M467" s="9">
        <v>12.063700000000001</v>
      </c>
      <c r="N467" s="9">
        <v>4.9444999999999997</v>
      </c>
      <c r="O467" s="9">
        <v>0.37409999999999999</v>
      </c>
      <c r="P467" s="9">
        <v>1.2183999999999999</v>
      </c>
      <c r="Q467" s="9">
        <v>19.942900000000002</v>
      </c>
      <c r="R467" s="9"/>
      <c r="S467" s="11"/>
    </row>
    <row r="468" spans="1:19" ht="15.75">
      <c r="A468" s="13">
        <v>55762</v>
      </c>
      <c r="B468" s="8">
        <f>CHOOSE( CONTROL!$C$32, 12.509, 12.5042) * CHOOSE(CONTROL!$C$15, $D$11, 100%, $F$11)</f>
        <v>12.509</v>
      </c>
      <c r="C468" s="8">
        <f>CHOOSE( CONTROL!$C$32, 12.5171, 12.5123) * CHOOSE(CONTROL!$C$15, $D$11, 100%, $F$11)</f>
        <v>12.517099999999999</v>
      </c>
      <c r="D468" s="8">
        <f>CHOOSE( CONTROL!$C$32, 12.5389, 12.5341) * CHOOSE( CONTROL!$C$15, $D$11, 100%, $F$11)</f>
        <v>12.5389</v>
      </c>
      <c r="E468" s="12">
        <f>CHOOSE( CONTROL!$C$32, 12.5298, 12.525) * CHOOSE( CONTROL!$C$15, $D$11, 100%, $F$11)</f>
        <v>12.5298</v>
      </c>
      <c r="F468" s="4">
        <f>CHOOSE( CONTROL!$C$32, 13.2068, 13.202) * CHOOSE(CONTROL!$C$15, $D$11, 100%, $F$11)</f>
        <v>13.206799999999999</v>
      </c>
      <c r="G468" s="8">
        <f>CHOOSE( CONTROL!$C$32, 12.2048, 12.2001) * CHOOSE( CONTROL!$C$15, $D$11, 100%, $F$11)</f>
        <v>12.204800000000001</v>
      </c>
      <c r="H468" s="4">
        <f>CHOOSE( CONTROL!$C$32, 13.1339, 13.1292) * CHOOSE(CONTROL!$C$15, $D$11, 100%, $F$11)</f>
        <v>13.133900000000001</v>
      </c>
      <c r="I468" s="8">
        <f>CHOOSE( CONTROL!$C$32, 12.0935, 12.0889) * CHOOSE(CONTROL!$C$15, $D$11, 100%, $F$11)</f>
        <v>12.093500000000001</v>
      </c>
      <c r="J468" s="4">
        <f>CHOOSE( CONTROL!$C$32, 11.9807, 11.976) * CHOOSE(CONTROL!$C$15, $D$11, 100%, $F$11)</f>
        <v>11.980700000000001</v>
      </c>
      <c r="K468" s="4"/>
      <c r="L468" s="9">
        <v>30.7165</v>
      </c>
      <c r="M468" s="9">
        <v>12.063700000000001</v>
      </c>
      <c r="N468" s="9">
        <v>4.9444999999999997</v>
      </c>
      <c r="O468" s="9">
        <v>0.37409999999999999</v>
      </c>
      <c r="P468" s="9">
        <v>1.2183999999999999</v>
      </c>
      <c r="Q468" s="9">
        <v>19.942900000000002</v>
      </c>
      <c r="R468" s="9"/>
      <c r="S468" s="11"/>
    </row>
    <row r="469" spans="1:19" ht="15.75">
      <c r="A469" s="13">
        <v>55792</v>
      </c>
      <c r="B469" s="8">
        <f>CHOOSE( CONTROL!$C$32, 12.2477, 12.2429) * CHOOSE(CONTROL!$C$15, $D$11, 100%, $F$11)</f>
        <v>12.2477</v>
      </c>
      <c r="C469" s="8">
        <f>CHOOSE( CONTROL!$C$32, 12.2558, 12.251) * CHOOSE(CONTROL!$C$15, $D$11, 100%, $F$11)</f>
        <v>12.255800000000001</v>
      </c>
      <c r="D469" s="8">
        <f>CHOOSE( CONTROL!$C$32, 12.2776, 12.2728) * CHOOSE( CONTROL!$C$15, $D$11, 100%, $F$11)</f>
        <v>12.2776</v>
      </c>
      <c r="E469" s="12">
        <f>CHOOSE( CONTROL!$C$32, 12.2685, 12.2637) * CHOOSE( CONTROL!$C$15, $D$11, 100%, $F$11)</f>
        <v>12.2685</v>
      </c>
      <c r="F469" s="4">
        <f>CHOOSE( CONTROL!$C$32, 12.9455, 12.9407) * CHOOSE(CONTROL!$C$15, $D$11, 100%, $F$11)</f>
        <v>12.945499999999999</v>
      </c>
      <c r="G469" s="8">
        <f>CHOOSE( CONTROL!$C$32, 11.9496, 11.9449) * CHOOSE( CONTROL!$C$15, $D$11, 100%, $F$11)</f>
        <v>11.9496</v>
      </c>
      <c r="H469" s="4">
        <f>CHOOSE( CONTROL!$C$32, 12.8787, 12.874) * CHOOSE(CONTROL!$C$15, $D$11, 100%, $F$11)</f>
        <v>12.8787</v>
      </c>
      <c r="I469" s="8">
        <f>CHOOSE( CONTROL!$C$32, 11.8424, 11.8378) * CHOOSE(CONTROL!$C$15, $D$11, 100%, $F$11)</f>
        <v>11.8424</v>
      </c>
      <c r="J469" s="4">
        <f>CHOOSE( CONTROL!$C$32, 11.7298, 11.7252) * CHOOSE(CONTROL!$C$15, $D$11, 100%, $F$11)</f>
        <v>11.729799999999999</v>
      </c>
      <c r="K469" s="4"/>
      <c r="L469" s="9">
        <v>29.7257</v>
      </c>
      <c r="M469" s="9">
        <v>11.6745</v>
      </c>
      <c r="N469" s="9">
        <v>4.7850000000000001</v>
      </c>
      <c r="O469" s="9">
        <v>0.36199999999999999</v>
      </c>
      <c r="P469" s="9">
        <v>1.1791</v>
      </c>
      <c r="Q469" s="9">
        <v>19.299600000000002</v>
      </c>
      <c r="R469" s="9"/>
      <c r="S469" s="11"/>
    </row>
    <row r="470" spans="1:19" ht="15.75">
      <c r="A470" s="13">
        <v>55823</v>
      </c>
      <c r="B470" s="8">
        <f>12.7837 * CHOOSE(CONTROL!$C$15, $D$11, 100%, $F$11)</f>
        <v>12.7837</v>
      </c>
      <c r="C470" s="8">
        <f>12.7891 * CHOOSE(CONTROL!$C$15, $D$11, 100%, $F$11)</f>
        <v>12.789099999999999</v>
      </c>
      <c r="D470" s="8">
        <f>12.8156 * CHOOSE( CONTROL!$C$15, $D$11, 100%, $F$11)</f>
        <v>12.8156</v>
      </c>
      <c r="E470" s="12">
        <f>12.8063 * CHOOSE( CONTROL!$C$15, $D$11, 100%, $F$11)</f>
        <v>12.8063</v>
      </c>
      <c r="F470" s="4">
        <f>13.4832 * CHOOSE(CONTROL!$C$15, $D$11, 100%, $F$11)</f>
        <v>13.4832</v>
      </c>
      <c r="G470" s="8">
        <f>12.474 * CHOOSE( CONTROL!$C$15, $D$11, 100%, $F$11)</f>
        <v>12.474</v>
      </c>
      <c r="H470" s="4">
        <f>13.4039 * CHOOSE(CONTROL!$C$15, $D$11, 100%, $F$11)</f>
        <v>13.4039</v>
      </c>
      <c r="I470" s="8">
        <f>12.3597 * CHOOSE(CONTROL!$C$15, $D$11, 100%, $F$11)</f>
        <v>12.3597</v>
      </c>
      <c r="J470" s="4">
        <f>12.2461 * CHOOSE(CONTROL!$C$15, $D$11, 100%, $F$11)</f>
        <v>12.2461</v>
      </c>
      <c r="K470" s="4"/>
      <c r="L470" s="9">
        <v>31.095300000000002</v>
      </c>
      <c r="M470" s="9">
        <v>12.063700000000001</v>
      </c>
      <c r="N470" s="9">
        <v>4.9444999999999997</v>
      </c>
      <c r="O470" s="9">
        <v>0.37409999999999999</v>
      </c>
      <c r="P470" s="9">
        <v>1.2183999999999999</v>
      </c>
      <c r="Q470" s="9">
        <v>19.942900000000002</v>
      </c>
      <c r="R470" s="9"/>
      <c r="S470" s="11"/>
    </row>
    <row r="471" spans="1:19" ht="15.75">
      <c r="A471" s="13">
        <v>55853</v>
      </c>
      <c r="B471" s="8">
        <f>13.7847 * CHOOSE(CONTROL!$C$15, $D$11, 100%, $F$11)</f>
        <v>13.784700000000001</v>
      </c>
      <c r="C471" s="8">
        <f>13.7899 * CHOOSE(CONTROL!$C$15, $D$11, 100%, $F$11)</f>
        <v>13.789899999999999</v>
      </c>
      <c r="D471" s="8">
        <f>13.7791 * CHOOSE( CONTROL!$C$15, $D$11, 100%, $F$11)</f>
        <v>13.7791</v>
      </c>
      <c r="E471" s="12">
        <f>13.7825 * CHOOSE( CONTROL!$C$15, $D$11, 100%, $F$11)</f>
        <v>13.782500000000001</v>
      </c>
      <c r="F471" s="4">
        <f>14.4336 * CHOOSE(CONTROL!$C$15, $D$11, 100%, $F$11)</f>
        <v>14.4336</v>
      </c>
      <c r="G471" s="8">
        <f>13.4566 * CHOOSE( CONTROL!$C$15, $D$11, 100%, $F$11)</f>
        <v>13.4566</v>
      </c>
      <c r="H471" s="4">
        <f>14.3321 * CHOOSE(CONTROL!$C$15, $D$11, 100%, $F$11)</f>
        <v>14.332100000000001</v>
      </c>
      <c r="I471" s="8">
        <f>13.3472 * CHOOSE(CONTROL!$C$15, $D$11, 100%, $F$11)</f>
        <v>13.347200000000001</v>
      </c>
      <c r="J471" s="4">
        <f>13.2075 * CHOOSE(CONTROL!$C$15, $D$11, 100%, $F$11)</f>
        <v>13.2075</v>
      </c>
      <c r="K471" s="4"/>
      <c r="L471" s="9">
        <v>28.360600000000002</v>
      </c>
      <c r="M471" s="9">
        <v>11.6745</v>
      </c>
      <c r="N471" s="9">
        <v>4.7850000000000001</v>
      </c>
      <c r="O471" s="9">
        <v>0.36199999999999999</v>
      </c>
      <c r="P471" s="9">
        <v>1.2509999999999999</v>
      </c>
      <c r="Q471" s="9">
        <v>19.299600000000002</v>
      </c>
      <c r="R471" s="9"/>
      <c r="S471" s="11"/>
    </row>
    <row r="472" spans="1:19" ht="15.75">
      <c r="A472" s="13">
        <v>55884</v>
      </c>
      <c r="B472" s="8">
        <f>13.7596 * CHOOSE(CONTROL!$C$15, $D$11, 100%, $F$11)</f>
        <v>13.759600000000001</v>
      </c>
      <c r="C472" s="8">
        <f>13.7648 * CHOOSE(CONTROL!$C$15, $D$11, 100%, $F$11)</f>
        <v>13.764799999999999</v>
      </c>
      <c r="D472" s="8">
        <f>13.7554 * CHOOSE( CONTROL!$C$15, $D$11, 100%, $F$11)</f>
        <v>13.7554</v>
      </c>
      <c r="E472" s="12">
        <f>13.7583 * CHOOSE( CONTROL!$C$15, $D$11, 100%, $F$11)</f>
        <v>13.7583</v>
      </c>
      <c r="F472" s="4">
        <f>14.4086 * CHOOSE(CONTROL!$C$15, $D$11, 100%, $F$11)</f>
        <v>14.4086</v>
      </c>
      <c r="G472" s="8">
        <f>13.4331 * CHOOSE( CONTROL!$C$15, $D$11, 100%, $F$11)</f>
        <v>13.4331</v>
      </c>
      <c r="H472" s="4">
        <f>14.3077 * CHOOSE(CONTROL!$C$15, $D$11, 100%, $F$11)</f>
        <v>14.307700000000001</v>
      </c>
      <c r="I472" s="8">
        <f>13.3275 * CHOOSE(CONTROL!$C$15, $D$11, 100%, $F$11)</f>
        <v>13.327500000000001</v>
      </c>
      <c r="J472" s="4">
        <f>13.1835 * CHOOSE(CONTROL!$C$15, $D$11, 100%, $F$11)</f>
        <v>13.1835</v>
      </c>
      <c r="K472" s="4"/>
      <c r="L472" s="9">
        <v>29.306000000000001</v>
      </c>
      <c r="M472" s="9">
        <v>12.063700000000001</v>
      </c>
      <c r="N472" s="9">
        <v>4.9444999999999997</v>
      </c>
      <c r="O472" s="9">
        <v>0.37409999999999999</v>
      </c>
      <c r="P472" s="9">
        <v>1.2927</v>
      </c>
      <c r="Q472" s="9">
        <v>19.942900000000002</v>
      </c>
      <c r="R472" s="9"/>
      <c r="S472" s="11"/>
    </row>
    <row r="473" spans="1:19" ht="15.75">
      <c r="A473" s="13">
        <v>55915</v>
      </c>
      <c r="B473" s="8">
        <f>14.2845 * CHOOSE(CONTROL!$C$15, $D$11, 100%, $F$11)</f>
        <v>14.2845</v>
      </c>
      <c r="C473" s="8">
        <f>14.2896 * CHOOSE(CONTROL!$C$15, $D$11, 100%, $F$11)</f>
        <v>14.2896</v>
      </c>
      <c r="D473" s="8">
        <f>14.2761 * CHOOSE( CONTROL!$C$15, $D$11, 100%, $F$11)</f>
        <v>14.2761</v>
      </c>
      <c r="E473" s="12">
        <f>14.2805 * CHOOSE( CONTROL!$C$15, $D$11, 100%, $F$11)</f>
        <v>14.2805</v>
      </c>
      <c r="F473" s="4">
        <f>14.9334 * CHOOSE(CONTROL!$C$15, $D$11, 100%, $F$11)</f>
        <v>14.933400000000001</v>
      </c>
      <c r="G473" s="8">
        <f>13.9395 * CHOOSE( CONTROL!$C$15, $D$11, 100%, $F$11)</f>
        <v>13.939500000000001</v>
      </c>
      <c r="H473" s="4">
        <f>14.8202 * CHOOSE(CONTROL!$C$15, $D$11, 100%, $F$11)</f>
        <v>14.8202</v>
      </c>
      <c r="I473" s="8">
        <f>13.8079 * CHOOSE(CONTROL!$C$15, $D$11, 100%, $F$11)</f>
        <v>13.8079</v>
      </c>
      <c r="J473" s="4">
        <f>13.6873 * CHOOSE(CONTROL!$C$15, $D$11, 100%, $F$11)</f>
        <v>13.6873</v>
      </c>
      <c r="K473" s="4"/>
      <c r="L473" s="9">
        <v>29.306000000000001</v>
      </c>
      <c r="M473" s="9">
        <v>12.063700000000001</v>
      </c>
      <c r="N473" s="9">
        <v>4.9444999999999997</v>
      </c>
      <c r="O473" s="9">
        <v>0.37409999999999999</v>
      </c>
      <c r="P473" s="9">
        <v>1.2927</v>
      </c>
      <c r="Q473" s="9">
        <v>19.877800000000001</v>
      </c>
      <c r="R473" s="9"/>
      <c r="S473" s="11"/>
    </row>
    <row r="474" spans="1:19" ht="15.75">
      <c r="A474" s="13">
        <v>55943</v>
      </c>
      <c r="B474" s="8">
        <f>13.3628 * CHOOSE(CONTROL!$C$15, $D$11, 100%, $F$11)</f>
        <v>13.3628</v>
      </c>
      <c r="C474" s="8">
        <f>13.368 * CHOOSE(CONTROL!$C$15, $D$11, 100%, $F$11)</f>
        <v>13.368</v>
      </c>
      <c r="D474" s="8">
        <f>13.3545 * CHOOSE( CONTROL!$C$15, $D$11, 100%, $F$11)</f>
        <v>13.3545</v>
      </c>
      <c r="E474" s="12">
        <f>13.3589 * CHOOSE( CONTROL!$C$15, $D$11, 100%, $F$11)</f>
        <v>13.3589</v>
      </c>
      <c r="F474" s="4">
        <f>14.0117 * CHOOSE(CONTROL!$C$15, $D$11, 100%, $F$11)</f>
        <v>14.011699999999999</v>
      </c>
      <c r="G474" s="8">
        <f>13.0393 * CHOOSE( CONTROL!$C$15, $D$11, 100%, $F$11)</f>
        <v>13.039300000000001</v>
      </c>
      <c r="H474" s="4">
        <f>13.9201 * CHOOSE(CONTROL!$C$15, $D$11, 100%, $F$11)</f>
        <v>13.9201</v>
      </c>
      <c r="I474" s="8">
        <f>12.9226 * CHOOSE(CONTROL!$C$15, $D$11, 100%, $F$11)</f>
        <v>12.922599999999999</v>
      </c>
      <c r="J474" s="4">
        <f>12.8025 * CHOOSE(CONTROL!$C$15, $D$11, 100%, $F$11)</f>
        <v>12.8025</v>
      </c>
      <c r="K474" s="4"/>
      <c r="L474" s="9">
        <v>26.469899999999999</v>
      </c>
      <c r="M474" s="9">
        <v>10.8962</v>
      </c>
      <c r="N474" s="9">
        <v>4.4660000000000002</v>
      </c>
      <c r="O474" s="9">
        <v>0.33789999999999998</v>
      </c>
      <c r="P474" s="9">
        <v>1.1676</v>
      </c>
      <c r="Q474" s="9">
        <v>17.9542</v>
      </c>
      <c r="R474" s="9"/>
      <c r="S474" s="11"/>
    </row>
    <row r="475" spans="1:19" ht="15.75">
      <c r="A475" s="13">
        <v>55974</v>
      </c>
      <c r="B475" s="8">
        <f>13.079 * CHOOSE(CONTROL!$C$15, $D$11, 100%, $F$11)</f>
        <v>13.079000000000001</v>
      </c>
      <c r="C475" s="8">
        <f>13.0841 * CHOOSE(CONTROL!$C$15, $D$11, 100%, $F$11)</f>
        <v>13.084099999999999</v>
      </c>
      <c r="D475" s="8">
        <f>13.0703 * CHOOSE( CONTROL!$C$15, $D$11, 100%, $F$11)</f>
        <v>13.0703</v>
      </c>
      <c r="E475" s="12">
        <f>13.0748 * CHOOSE( CONTROL!$C$15, $D$11, 100%, $F$11)</f>
        <v>13.0748</v>
      </c>
      <c r="F475" s="4">
        <f>13.7279 * CHOOSE(CONTROL!$C$15, $D$11, 100%, $F$11)</f>
        <v>13.7279</v>
      </c>
      <c r="G475" s="8">
        <f>12.7618 * CHOOSE( CONTROL!$C$15, $D$11, 100%, $F$11)</f>
        <v>12.761799999999999</v>
      </c>
      <c r="H475" s="4">
        <f>13.6428 * CHOOSE(CONTROL!$C$15, $D$11, 100%, $F$11)</f>
        <v>13.642799999999999</v>
      </c>
      <c r="I475" s="8">
        <f>12.6489 * CHOOSE(CONTROL!$C$15, $D$11, 100%, $F$11)</f>
        <v>12.648899999999999</v>
      </c>
      <c r="J475" s="4">
        <f>12.5299 * CHOOSE(CONTROL!$C$15, $D$11, 100%, $F$11)</f>
        <v>12.5299</v>
      </c>
      <c r="K475" s="4"/>
      <c r="L475" s="9">
        <v>29.306000000000001</v>
      </c>
      <c r="M475" s="9">
        <v>12.063700000000001</v>
      </c>
      <c r="N475" s="9">
        <v>4.9444999999999997</v>
      </c>
      <c r="O475" s="9">
        <v>0.37409999999999999</v>
      </c>
      <c r="P475" s="9">
        <v>1.2927</v>
      </c>
      <c r="Q475" s="9">
        <v>19.877800000000001</v>
      </c>
      <c r="R475" s="9"/>
      <c r="S475" s="11"/>
    </row>
    <row r="476" spans="1:19" ht="15.75">
      <c r="A476" s="13">
        <v>56004</v>
      </c>
      <c r="B476" s="8">
        <f>13.2781 * CHOOSE(CONTROL!$C$15, $D$11, 100%, $F$11)</f>
        <v>13.2781</v>
      </c>
      <c r="C476" s="8">
        <f>13.2827 * CHOOSE(CONTROL!$C$15, $D$11, 100%, $F$11)</f>
        <v>13.2827</v>
      </c>
      <c r="D476" s="8">
        <f>13.309 * CHOOSE( CONTROL!$C$15, $D$11, 100%, $F$11)</f>
        <v>13.308999999999999</v>
      </c>
      <c r="E476" s="12">
        <f>13.2998 * CHOOSE( CONTROL!$C$15, $D$11, 100%, $F$11)</f>
        <v>13.299799999999999</v>
      </c>
      <c r="F476" s="4">
        <f>13.9773 * CHOOSE(CONTROL!$C$15, $D$11, 100%, $F$11)</f>
        <v>13.9773</v>
      </c>
      <c r="G476" s="8">
        <f>12.9556 * CHOOSE( CONTROL!$C$15, $D$11, 100%, $F$11)</f>
        <v>12.9556</v>
      </c>
      <c r="H476" s="4">
        <f>13.8864 * CHOOSE(CONTROL!$C$15, $D$11, 100%, $F$11)</f>
        <v>13.8864</v>
      </c>
      <c r="I476" s="8">
        <f>12.8313 * CHOOSE(CONTROL!$C$15, $D$11, 100%, $F$11)</f>
        <v>12.831300000000001</v>
      </c>
      <c r="J476" s="4">
        <f>12.7204 * CHOOSE(CONTROL!$C$15, $D$11, 100%, $F$11)</f>
        <v>12.7204</v>
      </c>
      <c r="K476" s="4"/>
      <c r="L476" s="9">
        <v>30.092199999999998</v>
      </c>
      <c r="M476" s="9">
        <v>11.6745</v>
      </c>
      <c r="N476" s="9">
        <v>4.7850000000000001</v>
      </c>
      <c r="O476" s="9">
        <v>0.36199999999999999</v>
      </c>
      <c r="P476" s="9">
        <v>1.1791</v>
      </c>
      <c r="Q476" s="9">
        <v>19.236599999999999</v>
      </c>
      <c r="R476" s="9"/>
      <c r="S476" s="11"/>
    </row>
    <row r="477" spans="1:19" ht="15.75">
      <c r="A477" s="13">
        <v>56035</v>
      </c>
      <c r="B477" s="8">
        <f>CHOOSE( CONTROL!$C$32, 13.6373, 13.6325) * CHOOSE(CONTROL!$C$15, $D$11, 100%, $F$11)</f>
        <v>13.6373</v>
      </c>
      <c r="C477" s="8">
        <f>CHOOSE( CONTROL!$C$32, 13.6454, 13.6406) * CHOOSE(CONTROL!$C$15, $D$11, 100%, $F$11)</f>
        <v>13.6454</v>
      </c>
      <c r="D477" s="8">
        <f>CHOOSE( CONTROL!$C$32, 13.6667, 13.6619) * CHOOSE( CONTROL!$C$15, $D$11, 100%, $F$11)</f>
        <v>13.666700000000001</v>
      </c>
      <c r="E477" s="12">
        <f>CHOOSE( CONTROL!$C$32, 13.6577, 13.6529) * CHOOSE( CONTROL!$C$15, $D$11, 100%, $F$11)</f>
        <v>13.6577</v>
      </c>
      <c r="F477" s="4">
        <f>CHOOSE( CONTROL!$C$32, 14.3351, 14.3303) * CHOOSE(CONTROL!$C$15, $D$11, 100%, $F$11)</f>
        <v>14.335100000000001</v>
      </c>
      <c r="G477" s="8">
        <f>CHOOSE( CONTROL!$C$32, 13.3061, 13.3014) * CHOOSE( CONTROL!$C$15, $D$11, 100%, $F$11)</f>
        <v>13.306100000000001</v>
      </c>
      <c r="H477" s="4">
        <f>CHOOSE( CONTROL!$C$32, 14.2359, 14.2312) * CHOOSE(CONTROL!$C$15, $D$11, 100%, $F$11)</f>
        <v>14.235900000000001</v>
      </c>
      <c r="I477" s="8">
        <f>CHOOSE( CONTROL!$C$32, 13.175, 13.1703) * CHOOSE(CONTROL!$C$15, $D$11, 100%, $F$11)</f>
        <v>13.175000000000001</v>
      </c>
      <c r="J477" s="4">
        <f>CHOOSE( CONTROL!$C$32, 13.064, 13.0593) * CHOOSE(CONTROL!$C$15, $D$11, 100%, $F$11)</f>
        <v>13.064</v>
      </c>
      <c r="K477" s="4"/>
      <c r="L477" s="9">
        <v>30.7165</v>
      </c>
      <c r="M477" s="9">
        <v>12.063700000000001</v>
      </c>
      <c r="N477" s="9">
        <v>4.9444999999999997</v>
      </c>
      <c r="O477" s="9">
        <v>0.37409999999999999</v>
      </c>
      <c r="P477" s="9">
        <v>1.2183999999999999</v>
      </c>
      <c r="Q477" s="9">
        <v>19.877800000000001</v>
      </c>
      <c r="R477" s="9"/>
      <c r="S477" s="11"/>
    </row>
    <row r="478" spans="1:19" ht="15.75">
      <c r="A478" s="13">
        <v>56065</v>
      </c>
      <c r="B478" s="8">
        <f>CHOOSE( CONTROL!$C$32, 13.4186, 13.4138) * CHOOSE(CONTROL!$C$15, $D$11, 100%, $F$11)</f>
        <v>13.4186</v>
      </c>
      <c r="C478" s="8">
        <f>CHOOSE( CONTROL!$C$32, 13.4267, 13.4219) * CHOOSE(CONTROL!$C$15, $D$11, 100%, $F$11)</f>
        <v>13.4267</v>
      </c>
      <c r="D478" s="8">
        <f>CHOOSE( CONTROL!$C$32, 13.4482, 13.4434) * CHOOSE( CONTROL!$C$15, $D$11, 100%, $F$11)</f>
        <v>13.4482</v>
      </c>
      <c r="E478" s="12">
        <f>CHOOSE( CONTROL!$C$32, 13.4392, 13.4344) * CHOOSE( CONTROL!$C$15, $D$11, 100%, $F$11)</f>
        <v>13.4392</v>
      </c>
      <c r="F478" s="4">
        <f>CHOOSE( CONTROL!$C$32, 14.1164, 14.1116) * CHOOSE(CONTROL!$C$15, $D$11, 100%, $F$11)</f>
        <v>14.116400000000001</v>
      </c>
      <c r="G478" s="8">
        <f>CHOOSE( CONTROL!$C$32, 13.0928, 13.088) * CHOOSE( CONTROL!$C$15, $D$11, 100%, $F$11)</f>
        <v>13.0928</v>
      </c>
      <c r="H478" s="4">
        <f>CHOOSE( CONTROL!$C$32, 14.0223, 14.0176) * CHOOSE(CONTROL!$C$15, $D$11, 100%, $F$11)</f>
        <v>14.0223</v>
      </c>
      <c r="I478" s="8">
        <f>CHOOSE( CONTROL!$C$32, 12.9658, 12.9612) * CHOOSE(CONTROL!$C$15, $D$11, 100%, $F$11)</f>
        <v>12.9658</v>
      </c>
      <c r="J478" s="4">
        <f>CHOOSE( CONTROL!$C$32, 12.854, 12.8493) * CHOOSE(CONTROL!$C$15, $D$11, 100%, $F$11)</f>
        <v>12.853999999999999</v>
      </c>
      <c r="K478" s="4"/>
      <c r="L478" s="9">
        <v>29.7257</v>
      </c>
      <c r="M478" s="9">
        <v>11.6745</v>
      </c>
      <c r="N478" s="9">
        <v>4.7850000000000001</v>
      </c>
      <c r="O478" s="9">
        <v>0.36199999999999999</v>
      </c>
      <c r="P478" s="9">
        <v>1.1791</v>
      </c>
      <c r="Q478" s="9">
        <v>19.236599999999999</v>
      </c>
      <c r="R478" s="9"/>
      <c r="S478" s="11"/>
    </row>
    <row r="479" spans="1:19" ht="15.75">
      <c r="A479" s="13">
        <v>56096</v>
      </c>
      <c r="B479" s="8">
        <f>CHOOSE( CONTROL!$C$32, 13.9945, 13.9897) * CHOOSE(CONTROL!$C$15, $D$11, 100%, $F$11)</f>
        <v>13.9945</v>
      </c>
      <c r="C479" s="8">
        <f>CHOOSE( CONTROL!$C$32, 14.0026, 13.9978) * CHOOSE(CONTROL!$C$15, $D$11, 100%, $F$11)</f>
        <v>14.002599999999999</v>
      </c>
      <c r="D479" s="8">
        <f>CHOOSE( CONTROL!$C$32, 14.0243, 14.0195) * CHOOSE( CONTROL!$C$15, $D$11, 100%, $F$11)</f>
        <v>14.0243</v>
      </c>
      <c r="E479" s="12">
        <f>CHOOSE( CONTROL!$C$32, 14.0152, 14.0104) * CHOOSE( CONTROL!$C$15, $D$11, 100%, $F$11)</f>
        <v>14.0152</v>
      </c>
      <c r="F479" s="4">
        <f>CHOOSE( CONTROL!$C$32, 14.6923, 14.6875) * CHOOSE(CONTROL!$C$15, $D$11, 100%, $F$11)</f>
        <v>14.692299999999999</v>
      </c>
      <c r="G479" s="8">
        <f>CHOOSE( CONTROL!$C$32, 13.6556, 13.6509) * CHOOSE( CONTROL!$C$15, $D$11, 100%, $F$11)</f>
        <v>13.6556</v>
      </c>
      <c r="H479" s="4">
        <f>CHOOSE( CONTROL!$C$32, 14.5848, 14.5801) * CHOOSE(CONTROL!$C$15, $D$11, 100%, $F$11)</f>
        <v>14.5848</v>
      </c>
      <c r="I479" s="8">
        <f>CHOOSE( CONTROL!$C$32, 13.5201, 13.5155) * CHOOSE(CONTROL!$C$15, $D$11, 100%, $F$11)</f>
        <v>13.520099999999999</v>
      </c>
      <c r="J479" s="4">
        <f>CHOOSE( CONTROL!$C$32, 13.4069, 13.4023) * CHOOSE(CONTROL!$C$15, $D$11, 100%, $F$11)</f>
        <v>13.4069</v>
      </c>
      <c r="K479" s="4"/>
      <c r="L479" s="9">
        <v>30.7165</v>
      </c>
      <c r="M479" s="9">
        <v>12.063700000000001</v>
      </c>
      <c r="N479" s="9">
        <v>4.9444999999999997</v>
      </c>
      <c r="O479" s="9">
        <v>0.37409999999999999</v>
      </c>
      <c r="P479" s="9">
        <v>1.2183999999999999</v>
      </c>
      <c r="Q479" s="9">
        <v>19.877800000000001</v>
      </c>
      <c r="R479" s="9"/>
      <c r="S479" s="11"/>
    </row>
    <row r="480" spans="1:19" ht="15.75">
      <c r="A480" s="13">
        <v>56127</v>
      </c>
      <c r="B480" s="8">
        <f>CHOOSE( CONTROL!$C$32, 12.917, 12.9121) * CHOOSE(CONTROL!$C$15, $D$11, 100%, $F$11)</f>
        <v>12.917</v>
      </c>
      <c r="C480" s="8">
        <f>CHOOSE( CONTROL!$C$32, 12.925, 12.9202) * CHOOSE(CONTROL!$C$15, $D$11, 100%, $F$11)</f>
        <v>12.925000000000001</v>
      </c>
      <c r="D480" s="8">
        <f>CHOOSE( CONTROL!$C$32, 12.9468, 12.942) * CHOOSE( CONTROL!$C$15, $D$11, 100%, $F$11)</f>
        <v>12.9468</v>
      </c>
      <c r="E480" s="12">
        <f>CHOOSE( CONTROL!$C$32, 12.9377, 12.9329) * CHOOSE( CONTROL!$C$15, $D$11, 100%, $F$11)</f>
        <v>12.9377</v>
      </c>
      <c r="F480" s="4">
        <f>CHOOSE( CONTROL!$C$32, 13.6148, 13.6099) * CHOOSE(CONTROL!$C$15, $D$11, 100%, $F$11)</f>
        <v>13.614800000000001</v>
      </c>
      <c r="G480" s="8">
        <f>CHOOSE( CONTROL!$C$32, 12.6032, 12.5985) * CHOOSE( CONTROL!$C$15, $D$11, 100%, $F$11)</f>
        <v>12.603199999999999</v>
      </c>
      <c r="H480" s="4">
        <f>CHOOSE( CONTROL!$C$32, 13.5324, 13.5276) * CHOOSE(CONTROL!$C$15, $D$11, 100%, $F$11)</f>
        <v>13.532400000000001</v>
      </c>
      <c r="I480" s="8">
        <f>CHOOSE( CONTROL!$C$32, 12.4854, 12.4807) * CHOOSE(CONTROL!$C$15, $D$11, 100%, $F$11)</f>
        <v>12.4854</v>
      </c>
      <c r="J480" s="4">
        <f>CHOOSE( CONTROL!$C$32, 12.3723, 12.3677) * CHOOSE(CONTROL!$C$15, $D$11, 100%, $F$11)</f>
        <v>12.372299999999999</v>
      </c>
      <c r="K480" s="4"/>
      <c r="L480" s="9">
        <v>30.7165</v>
      </c>
      <c r="M480" s="9">
        <v>12.063700000000001</v>
      </c>
      <c r="N480" s="9">
        <v>4.9444999999999997</v>
      </c>
      <c r="O480" s="9">
        <v>0.37409999999999999</v>
      </c>
      <c r="P480" s="9">
        <v>1.2183999999999999</v>
      </c>
      <c r="Q480" s="9">
        <v>19.877800000000001</v>
      </c>
      <c r="R480" s="9"/>
      <c r="S480" s="11"/>
    </row>
    <row r="481" spans="1:19" ht="15.75">
      <c r="A481" s="13">
        <v>56157</v>
      </c>
      <c r="B481" s="8">
        <f>CHOOSE( CONTROL!$C$32, 12.6471, 12.6423) * CHOOSE(CONTROL!$C$15, $D$11, 100%, $F$11)</f>
        <v>12.6471</v>
      </c>
      <c r="C481" s="8">
        <f>CHOOSE( CONTROL!$C$32, 12.6552, 12.6504) * CHOOSE(CONTROL!$C$15, $D$11, 100%, $F$11)</f>
        <v>12.655200000000001</v>
      </c>
      <c r="D481" s="8">
        <f>CHOOSE( CONTROL!$C$32, 12.677, 12.6722) * CHOOSE( CONTROL!$C$15, $D$11, 100%, $F$11)</f>
        <v>12.677</v>
      </c>
      <c r="E481" s="12">
        <f>CHOOSE( CONTROL!$C$32, 12.6679, 12.6631) * CHOOSE( CONTROL!$C$15, $D$11, 100%, $F$11)</f>
        <v>12.667899999999999</v>
      </c>
      <c r="F481" s="4">
        <f>CHOOSE( CONTROL!$C$32, 13.3449, 13.3401) * CHOOSE(CONTROL!$C$15, $D$11, 100%, $F$11)</f>
        <v>13.344900000000001</v>
      </c>
      <c r="G481" s="8">
        <f>CHOOSE( CONTROL!$C$32, 12.3397, 12.3349) * CHOOSE( CONTROL!$C$15, $D$11, 100%, $F$11)</f>
        <v>12.339700000000001</v>
      </c>
      <c r="H481" s="4">
        <f>CHOOSE( CONTROL!$C$32, 13.2688, 13.2641) * CHOOSE(CONTROL!$C$15, $D$11, 100%, $F$11)</f>
        <v>13.268800000000001</v>
      </c>
      <c r="I481" s="8">
        <f>CHOOSE( CONTROL!$C$32, 12.2261, 12.2214) * CHOOSE(CONTROL!$C$15, $D$11, 100%, $F$11)</f>
        <v>12.226100000000001</v>
      </c>
      <c r="J481" s="4">
        <f>CHOOSE( CONTROL!$C$32, 12.1133, 12.1086) * CHOOSE(CONTROL!$C$15, $D$11, 100%, $F$11)</f>
        <v>12.113300000000001</v>
      </c>
      <c r="K481" s="4"/>
      <c r="L481" s="9">
        <v>29.7257</v>
      </c>
      <c r="M481" s="9">
        <v>11.6745</v>
      </c>
      <c r="N481" s="9">
        <v>4.7850000000000001</v>
      </c>
      <c r="O481" s="9">
        <v>0.36199999999999999</v>
      </c>
      <c r="P481" s="9">
        <v>1.1791</v>
      </c>
      <c r="Q481" s="9">
        <v>19.236599999999999</v>
      </c>
      <c r="R481" s="9"/>
      <c r="S481" s="11"/>
    </row>
    <row r="482" spans="1:19" ht="15.75">
      <c r="A482" s="13">
        <v>56188</v>
      </c>
      <c r="B482" s="8">
        <f>13.2008 * CHOOSE(CONTROL!$C$15, $D$11, 100%, $F$11)</f>
        <v>13.200799999999999</v>
      </c>
      <c r="C482" s="8">
        <f>13.2063 * CHOOSE(CONTROL!$C$15, $D$11, 100%, $F$11)</f>
        <v>13.206300000000001</v>
      </c>
      <c r="D482" s="8">
        <f>13.2327 * CHOOSE( CONTROL!$C$15, $D$11, 100%, $F$11)</f>
        <v>13.232699999999999</v>
      </c>
      <c r="E482" s="12">
        <f>13.2234 * CHOOSE( CONTROL!$C$15, $D$11, 100%, $F$11)</f>
        <v>13.2234</v>
      </c>
      <c r="F482" s="4">
        <f>13.9004 * CHOOSE(CONTROL!$C$15, $D$11, 100%, $F$11)</f>
        <v>13.900399999999999</v>
      </c>
      <c r="G482" s="8">
        <f>12.8814 * CHOOSE( CONTROL!$C$15, $D$11, 100%, $F$11)</f>
        <v>12.881399999999999</v>
      </c>
      <c r="H482" s="4">
        <f>13.8113 * CHOOSE(CONTROL!$C$15, $D$11, 100%, $F$11)</f>
        <v>13.811299999999999</v>
      </c>
      <c r="I482" s="8">
        <f>12.7604 * CHOOSE(CONTROL!$C$15, $D$11, 100%, $F$11)</f>
        <v>12.760400000000001</v>
      </c>
      <c r="J482" s="4">
        <f>12.6465 * CHOOSE(CONTROL!$C$15, $D$11, 100%, $F$11)</f>
        <v>12.6465</v>
      </c>
      <c r="K482" s="4"/>
      <c r="L482" s="9">
        <v>31.095300000000002</v>
      </c>
      <c r="M482" s="9">
        <v>12.063700000000001</v>
      </c>
      <c r="N482" s="9">
        <v>4.9444999999999997</v>
      </c>
      <c r="O482" s="9">
        <v>0.37409999999999999</v>
      </c>
      <c r="P482" s="9">
        <v>1.2183999999999999</v>
      </c>
      <c r="Q482" s="9">
        <v>19.877800000000001</v>
      </c>
      <c r="R482" s="9"/>
      <c r="S482" s="11"/>
    </row>
    <row r="483" spans="1:19" ht="15.75">
      <c r="A483" s="13">
        <v>56218</v>
      </c>
      <c r="B483" s="8">
        <f>14.2346 * CHOOSE(CONTROL!$C$15, $D$11, 100%, $F$11)</f>
        <v>14.2346</v>
      </c>
      <c r="C483" s="8">
        <f>14.2397 * CHOOSE(CONTROL!$C$15, $D$11, 100%, $F$11)</f>
        <v>14.239699999999999</v>
      </c>
      <c r="D483" s="8">
        <f>14.229 * CHOOSE( CONTROL!$C$15, $D$11, 100%, $F$11)</f>
        <v>14.228999999999999</v>
      </c>
      <c r="E483" s="12">
        <f>14.2324 * CHOOSE( CONTROL!$C$15, $D$11, 100%, $F$11)</f>
        <v>14.2324</v>
      </c>
      <c r="F483" s="4">
        <f>14.8835 * CHOOSE(CONTROL!$C$15, $D$11, 100%, $F$11)</f>
        <v>14.8835</v>
      </c>
      <c r="G483" s="8">
        <f>13.896 * CHOOSE( CONTROL!$C$15, $D$11, 100%, $F$11)</f>
        <v>13.896000000000001</v>
      </c>
      <c r="H483" s="4">
        <f>14.7715 * CHOOSE(CONTROL!$C$15, $D$11, 100%, $F$11)</f>
        <v>14.7715</v>
      </c>
      <c r="I483" s="8">
        <f>13.7793 * CHOOSE(CONTROL!$C$15, $D$11, 100%, $F$11)</f>
        <v>13.779299999999999</v>
      </c>
      <c r="J483" s="4">
        <f>13.6394 * CHOOSE(CONTROL!$C$15, $D$11, 100%, $F$11)</f>
        <v>13.6394</v>
      </c>
      <c r="K483" s="4"/>
      <c r="L483" s="9">
        <v>28.360600000000002</v>
      </c>
      <c r="M483" s="9">
        <v>11.6745</v>
      </c>
      <c r="N483" s="9">
        <v>4.7850000000000001</v>
      </c>
      <c r="O483" s="9">
        <v>0.36199999999999999</v>
      </c>
      <c r="P483" s="9">
        <v>1.2509999999999999</v>
      </c>
      <c r="Q483" s="9">
        <v>19.236599999999999</v>
      </c>
      <c r="R483" s="9"/>
      <c r="S483" s="11"/>
    </row>
    <row r="484" spans="1:19" ht="15.75">
      <c r="A484" s="13">
        <v>56249</v>
      </c>
      <c r="B484" s="8">
        <f>14.2087 * CHOOSE(CONTROL!$C$15, $D$11, 100%, $F$11)</f>
        <v>14.2087</v>
      </c>
      <c r="C484" s="8">
        <f>14.2139 * CHOOSE(CONTROL!$C$15, $D$11, 100%, $F$11)</f>
        <v>14.213900000000001</v>
      </c>
      <c r="D484" s="8">
        <f>14.2045 * CHOOSE( CONTROL!$C$15, $D$11, 100%, $F$11)</f>
        <v>14.204499999999999</v>
      </c>
      <c r="E484" s="12">
        <f>14.2074 * CHOOSE( CONTROL!$C$15, $D$11, 100%, $F$11)</f>
        <v>14.2074</v>
      </c>
      <c r="F484" s="4">
        <f>14.8576 * CHOOSE(CONTROL!$C$15, $D$11, 100%, $F$11)</f>
        <v>14.8576</v>
      </c>
      <c r="G484" s="8">
        <f>13.8717 * CHOOSE( CONTROL!$C$15, $D$11, 100%, $F$11)</f>
        <v>13.871700000000001</v>
      </c>
      <c r="H484" s="4">
        <f>14.7463 * CHOOSE(CONTROL!$C$15, $D$11, 100%, $F$11)</f>
        <v>14.7463</v>
      </c>
      <c r="I484" s="8">
        <f>13.7588 * CHOOSE(CONTROL!$C$15, $D$11, 100%, $F$11)</f>
        <v>13.758800000000001</v>
      </c>
      <c r="J484" s="4">
        <f>13.6146 * CHOOSE(CONTROL!$C$15, $D$11, 100%, $F$11)</f>
        <v>13.614599999999999</v>
      </c>
      <c r="K484" s="4"/>
      <c r="L484" s="9">
        <v>29.306000000000001</v>
      </c>
      <c r="M484" s="9">
        <v>12.063700000000001</v>
      </c>
      <c r="N484" s="9">
        <v>4.9444999999999997</v>
      </c>
      <c r="O484" s="9">
        <v>0.37409999999999999</v>
      </c>
      <c r="P484" s="9">
        <v>1.2927</v>
      </c>
      <c r="Q484" s="9">
        <v>19.877800000000001</v>
      </c>
      <c r="R484" s="9"/>
      <c r="S484" s="11"/>
    </row>
    <row r="485" spans="1:19" ht="15.75">
      <c r="A485" s="13">
        <v>56280</v>
      </c>
      <c r="B485" s="8">
        <f>14.7507 * CHOOSE(CONTROL!$C$15, $D$11, 100%, $F$11)</f>
        <v>14.7507</v>
      </c>
      <c r="C485" s="8">
        <f>14.7559 * CHOOSE(CONTROL!$C$15, $D$11, 100%, $F$11)</f>
        <v>14.7559</v>
      </c>
      <c r="D485" s="8">
        <f>14.7423 * CHOOSE( CONTROL!$C$15, $D$11, 100%, $F$11)</f>
        <v>14.7423</v>
      </c>
      <c r="E485" s="12">
        <f>14.7467 * CHOOSE( CONTROL!$C$15, $D$11, 100%, $F$11)</f>
        <v>14.746700000000001</v>
      </c>
      <c r="F485" s="4">
        <f>15.3996 * CHOOSE(CONTROL!$C$15, $D$11, 100%, $F$11)</f>
        <v>15.3996</v>
      </c>
      <c r="G485" s="8">
        <f>14.3948 * CHOOSE( CONTROL!$C$15, $D$11, 100%, $F$11)</f>
        <v>14.3948</v>
      </c>
      <c r="H485" s="4">
        <f>15.2756 * CHOOSE(CONTROL!$C$15, $D$11, 100%, $F$11)</f>
        <v>15.275600000000001</v>
      </c>
      <c r="I485" s="8">
        <f>14.2557 * CHOOSE(CONTROL!$C$15, $D$11, 100%, $F$11)</f>
        <v>14.255699999999999</v>
      </c>
      <c r="J485" s="4">
        <f>14.135 * CHOOSE(CONTROL!$C$15, $D$11, 100%, $F$11)</f>
        <v>14.135</v>
      </c>
      <c r="K485" s="4"/>
      <c r="L485" s="9">
        <v>29.306000000000001</v>
      </c>
      <c r="M485" s="9">
        <v>12.063700000000001</v>
      </c>
      <c r="N485" s="9">
        <v>4.9444999999999997</v>
      </c>
      <c r="O485" s="9">
        <v>0.37409999999999999</v>
      </c>
      <c r="P485" s="9">
        <v>1.2927</v>
      </c>
      <c r="Q485" s="9">
        <v>19.814599999999999</v>
      </c>
      <c r="R485" s="9"/>
      <c r="S485" s="11"/>
    </row>
    <row r="486" spans="1:19" ht="15.75">
      <c r="A486" s="13">
        <v>56308</v>
      </c>
      <c r="B486" s="8">
        <f>13.7989 * CHOOSE(CONTROL!$C$15, $D$11, 100%, $F$11)</f>
        <v>13.7989</v>
      </c>
      <c r="C486" s="8">
        <f>13.8041 * CHOOSE(CONTROL!$C$15, $D$11, 100%, $F$11)</f>
        <v>13.8041</v>
      </c>
      <c r="D486" s="8">
        <f>13.7906 * CHOOSE( CONTROL!$C$15, $D$11, 100%, $F$11)</f>
        <v>13.7906</v>
      </c>
      <c r="E486" s="12">
        <f>13.795 * CHOOSE( CONTROL!$C$15, $D$11, 100%, $F$11)</f>
        <v>13.795</v>
      </c>
      <c r="F486" s="4">
        <f>14.4478 * CHOOSE(CONTROL!$C$15, $D$11, 100%, $F$11)</f>
        <v>14.447800000000001</v>
      </c>
      <c r="G486" s="8">
        <f>13.4652 * CHOOSE( CONTROL!$C$15, $D$11, 100%, $F$11)</f>
        <v>13.465199999999999</v>
      </c>
      <c r="H486" s="4">
        <f>14.346 * CHOOSE(CONTROL!$C$15, $D$11, 100%, $F$11)</f>
        <v>14.346</v>
      </c>
      <c r="I486" s="8">
        <f>13.3415 * CHOOSE(CONTROL!$C$15, $D$11, 100%, $F$11)</f>
        <v>13.3415</v>
      </c>
      <c r="J486" s="4">
        <f>13.2211 * CHOOSE(CONTROL!$C$15, $D$11, 100%, $F$11)</f>
        <v>13.2211</v>
      </c>
      <c r="K486" s="4"/>
      <c r="L486" s="9">
        <v>26.469899999999999</v>
      </c>
      <c r="M486" s="9">
        <v>10.8962</v>
      </c>
      <c r="N486" s="9">
        <v>4.4660000000000002</v>
      </c>
      <c r="O486" s="9">
        <v>0.33789999999999998</v>
      </c>
      <c r="P486" s="9">
        <v>1.1676</v>
      </c>
      <c r="Q486" s="9">
        <v>17.896999999999998</v>
      </c>
      <c r="R486" s="9"/>
      <c r="S486" s="11"/>
    </row>
    <row r="487" spans="1:19" ht="15.75">
      <c r="A487" s="13">
        <v>56339</v>
      </c>
      <c r="B487" s="8">
        <f>13.5058 * CHOOSE(CONTROL!$C$15, $D$11, 100%, $F$11)</f>
        <v>13.505800000000001</v>
      </c>
      <c r="C487" s="8">
        <f>13.5109 * CHOOSE(CONTROL!$C$15, $D$11, 100%, $F$11)</f>
        <v>13.510899999999999</v>
      </c>
      <c r="D487" s="8">
        <f>13.4971 * CHOOSE( CONTROL!$C$15, $D$11, 100%, $F$11)</f>
        <v>13.4971</v>
      </c>
      <c r="E487" s="12">
        <f>13.5016 * CHOOSE( CONTROL!$C$15, $D$11, 100%, $F$11)</f>
        <v>13.5016</v>
      </c>
      <c r="F487" s="4">
        <f>14.1547 * CHOOSE(CONTROL!$C$15, $D$11, 100%, $F$11)</f>
        <v>14.1547</v>
      </c>
      <c r="G487" s="8">
        <f>13.1787 * CHOOSE( CONTROL!$C$15, $D$11, 100%, $F$11)</f>
        <v>13.178699999999999</v>
      </c>
      <c r="H487" s="4">
        <f>14.0597 * CHOOSE(CONTROL!$C$15, $D$11, 100%, $F$11)</f>
        <v>14.059699999999999</v>
      </c>
      <c r="I487" s="8">
        <f>13.0589 * CHOOSE(CONTROL!$C$15, $D$11, 100%, $F$11)</f>
        <v>13.0589</v>
      </c>
      <c r="J487" s="4">
        <f>12.9397 * CHOOSE(CONTROL!$C$15, $D$11, 100%, $F$11)</f>
        <v>12.9397</v>
      </c>
      <c r="K487" s="4"/>
      <c r="L487" s="9">
        <v>29.306000000000001</v>
      </c>
      <c r="M487" s="9">
        <v>12.063700000000001</v>
      </c>
      <c r="N487" s="9">
        <v>4.9444999999999997</v>
      </c>
      <c r="O487" s="9">
        <v>0.37409999999999999</v>
      </c>
      <c r="P487" s="9">
        <v>1.2927</v>
      </c>
      <c r="Q487" s="9">
        <v>19.814599999999999</v>
      </c>
      <c r="R487" s="9"/>
      <c r="S487" s="11"/>
    </row>
    <row r="488" spans="1:19" ht="15.75">
      <c r="A488" s="13">
        <v>56369</v>
      </c>
      <c r="B488" s="8">
        <f>13.7114 * CHOOSE(CONTROL!$C$15, $D$11, 100%, $F$11)</f>
        <v>13.711399999999999</v>
      </c>
      <c r="C488" s="8">
        <f>13.716 * CHOOSE(CONTROL!$C$15, $D$11, 100%, $F$11)</f>
        <v>13.715999999999999</v>
      </c>
      <c r="D488" s="8">
        <f>13.7423 * CHOOSE( CONTROL!$C$15, $D$11, 100%, $F$11)</f>
        <v>13.7423</v>
      </c>
      <c r="E488" s="12">
        <f>13.7331 * CHOOSE( CONTROL!$C$15, $D$11, 100%, $F$11)</f>
        <v>13.7331</v>
      </c>
      <c r="F488" s="4">
        <f>14.4105 * CHOOSE(CONTROL!$C$15, $D$11, 100%, $F$11)</f>
        <v>14.410500000000001</v>
      </c>
      <c r="G488" s="8">
        <f>13.3788 * CHOOSE( CONTROL!$C$15, $D$11, 100%, $F$11)</f>
        <v>13.3788</v>
      </c>
      <c r="H488" s="4">
        <f>14.3096 * CHOOSE(CONTROL!$C$15, $D$11, 100%, $F$11)</f>
        <v>14.3096</v>
      </c>
      <c r="I488" s="8">
        <f>13.2475 * CHOOSE(CONTROL!$C$15, $D$11, 100%, $F$11)</f>
        <v>13.2475</v>
      </c>
      <c r="J488" s="4">
        <f>13.1364 * CHOOSE(CONTROL!$C$15, $D$11, 100%, $F$11)</f>
        <v>13.1364</v>
      </c>
      <c r="K488" s="4"/>
      <c r="L488" s="9">
        <v>30.092199999999998</v>
      </c>
      <c r="M488" s="9">
        <v>11.6745</v>
      </c>
      <c r="N488" s="9">
        <v>4.7850000000000001</v>
      </c>
      <c r="O488" s="9">
        <v>0.36199999999999999</v>
      </c>
      <c r="P488" s="9">
        <v>1.1791</v>
      </c>
      <c r="Q488" s="9">
        <v>19.1754</v>
      </c>
      <c r="R488" s="9"/>
      <c r="S488" s="11"/>
    </row>
    <row r="489" spans="1:19" ht="15.75">
      <c r="A489" s="13">
        <v>56400</v>
      </c>
      <c r="B489" s="8">
        <f>CHOOSE( CONTROL!$C$32, 14.0821, 14.0773) * CHOOSE(CONTROL!$C$15, $D$11, 100%, $F$11)</f>
        <v>14.082100000000001</v>
      </c>
      <c r="C489" s="8">
        <f>CHOOSE( CONTROL!$C$32, 14.0902, 14.0854) * CHOOSE(CONTROL!$C$15, $D$11, 100%, $F$11)</f>
        <v>14.090199999999999</v>
      </c>
      <c r="D489" s="8">
        <f>CHOOSE( CONTROL!$C$32, 14.1115, 14.1067) * CHOOSE( CONTROL!$C$15, $D$11, 100%, $F$11)</f>
        <v>14.111499999999999</v>
      </c>
      <c r="E489" s="12">
        <f>CHOOSE( CONTROL!$C$32, 14.1025, 14.0977) * CHOOSE( CONTROL!$C$15, $D$11, 100%, $F$11)</f>
        <v>14.102499999999999</v>
      </c>
      <c r="F489" s="4">
        <f>CHOOSE( CONTROL!$C$32, 14.7799, 14.7751) * CHOOSE(CONTROL!$C$15, $D$11, 100%, $F$11)</f>
        <v>14.7799</v>
      </c>
      <c r="G489" s="8">
        <f>CHOOSE( CONTROL!$C$32, 13.7405, 13.7358) * CHOOSE( CONTROL!$C$15, $D$11, 100%, $F$11)</f>
        <v>13.740500000000001</v>
      </c>
      <c r="H489" s="4">
        <f>CHOOSE( CONTROL!$C$32, 14.6704, 14.6657) * CHOOSE(CONTROL!$C$15, $D$11, 100%, $F$11)</f>
        <v>14.670400000000001</v>
      </c>
      <c r="I489" s="8">
        <f>CHOOSE( CONTROL!$C$32, 13.6023, 13.5976) * CHOOSE(CONTROL!$C$15, $D$11, 100%, $F$11)</f>
        <v>13.6023</v>
      </c>
      <c r="J489" s="4">
        <f>CHOOSE( CONTROL!$C$32, 13.491, 13.4864) * CHOOSE(CONTROL!$C$15, $D$11, 100%, $F$11)</f>
        <v>13.491</v>
      </c>
      <c r="K489" s="4"/>
      <c r="L489" s="9">
        <v>30.7165</v>
      </c>
      <c r="M489" s="9">
        <v>12.063700000000001</v>
      </c>
      <c r="N489" s="9">
        <v>4.9444999999999997</v>
      </c>
      <c r="O489" s="9">
        <v>0.37409999999999999</v>
      </c>
      <c r="P489" s="9">
        <v>1.2183999999999999</v>
      </c>
      <c r="Q489" s="9">
        <v>19.814599999999999</v>
      </c>
      <c r="R489" s="9"/>
      <c r="S489" s="11"/>
    </row>
    <row r="490" spans="1:19" ht="15.75">
      <c r="A490" s="13">
        <v>56430</v>
      </c>
      <c r="B490" s="8">
        <f>CHOOSE( CONTROL!$C$32, 13.8563, 13.8515) * CHOOSE(CONTROL!$C$15, $D$11, 100%, $F$11)</f>
        <v>13.856299999999999</v>
      </c>
      <c r="C490" s="8">
        <f>CHOOSE( CONTROL!$C$32, 13.8644, 13.8596) * CHOOSE(CONTROL!$C$15, $D$11, 100%, $F$11)</f>
        <v>13.8644</v>
      </c>
      <c r="D490" s="8">
        <f>CHOOSE( CONTROL!$C$32, 13.8859, 13.8811) * CHOOSE( CONTROL!$C$15, $D$11, 100%, $F$11)</f>
        <v>13.885899999999999</v>
      </c>
      <c r="E490" s="12">
        <f>CHOOSE( CONTROL!$C$32, 13.8769, 13.8721) * CHOOSE( CONTROL!$C$15, $D$11, 100%, $F$11)</f>
        <v>13.876899999999999</v>
      </c>
      <c r="F490" s="4">
        <f>CHOOSE( CONTROL!$C$32, 14.5541, 14.5493) * CHOOSE(CONTROL!$C$15, $D$11, 100%, $F$11)</f>
        <v>14.5541</v>
      </c>
      <c r="G490" s="8">
        <f>CHOOSE( CONTROL!$C$32, 13.5203, 13.5155) * CHOOSE( CONTROL!$C$15, $D$11, 100%, $F$11)</f>
        <v>13.520300000000001</v>
      </c>
      <c r="H490" s="4">
        <f>CHOOSE( CONTROL!$C$32, 14.4498, 14.4451) * CHOOSE(CONTROL!$C$15, $D$11, 100%, $F$11)</f>
        <v>14.4498</v>
      </c>
      <c r="I490" s="8">
        <f>CHOOSE( CONTROL!$C$32, 13.3863, 13.3816) * CHOOSE(CONTROL!$C$15, $D$11, 100%, $F$11)</f>
        <v>13.3863</v>
      </c>
      <c r="J490" s="4">
        <f>CHOOSE( CONTROL!$C$32, 13.2742, 13.2696) * CHOOSE(CONTROL!$C$15, $D$11, 100%, $F$11)</f>
        <v>13.2742</v>
      </c>
      <c r="K490" s="4"/>
      <c r="L490" s="9">
        <v>29.7257</v>
      </c>
      <c r="M490" s="9">
        <v>11.6745</v>
      </c>
      <c r="N490" s="9">
        <v>4.7850000000000001</v>
      </c>
      <c r="O490" s="9">
        <v>0.36199999999999999</v>
      </c>
      <c r="P490" s="9">
        <v>1.1791</v>
      </c>
      <c r="Q490" s="9">
        <v>19.1754</v>
      </c>
      <c r="R490" s="9"/>
      <c r="S490" s="11"/>
    </row>
    <row r="491" spans="1:19" ht="15.75">
      <c r="A491" s="13">
        <v>56461</v>
      </c>
      <c r="B491" s="8">
        <f>CHOOSE( CONTROL!$C$32, 14.451, 14.4462) * CHOOSE(CONTROL!$C$15, $D$11, 100%, $F$11)</f>
        <v>14.451000000000001</v>
      </c>
      <c r="C491" s="8">
        <f>CHOOSE( CONTROL!$C$32, 14.4591, 14.4543) * CHOOSE(CONTROL!$C$15, $D$11, 100%, $F$11)</f>
        <v>14.459099999999999</v>
      </c>
      <c r="D491" s="8">
        <f>CHOOSE( CONTROL!$C$32, 14.4808, 14.476) * CHOOSE( CONTROL!$C$15, $D$11, 100%, $F$11)</f>
        <v>14.4808</v>
      </c>
      <c r="E491" s="12">
        <f>CHOOSE( CONTROL!$C$32, 14.4717, 14.4669) * CHOOSE( CONTROL!$C$15, $D$11, 100%, $F$11)</f>
        <v>14.4717</v>
      </c>
      <c r="F491" s="4">
        <f>CHOOSE( CONTROL!$C$32, 15.1488, 15.144) * CHOOSE(CONTROL!$C$15, $D$11, 100%, $F$11)</f>
        <v>15.1488</v>
      </c>
      <c r="G491" s="8">
        <f>CHOOSE( CONTROL!$C$32, 14.1015, 14.0968) * CHOOSE( CONTROL!$C$15, $D$11, 100%, $F$11)</f>
        <v>14.1015</v>
      </c>
      <c r="H491" s="4">
        <f>CHOOSE( CONTROL!$C$32, 15.0307, 15.026) * CHOOSE(CONTROL!$C$15, $D$11, 100%, $F$11)</f>
        <v>15.0307</v>
      </c>
      <c r="I491" s="8">
        <f>CHOOSE( CONTROL!$C$32, 13.9587, 13.954) * CHOOSE(CONTROL!$C$15, $D$11, 100%, $F$11)</f>
        <v>13.9587</v>
      </c>
      <c r="J491" s="4">
        <f>CHOOSE( CONTROL!$C$32, 13.8452, 13.8406) * CHOOSE(CONTROL!$C$15, $D$11, 100%, $F$11)</f>
        <v>13.8452</v>
      </c>
      <c r="K491" s="4"/>
      <c r="L491" s="9">
        <v>30.7165</v>
      </c>
      <c r="M491" s="9">
        <v>12.063700000000001</v>
      </c>
      <c r="N491" s="9">
        <v>4.9444999999999997</v>
      </c>
      <c r="O491" s="9">
        <v>0.37409999999999999</v>
      </c>
      <c r="P491" s="9">
        <v>1.2183999999999999</v>
      </c>
      <c r="Q491" s="9">
        <v>19.814599999999999</v>
      </c>
      <c r="R491" s="9"/>
      <c r="S491" s="11"/>
    </row>
    <row r="492" spans="1:19" ht="15.75">
      <c r="A492" s="13">
        <v>56492</v>
      </c>
      <c r="B492" s="8">
        <f>CHOOSE( CONTROL!$C$32, 13.3382, 13.3334) * CHOOSE(CONTROL!$C$15, $D$11, 100%, $F$11)</f>
        <v>13.338200000000001</v>
      </c>
      <c r="C492" s="8">
        <f>CHOOSE( CONTROL!$C$32, 13.3463, 13.3415) * CHOOSE(CONTROL!$C$15, $D$11, 100%, $F$11)</f>
        <v>13.346299999999999</v>
      </c>
      <c r="D492" s="8">
        <f>CHOOSE( CONTROL!$C$32, 13.3681, 13.3633) * CHOOSE( CONTROL!$C$15, $D$11, 100%, $F$11)</f>
        <v>13.3681</v>
      </c>
      <c r="E492" s="12">
        <f>CHOOSE( CONTROL!$C$32, 13.359, 13.3542) * CHOOSE( CONTROL!$C$15, $D$11, 100%, $F$11)</f>
        <v>13.359</v>
      </c>
      <c r="F492" s="4">
        <f>CHOOSE( CONTROL!$C$32, 14.036, 14.0312) * CHOOSE(CONTROL!$C$15, $D$11, 100%, $F$11)</f>
        <v>14.036</v>
      </c>
      <c r="G492" s="8">
        <f>CHOOSE( CONTROL!$C$32, 13.0147, 13.01) * CHOOSE( CONTROL!$C$15, $D$11, 100%, $F$11)</f>
        <v>13.014699999999999</v>
      </c>
      <c r="H492" s="4">
        <f>CHOOSE( CONTROL!$C$32, 13.9438, 13.9391) * CHOOSE(CONTROL!$C$15, $D$11, 100%, $F$11)</f>
        <v>13.9438</v>
      </c>
      <c r="I492" s="8">
        <f>CHOOSE( CONTROL!$C$32, 12.89, 12.8854) * CHOOSE(CONTROL!$C$15, $D$11, 100%, $F$11)</f>
        <v>12.89</v>
      </c>
      <c r="J492" s="4">
        <f>CHOOSE( CONTROL!$C$32, 12.7768, 12.7722) * CHOOSE(CONTROL!$C$15, $D$11, 100%, $F$11)</f>
        <v>12.7768</v>
      </c>
      <c r="K492" s="4"/>
      <c r="L492" s="9">
        <v>30.7165</v>
      </c>
      <c r="M492" s="9">
        <v>12.063700000000001</v>
      </c>
      <c r="N492" s="9">
        <v>4.9444999999999997</v>
      </c>
      <c r="O492" s="9">
        <v>0.37409999999999999</v>
      </c>
      <c r="P492" s="9">
        <v>1.2183999999999999</v>
      </c>
      <c r="Q492" s="9">
        <v>19.814599999999999</v>
      </c>
      <c r="R492" s="9"/>
      <c r="S492" s="11"/>
    </row>
    <row r="493" spans="1:19" ht="15.75">
      <c r="A493" s="13">
        <v>56522</v>
      </c>
      <c r="B493" s="8">
        <f>CHOOSE( CONTROL!$C$32, 13.0596, 13.0547) * CHOOSE(CONTROL!$C$15, $D$11, 100%, $F$11)</f>
        <v>13.0596</v>
      </c>
      <c r="C493" s="8">
        <f>CHOOSE( CONTROL!$C$32, 13.0677, 13.0628) * CHOOSE(CONTROL!$C$15, $D$11, 100%, $F$11)</f>
        <v>13.0677</v>
      </c>
      <c r="D493" s="8">
        <f>CHOOSE( CONTROL!$C$32, 13.0894, 13.0846) * CHOOSE( CONTROL!$C$15, $D$11, 100%, $F$11)</f>
        <v>13.089399999999999</v>
      </c>
      <c r="E493" s="12">
        <f>CHOOSE( CONTROL!$C$32, 13.0803, 13.0755) * CHOOSE( CONTROL!$C$15, $D$11, 100%, $F$11)</f>
        <v>13.080299999999999</v>
      </c>
      <c r="F493" s="4">
        <f>CHOOSE( CONTROL!$C$32, 13.7574, 13.7526) * CHOOSE(CONTROL!$C$15, $D$11, 100%, $F$11)</f>
        <v>13.757400000000001</v>
      </c>
      <c r="G493" s="8">
        <f>CHOOSE( CONTROL!$C$32, 12.7425, 12.7378) * CHOOSE( CONTROL!$C$15, $D$11, 100%, $F$11)</f>
        <v>12.7425</v>
      </c>
      <c r="H493" s="4">
        <f>CHOOSE( CONTROL!$C$32, 13.6717, 13.6669) * CHOOSE(CONTROL!$C$15, $D$11, 100%, $F$11)</f>
        <v>13.6717</v>
      </c>
      <c r="I493" s="8">
        <f>CHOOSE( CONTROL!$C$32, 12.6223, 12.6176) * CHOOSE(CONTROL!$C$15, $D$11, 100%, $F$11)</f>
        <v>12.622299999999999</v>
      </c>
      <c r="J493" s="4">
        <f>CHOOSE( CONTROL!$C$32, 12.5093, 12.5046) * CHOOSE(CONTROL!$C$15, $D$11, 100%, $F$11)</f>
        <v>12.5093</v>
      </c>
      <c r="K493" s="4"/>
      <c r="L493" s="9">
        <v>29.7257</v>
      </c>
      <c r="M493" s="9">
        <v>11.6745</v>
      </c>
      <c r="N493" s="9">
        <v>4.7850000000000001</v>
      </c>
      <c r="O493" s="9">
        <v>0.36199999999999999</v>
      </c>
      <c r="P493" s="9">
        <v>1.1791</v>
      </c>
      <c r="Q493" s="9">
        <v>19.1754</v>
      </c>
      <c r="R493" s="9"/>
      <c r="S493" s="11"/>
    </row>
    <row r="494" spans="1:19" ht="15.75">
      <c r="A494" s="13">
        <v>56553</v>
      </c>
      <c r="B494" s="8">
        <f>13.6316 * CHOOSE(CONTROL!$C$15, $D$11, 100%, $F$11)</f>
        <v>13.631600000000001</v>
      </c>
      <c r="C494" s="8">
        <f>13.637 * CHOOSE(CONTROL!$C$15, $D$11, 100%, $F$11)</f>
        <v>13.637</v>
      </c>
      <c r="D494" s="8">
        <f>13.6635 * CHOOSE( CONTROL!$C$15, $D$11, 100%, $F$11)</f>
        <v>13.663500000000001</v>
      </c>
      <c r="E494" s="12">
        <f>13.6542 * CHOOSE( CONTROL!$C$15, $D$11, 100%, $F$11)</f>
        <v>13.654199999999999</v>
      </c>
      <c r="F494" s="4">
        <f>14.3311 * CHOOSE(CONTROL!$C$15, $D$11, 100%, $F$11)</f>
        <v>14.331099999999999</v>
      </c>
      <c r="G494" s="8">
        <f>13.3021 * CHOOSE( CONTROL!$C$15, $D$11, 100%, $F$11)</f>
        <v>13.302099999999999</v>
      </c>
      <c r="H494" s="4">
        <f>14.232 * CHOOSE(CONTROL!$C$15, $D$11, 100%, $F$11)</f>
        <v>14.231999999999999</v>
      </c>
      <c r="I494" s="8">
        <f>13.1742 * CHOOSE(CONTROL!$C$15, $D$11, 100%, $F$11)</f>
        <v>13.174200000000001</v>
      </c>
      <c r="J494" s="4">
        <f>13.0601 * CHOOSE(CONTROL!$C$15, $D$11, 100%, $F$11)</f>
        <v>13.0601</v>
      </c>
      <c r="K494" s="4"/>
      <c r="L494" s="9">
        <v>31.095300000000002</v>
      </c>
      <c r="M494" s="9">
        <v>12.063700000000001</v>
      </c>
      <c r="N494" s="9">
        <v>4.9444999999999997</v>
      </c>
      <c r="O494" s="9">
        <v>0.37409999999999999</v>
      </c>
      <c r="P494" s="9">
        <v>1.2183999999999999</v>
      </c>
      <c r="Q494" s="9">
        <v>19.814599999999999</v>
      </c>
      <c r="R494" s="9"/>
      <c r="S494" s="11"/>
    </row>
    <row r="495" spans="1:19" ht="15.75">
      <c r="A495" s="13">
        <v>56583</v>
      </c>
      <c r="B495" s="8">
        <f>14.6991 * CHOOSE(CONTROL!$C$15, $D$11, 100%, $F$11)</f>
        <v>14.6991</v>
      </c>
      <c r="C495" s="8">
        <f>14.7043 * CHOOSE(CONTROL!$C$15, $D$11, 100%, $F$11)</f>
        <v>14.7043</v>
      </c>
      <c r="D495" s="8">
        <f>14.6936 * CHOOSE( CONTROL!$C$15, $D$11, 100%, $F$11)</f>
        <v>14.6936</v>
      </c>
      <c r="E495" s="12">
        <f>14.697 * CHOOSE( CONTROL!$C$15, $D$11, 100%, $F$11)</f>
        <v>14.696999999999999</v>
      </c>
      <c r="F495" s="4">
        <f>15.3481 * CHOOSE(CONTROL!$C$15, $D$11, 100%, $F$11)</f>
        <v>15.348100000000001</v>
      </c>
      <c r="G495" s="8">
        <f>14.3498 * CHOOSE( CONTROL!$C$15, $D$11, 100%, $F$11)</f>
        <v>14.3498</v>
      </c>
      <c r="H495" s="4">
        <f>15.2253 * CHOOSE(CONTROL!$C$15, $D$11, 100%, $F$11)</f>
        <v>15.225300000000001</v>
      </c>
      <c r="I495" s="8">
        <f>14.2256 * CHOOSE(CONTROL!$C$15, $D$11, 100%, $F$11)</f>
        <v>14.2256</v>
      </c>
      <c r="J495" s="4">
        <f>14.0855 * CHOOSE(CONTROL!$C$15, $D$11, 100%, $F$11)</f>
        <v>14.0855</v>
      </c>
      <c r="K495" s="4"/>
      <c r="L495" s="9">
        <v>28.360600000000002</v>
      </c>
      <c r="M495" s="9">
        <v>11.6745</v>
      </c>
      <c r="N495" s="9">
        <v>4.7850000000000001</v>
      </c>
      <c r="O495" s="9">
        <v>0.36199999999999999</v>
      </c>
      <c r="P495" s="9">
        <v>1.2509999999999999</v>
      </c>
      <c r="Q495" s="9">
        <v>19.1754</v>
      </c>
      <c r="R495" s="9"/>
      <c r="S495" s="11"/>
    </row>
    <row r="496" spans="1:19" ht="15.75">
      <c r="A496" s="13">
        <v>56614</v>
      </c>
      <c r="B496" s="8">
        <f>14.6725 * CHOOSE(CONTROL!$C$15, $D$11, 100%, $F$11)</f>
        <v>14.672499999999999</v>
      </c>
      <c r="C496" s="8">
        <f>14.6777 * CHOOSE(CONTROL!$C$15, $D$11, 100%, $F$11)</f>
        <v>14.6777</v>
      </c>
      <c r="D496" s="8">
        <f>14.6683 * CHOOSE( CONTROL!$C$15, $D$11, 100%, $F$11)</f>
        <v>14.6683</v>
      </c>
      <c r="E496" s="12">
        <f>14.6712 * CHOOSE( CONTROL!$C$15, $D$11, 100%, $F$11)</f>
        <v>14.671200000000001</v>
      </c>
      <c r="F496" s="4">
        <f>15.3214 * CHOOSE(CONTROL!$C$15, $D$11, 100%, $F$11)</f>
        <v>15.321400000000001</v>
      </c>
      <c r="G496" s="8">
        <f>14.3247 * CHOOSE( CONTROL!$C$15, $D$11, 100%, $F$11)</f>
        <v>14.3247</v>
      </c>
      <c r="H496" s="4">
        <f>15.1992 * CHOOSE(CONTROL!$C$15, $D$11, 100%, $F$11)</f>
        <v>15.199199999999999</v>
      </c>
      <c r="I496" s="8">
        <f>14.2043 * CHOOSE(CONTROL!$C$15, $D$11, 100%, $F$11)</f>
        <v>14.2043</v>
      </c>
      <c r="J496" s="4">
        <f>14.0599 * CHOOSE(CONTROL!$C$15, $D$11, 100%, $F$11)</f>
        <v>14.059900000000001</v>
      </c>
      <c r="K496" s="4"/>
      <c r="L496" s="9">
        <v>29.306000000000001</v>
      </c>
      <c r="M496" s="9">
        <v>12.063700000000001</v>
      </c>
      <c r="N496" s="9">
        <v>4.9444999999999997</v>
      </c>
      <c r="O496" s="9">
        <v>0.37409999999999999</v>
      </c>
      <c r="P496" s="9">
        <v>1.2927</v>
      </c>
      <c r="Q496" s="9">
        <v>19.814599999999999</v>
      </c>
      <c r="R496" s="9"/>
      <c r="S496" s="11"/>
    </row>
    <row r="497" spans="1:19" ht="15.75">
      <c r="A497" s="13">
        <v>56645</v>
      </c>
      <c r="B497" s="8">
        <f>15.2322 * CHOOSE(CONTROL!$C$15, $D$11, 100%, $F$11)</f>
        <v>15.232200000000001</v>
      </c>
      <c r="C497" s="8">
        <f>15.2373 * CHOOSE(CONTROL!$C$15, $D$11, 100%, $F$11)</f>
        <v>15.237299999999999</v>
      </c>
      <c r="D497" s="8">
        <f>15.2238 * CHOOSE( CONTROL!$C$15, $D$11, 100%, $F$11)</f>
        <v>15.223800000000001</v>
      </c>
      <c r="E497" s="12">
        <f>15.2282 * CHOOSE( CONTROL!$C$15, $D$11, 100%, $F$11)</f>
        <v>15.228199999999999</v>
      </c>
      <c r="F497" s="4">
        <f>15.8811 * CHOOSE(CONTROL!$C$15, $D$11, 100%, $F$11)</f>
        <v>15.8811</v>
      </c>
      <c r="G497" s="8">
        <f>14.8651 * CHOOSE( CONTROL!$C$15, $D$11, 100%, $F$11)</f>
        <v>14.8651</v>
      </c>
      <c r="H497" s="4">
        <f>15.7459 * CHOOSE(CONTROL!$C$15, $D$11, 100%, $F$11)</f>
        <v>15.745900000000001</v>
      </c>
      <c r="I497" s="8">
        <f>14.7182 * CHOOSE(CONTROL!$C$15, $D$11, 100%, $F$11)</f>
        <v>14.7182</v>
      </c>
      <c r="J497" s="4">
        <f>14.5972 * CHOOSE(CONTROL!$C$15, $D$11, 100%, $F$11)</f>
        <v>14.597200000000001</v>
      </c>
      <c r="K497" s="4"/>
      <c r="L497" s="9">
        <v>29.306000000000001</v>
      </c>
      <c r="M497" s="9">
        <v>12.063700000000001</v>
      </c>
      <c r="N497" s="9">
        <v>4.9444999999999997</v>
      </c>
      <c r="O497" s="9">
        <v>0.37409999999999999</v>
      </c>
      <c r="P497" s="9">
        <v>1.2927</v>
      </c>
      <c r="Q497" s="9">
        <v>19.751300000000001</v>
      </c>
      <c r="R497" s="9"/>
      <c r="S497" s="11"/>
    </row>
    <row r="498" spans="1:19" ht="15.75">
      <c r="A498" s="13">
        <v>56673</v>
      </c>
      <c r="B498" s="8">
        <f>14.2493 * CHOOSE(CONTROL!$C$15, $D$11, 100%, $F$11)</f>
        <v>14.2493</v>
      </c>
      <c r="C498" s="8">
        <f>14.2544 * CHOOSE(CONTROL!$C$15, $D$11, 100%, $F$11)</f>
        <v>14.2544</v>
      </c>
      <c r="D498" s="8">
        <f>14.2409 * CHOOSE( CONTROL!$C$15, $D$11, 100%, $F$11)</f>
        <v>14.2409</v>
      </c>
      <c r="E498" s="12">
        <f>14.2453 * CHOOSE( CONTROL!$C$15, $D$11, 100%, $F$11)</f>
        <v>14.2453</v>
      </c>
      <c r="F498" s="4">
        <f>14.8982 * CHOOSE(CONTROL!$C$15, $D$11, 100%, $F$11)</f>
        <v>14.898199999999999</v>
      </c>
      <c r="G498" s="8">
        <f>13.9051 * CHOOSE( CONTROL!$C$15, $D$11, 100%, $F$11)</f>
        <v>13.905099999999999</v>
      </c>
      <c r="H498" s="4">
        <f>14.7859 * CHOOSE(CONTROL!$C$15, $D$11, 100%, $F$11)</f>
        <v>14.7859</v>
      </c>
      <c r="I498" s="8">
        <f>13.774 * CHOOSE(CONTROL!$C$15, $D$11, 100%, $F$11)</f>
        <v>13.773999999999999</v>
      </c>
      <c r="J498" s="4">
        <f>13.6535 * CHOOSE(CONTROL!$C$15, $D$11, 100%, $F$11)</f>
        <v>13.653499999999999</v>
      </c>
      <c r="K498" s="4"/>
      <c r="L498" s="9">
        <v>26.469899999999999</v>
      </c>
      <c r="M498" s="9">
        <v>10.8962</v>
      </c>
      <c r="N498" s="9">
        <v>4.4660000000000002</v>
      </c>
      <c r="O498" s="9">
        <v>0.33789999999999998</v>
      </c>
      <c r="P498" s="9">
        <v>1.1676</v>
      </c>
      <c r="Q498" s="9">
        <v>17.8399</v>
      </c>
      <c r="R498" s="9"/>
      <c r="S498" s="11"/>
    </row>
    <row r="499" spans="1:19" ht="15.75">
      <c r="A499" s="13">
        <v>56704</v>
      </c>
      <c r="B499" s="8">
        <f>13.9465 * CHOOSE(CONTROL!$C$15, $D$11, 100%, $F$11)</f>
        <v>13.9465</v>
      </c>
      <c r="C499" s="8">
        <f>13.9517 * CHOOSE(CONTROL!$C$15, $D$11, 100%, $F$11)</f>
        <v>13.951700000000001</v>
      </c>
      <c r="D499" s="8">
        <f>13.9379 * CHOOSE( CONTROL!$C$15, $D$11, 100%, $F$11)</f>
        <v>13.937900000000001</v>
      </c>
      <c r="E499" s="12">
        <f>13.9424 * CHOOSE( CONTROL!$C$15, $D$11, 100%, $F$11)</f>
        <v>13.942399999999999</v>
      </c>
      <c r="F499" s="4">
        <f>14.5954 * CHOOSE(CONTROL!$C$15, $D$11, 100%, $F$11)</f>
        <v>14.5954</v>
      </c>
      <c r="G499" s="8">
        <f>13.6092 * CHOOSE( CONTROL!$C$15, $D$11, 100%, $F$11)</f>
        <v>13.6092</v>
      </c>
      <c r="H499" s="4">
        <f>14.4902 * CHOOSE(CONTROL!$C$15, $D$11, 100%, $F$11)</f>
        <v>14.4902</v>
      </c>
      <c r="I499" s="8">
        <f>13.4822 * CHOOSE(CONTROL!$C$15, $D$11, 100%, $F$11)</f>
        <v>13.482200000000001</v>
      </c>
      <c r="J499" s="4">
        <f>13.3629 * CHOOSE(CONTROL!$C$15, $D$11, 100%, $F$11)</f>
        <v>13.3629</v>
      </c>
      <c r="K499" s="4"/>
      <c r="L499" s="9">
        <v>29.306000000000001</v>
      </c>
      <c r="M499" s="9">
        <v>12.063700000000001</v>
      </c>
      <c r="N499" s="9">
        <v>4.9444999999999997</v>
      </c>
      <c r="O499" s="9">
        <v>0.37409999999999999</v>
      </c>
      <c r="P499" s="9">
        <v>1.2927</v>
      </c>
      <c r="Q499" s="9">
        <v>19.751300000000001</v>
      </c>
      <c r="R499" s="9"/>
      <c r="S499" s="11"/>
    </row>
    <row r="500" spans="1:19" ht="15.75">
      <c r="A500" s="13">
        <v>56734</v>
      </c>
      <c r="B500" s="8">
        <f>14.1588 * CHOOSE(CONTROL!$C$15, $D$11, 100%, $F$11)</f>
        <v>14.158799999999999</v>
      </c>
      <c r="C500" s="8">
        <f>14.1634 * CHOOSE(CONTROL!$C$15, $D$11, 100%, $F$11)</f>
        <v>14.163399999999999</v>
      </c>
      <c r="D500" s="8">
        <f>14.1897 * CHOOSE( CONTROL!$C$15, $D$11, 100%, $F$11)</f>
        <v>14.1897</v>
      </c>
      <c r="E500" s="12">
        <f>14.1805 * CHOOSE( CONTROL!$C$15, $D$11, 100%, $F$11)</f>
        <v>14.1805</v>
      </c>
      <c r="F500" s="4">
        <f>14.858 * CHOOSE(CONTROL!$C$15, $D$11, 100%, $F$11)</f>
        <v>14.858000000000001</v>
      </c>
      <c r="G500" s="8">
        <f>13.8158 * CHOOSE( CONTROL!$C$15, $D$11, 100%, $F$11)</f>
        <v>13.815799999999999</v>
      </c>
      <c r="H500" s="4">
        <f>14.7466 * CHOOSE(CONTROL!$C$15, $D$11, 100%, $F$11)</f>
        <v>14.746600000000001</v>
      </c>
      <c r="I500" s="8">
        <f>13.6773 * CHOOSE(CONTROL!$C$15, $D$11, 100%, $F$11)</f>
        <v>13.677300000000001</v>
      </c>
      <c r="J500" s="4">
        <f>13.566 * CHOOSE(CONTROL!$C$15, $D$11, 100%, $F$11)</f>
        <v>13.566000000000001</v>
      </c>
      <c r="K500" s="4"/>
      <c r="L500" s="9">
        <v>30.092199999999998</v>
      </c>
      <c r="M500" s="9">
        <v>11.6745</v>
      </c>
      <c r="N500" s="9">
        <v>4.7850000000000001</v>
      </c>
      <c r="O500" s="9">
        <v>0.36199999999999999</v>
      </c>
      <c r="P500" s="9">
        <v>1.1791</v>
      </c>
      <c r="Q500" s="9">
        <v>19.1142</v>
      </c>
      <c r="R500" s="9"/>
      <c r="S500" s="11"/>
    </row>
    <row r="501" spans="1:19" ht="15.75">
      <c r="A501" s="13">
        <v>56765</v>
      </c>
      <c r="B501" s="8">
        <f>CHOOSE( CONTROL!$C$32, 14.5415, 14.5367) * CHOOSE(CONTROL!$C$15, $D$11, 100%, $F$11)</f>
        <v>14.541499999999999</v>
      </c>
      <c r="C501" s="8">
        <f>CHOOSE( CONTROL!$C$32, 14.5496, 14.5448) * CHOOSE(CONTROL!$C$15, $D$11, 100%, $F$11)</f>
        <v>14.5496</v>
      </c>
      <c r="D501" s="8">
        <f>CHOOSE( CONTROL!$C$32, 14.5709, 14.5661) * CHOOSE( CONTROL!$C$15, $D$11, 100%, $F$11)</f>
        <v>14.5709</v>
      </c>
      <c r="E501" s="12">
        <f>CHOOSE( CONTROL!$C$32, 14.5619, 14.5571) * CHOOSE( CONTROL!$C$15, $D$11, 100%, $F$11)</f>
        <v>14.5619</v>
      </c>
      <c r="F501" s="4">
        <f>CHOOSE( CONTROL!$C$32, 15.2393, 15.2345) * CHOOSE(CONTROL!$C$15, $D$11, 100%, $F$11)</f>
        <v>15.2393</v>
      </c>
      <c r="G501" s="8">
        <f>CHOOSE( CONTROL!$C$32, 14.1892, 14.1845) * CHOOSE( CONTROL!$C$15, $D$11, 100%, $F$11)</f>
        <v>14.1892</v>
      </c>
      <c r="H501" s="4">
        <f>CHOOSE( CONTROL!$C$32, 15.1191, 15.1144) * CHOOSE(CONTROL!$C$15, $D$11, 100%, $F$11)</f>
        <v>15.1191</v>
      </c>
      <c r="I501" s="8">
        <f>CHOOSE( CONTROL!$C$32, 14.0436, 14.0389) * CHOOSE(CONTROL!$C$15, $D$11, 100%, $F$11)</f>
        <v>14.0436</v>
      </c>
      <c r="J501" s="4">
        <f>CHOOSE( CONTROL!$C$32, 13.9321, 13.9275) * CHOOSE(CONTROL!$C$15, $D$11, 100%, $F$11)</f>
        <v>13.9321</v>
      </c>
      <c r="K501" s="4"/>
      <c r="L501" s="9">
        <v>30.7165</v>
      </c>
      <c r="M501" s="9">
        <v>12.063700000000001</v>
      </c>
      <c r="N501" s="9">
        <v>4.9444999999999997</v>
      </c>
      <c r="O501" s="9">
        <v>0.37409999999999999</v>
      </c>
      <c r="P501" s="9">
        <v>1.2183999999999999</v>
      </c>
      <c r="Q501" s="9">
        <v>19.751300000000001</v>
      </c>
      <c r="R501" s="9"/>
      <c r="S501" s="11"/>
    </row>
    <row r="502" spans="1:19" ht="15.75">
      <c r="A502" s="13">
        <v>56795</v>
      </c>
      <c r="B502" s="8">
        <f>CHOOSE( CONTROL!$C$32, 14.3083, 14.3035) * CHOOSE(CONTROL!$C$15, $D$11, 100%, $F$11)</f>
        <v>14.308299999999999</v>
      </c>
      <c r="C502" s="8">
        <f>CHOOSE( CONTROL!$C$32, 14.3164, 14.3116) * CHOOSE(CONTROL!$C$15, $D$11, 100%, $F$11)</f>
        <v>14.3164</v>
      </c>
      <c r="D502" s="8">
        <f>CHOOSE( CONTROL!$C$32, 14.3379, 14.3331) * CHOOSE( CONTROL!$C$15, $D$11, 100%, $F$11)</f>
        <v>14.337899999999999</v>
      </c>
      <c r="E502" s="12">
        <f>CHOOSE( CONTROL!$C$32, 14.3289, 14.3241) * CHOOSE( CONTROL!$C$15, $D$11, 100%, $F$11)</f>
        <v>14.328900000000001</v>
      </c>
      <c r="F502" s="4">
        <f>CHOOSE( CONTROL!$C$32, 15.0061, 15.0013) * CHOOSE(CONTROL!$C$15, $D$11, 100%, $F$11)</f>
        <v>15.0061</v>
      </c>
      <c r="G502" s="8">
        <f>CHOOSE( CONTROL!$C$32, 13.9617, 13.957) * CHOOSE( CONTROL!$C$15, $D$11, 100%, $F$11)</f>
        <v>13.9617</v>
      </c>
      <c r="H502" s="4">
        <f>CHOOSE( CONTROL!$C$32, 14.8913, 14.8866) * CHOOSE(CONTROL!$C$15, $D$11, 100%, $F$11)</f>
        <v>14.891299999999999</v>
      </c>
      <c r="I502" s="8">
        <f>CHOOSE( CONTROL!$C$32, 13.8204, 13.8158) * CHOOSE(CONTROL!$C$15, $D$11, 100%, $F$11)</f>
        <v>13.820399999999999</v>
      </c>
      <c r="J502" s="4">
        <f>CHOOSE( CONTROL!$C$32, 13.7082, 13.7035) * CHOOSE(CONTROL!$C$15, $D$11, 100%, $F$11)</f>
        <v>13.7082</v>
      </c>
      <c r="K502" s="4"/>
      <c r="L502" s="9">
        <v>29.7257</v>
      </c>
      <c r="M502" s="9">
        <v>11.6745</v>
      </c>
      <c r="N502" s="9">
        <v>4.7850000000000001</v>
      </c>
      <c r="O502" s="9">
        <v>0.36199999999999999</v>
      </c>
      <c r="P502" s="9">
        <v>1.1791</v>
      </c>
      <c r="Q502" s="9">
        <v>19.1142</v>
      </c>
      <c r="R502" s="9"/>
      <c r="S502" s="11"/>
    </row>
    <row r="503" spans="1:19" ht="15.75">
      <c r="A503" s="13">
        <v>56826</v>
      </c>
      <c r="B503" s="8">
        <f>CHOOSE( CONTROL!$C$32, 14.9225, 14.9176) * CHOOSE(CONTROL!$C$15, $D$11, 100%, $F$11)</f>
        <v>14.922499999999999</v>
      </c>
      <c r="C503" s="8">
        <f>CHOOSE( CONTROL!$C$32, 14.9306, 14.9257) * CHOOSE(CONTROL!$C$15, $D$11, 100%, $F$11)</f>
        <v>14.9306</v>
      </c>
      <c r="D503" s="8">
        <f>CHOOSE( CONTROL!$C$32, 14.9523, 14.9475) * CHOOSE( CONTROL!$C$15, $D$11, 100%, $F$11)</f>
        <v>14.952299999999999</v>
      </c>
      <c r="E503" s="12">
        <f>CHOOSE( CONTROL!$C$32, 14.9432, 14.9384) * CHOOSE( CONTROL!$C$15, $D$11, 100%, $F$11)</f>
        <v>14.943199999999999</v>
      </c>
      <c r="F503" s="4">
        <f>CHOOSE( CONTROL!$C$32, 15.6203, 15.6154) * CHOOSE(CONTROL!$C$15, $D$11, 100%, $F$11)</f>
        <v>15.6203</v>
      </c>
      <c r="G503" s="8">
        <f>CHOOSE( CONTROL!$C$32, 14.5619, 14.5572) * CHOOSE( CONTROL!$C$15, $D$11, 100%, $F$11)</f>
        <v>14.5619</v>
      </c>
      <c r="H503" s="4">
        <f>CHOOSE( CONTROL!$C$32, 15.4911, 15.4864) * CHOOSE(CONTROL!$C$15, $D$11, 100%, $F$11)</f>
        <v>15.491099999999999</v>
      </c>
      <c r="I503" s="8">
        <f>CHOOSE( CONTROL!$C$32, 14.4115, 14.4069) * CHOOSE(CONTROL!$C$15, $D$11, 100%, $F$11)</f>
        <v>14.4115</v>
      </c>
      <c r="J503" s="4">
        <f>CHOOSE( CONTROL!$C$32, 14.2978, 14.2932) * CHOOSE(CONTROL!$C$15, $D$11, 100%, $F$11)</f>
        <v>14.297800000000001</v>
      </c>
      <c r="K503" s="4"/>
      <c r="L503" s="9">
        <v>30.7165</v>
      </c>
      <c r="M503" s="9">
        <v>12.063700000000001</v>
      </c>
      <c r="N503" s="9">
        <v>4.9444999999999997</v>
      </c>
      <c r="O503" s="9">
        <v>0.37409999999999999</v>
      </c>
      <c r="P503" s="9">
        <v>1.2183999999999999</v>
      </c>
      <c r="Q503" s="9">
        <v>19.751300000000001</v>
      </c>
      <c r="R503" s="9"/>
      <c r="S503" s="11"/>
    </row>
    <row r="504" spans="1:19" ht="15.75">
      <c r="A504" s="13">
        <v>56857</v>
      </c>
      <c r="B504" s="8">
        <f>CHOOSE( CONTROL!$C$32, 13.7733, 13.7685) * CHOOSE(CONTROL!$C$15, $D$11, 100%, $F$11)</f>
        <v>13.773300000000001</v>
      </c>
      <c r="C504" s="8">
        <f>CHOOSE( CONTROL!$C$32, 13.7814, 13.7765) * CHOOSE(CONTROL!$C$15, $D$11, 100%, $F$11)</f>
        <v>13.7814</v>
      </c>
      <c r="D504" s="8">
        <f>CHOOSE( CONTROL!$C$32, 13.8032, 13.7983) * CHOOSE( CONTROL!$C$15, $D$11, 100%, $F$11)</f>
        <v>13.8032</v>
      </c>
      <c r="E504" s="12">
        <f>CHOOSE( CONTROL!$C$32, 13.7941, 13.7892) * CHOOSE( CONTROL!$C$15, $D$11, 100%, $F$11)</f>
        <v>13.7941</v>
      </c>
      <c r="F504" s="4">
        <f>CHOOSE( CONTROL!$C$32, 14.4711, 14.4663) * CHOOSE(CONTROL!$C$15, $D$11, 100%, $F$11)</f>
        <v>14.4711</v>
      </c>
      <c r="G504" s="8">
        <f>CHOOSE( CONTROL!$C$32, 13.4396, 13.4349) * CHOOSE( CONTROL!$C$15, $D$11, 100%, $F$11)</f>
        <v>13.4396</v>
      </c>
      <c r="H504" s="4">
        <f>CHOOSE( CONTROL!$C$32, 14.3687, 14.364) * CHOOSE(CONTROL!$C$15, $D$11, 100%, $F$11)</f>
        <v>14.3687</v>
      </c>
      <c r="I504" s="8">
        <f>CHOOSE( CONTROL!$C$32, 13.3079, 13.3033) * CHOOSE(CONTROL!$C$15, $D$11, 100%, $F$11)</f>
        <v>13.3079</v>
      </c>
      <c r="J504" s="4">
        <f>CHOOSE( CONTROL!$C$32, 13.1945, 13.1899) * CHOOSE(CONTROL!$C$15, $D$11, 100%, $F$11)</f>
        <v>13.1945</v>
      </c>
      <c r="K504" s="4"/>
      <c r="L504" s="9">
        <v>30.7165</v>
      </c>
      <c r="M504" s="9">
        <v>12.063700000000001</v>
      </c>
      <c r="N504" s="9">
        <v>4.9444999999999997</v>
      </c>
      <c r="O504" s="9">
        <v>0.37409999999999999</v>
      </c>
      <c r="P504" s="9">
        <v>1.2183999999999999</v>
      </c>
      <c r="Q504" s="9">
        <v>19.751300000000001</v>
      </c>
      <c r="R504" s="9"/>
      <c r="S504" s="11"/>
    </row>
    <row r="505" spans="1:19" ht="15.75">
      <c r="A505" s="13">
        <v>56887</v>
      </c>
      <c r="B505" s="8">
        <f>CHOOSE( CONTROL!$C$32, 13.4855, 13.4807) * CHOOSE(CONTROL!$C$15, $D$11, 100%, $F$11)</f>
        <v>13.4855</v>
      </c>
      <c r="C505" s="8">
        <f>CHOOSE( CONTROL!$C$32, 13.4936, 13.4888) * CHOOSE(CONTROL!$C$15, $D$11, 100%, $F$11)</f>
        <v>13.493600000000001</v>
      </c>
      <c r="D505" s="8">
        <f>CHOOSE( CONTROL!$C$32, 13.5154, 13.5106) * CHOOSE( CONTROL!$C$15, $D$11, 100%, $F$11)</f>
        <v>13.5154</v>
      </c>
      <c r="E505" s="12">
        <f>CHOOSE( CONTROL!$C$32, 13.5063, 13.5015) * CHOOSE( CONTROL!$C$15, $D$11, 100%, $F$11)</f>
        <v>13.5063</v>
      </c>
      <c r="F505" s="4">
        <f>CHOOSE( CONTROL!$C$32, 14.1833, 14.1785) * CHOOSE(CONTROL!$C$15, $D$11, 100%, $F$11)</f>
        <v>14.183299999999999</v>
      </c>
      <c r="G505" s="8">
        <f>CHOOSE( CONTROL!$C$32, 13.1585, 13.1538) * CHOOSE( CONTROL!$C$15, $D$11, 100%, $F$11)</f>
        <v>13.1585</v>
      </c>
      <c r="H505" s="4">
        <f>CHOOSE( CONTROL!$C$32, 14.0877, 14.083) * CHOOSE(CONTROL!$C$15, $D$11, 100%, $F$11)</f>
        <v>14.0877</v>
      </c>
      <c r="I505" s="8">
        <f>CHOOSE( CONTROL!$C$32, 13.0314, 13.0268) * CHOOSE(CONTROL!$C$15, $D$11, 100%, $F$11)</f>
        <v>13.0314</v>
      </c>
      <c r="J505" s="4">
        <f>CHOOSE( CONTROL!$C$32, 12.9182, 12.9136) * CHOOSE(CONTROL!$C$15, $D$11, 100%, $F$11)</f>
        <v>12.918200000000001</v>
      </c>
      <c r="K505" s="4"/>
      <c r="L505" s="9">
        <v>29.7257</v>
      </c>
      <c r="M505" s="9">
        <v>11.6745</v>
      </c>
      <c r="N505" s="9">
        <v>4.7850000000000001</v>
      </c>
      <c r="O505" s="9">
        <v>0.36199999999999999</v>
      </c>
      <c r="P505" s="9">
        <v>1.1791</v>
      </c>
      <c r="Q505" s="9">
        <v>19.1142</v>
      </c>
      <c r="R505" s="9"/>
      <c r="S505" s="11"/>
    </row>
    <row r="506" spans="1:19" ht="15.75">
      <c r="A506" s="13">
        <v>56918</v>
      </c>
      <c r="B506" s="8">
        <f>14.0765 * CHOOSE(CONTROL!$C$15, $D$11, 100%, $F$11)</f>
        <v>14.076499999999999</v>
      </c>
      <c r="C506" s="8">
        <f>14.0819 * CHOOSE(CONTROL!$C$15, $D$11, 100%, $F$11)</f>
        <v>14.081899999999999</v>
      </c>
      <c r="D506" s="8">
        <f>14.1083 * CHOOSE( CONTROL!$C$15, $D$11, 100%, $F$11)</f>
        <v>14.1083</v>
      </c>
      <c r="E506" s="12">
        <f>14.099 * CHOOSE( CONTROL!$C$15, $D$11, 100%, $F$11)</f>
        <v>14.099</v>
      </c>
      <c r="F506" s="4">
        <f>14.776 * CHOOSE(CONTROL!$C$15, $D$11, 100%, $F$11)</f>
        <v>14.776</v>
      </c>
      <c r="G506" s="8">
        <f>13.7366 * CHOOSE( CONTROL!$C$15, $D$11, 100%, $F$11)</f>
        <v>13.736599999999999</v>
      </c>
      <c r="H506" s="4">
        <f>14.6665 * CHOOSE(CONTROL!$C$15, $D$11, 100%, $F$11)</f>
        <v>14.666499999999999</v>
      </c>
      <c r="I506" s="8">
        <f>13.6015 * CHOOSE(CONTROL!$C$15, $D$11, 100%, $F$11)</f>
        <v>13.6015</v>
      </c>
      <c r="J506" s="4">
        <f>13.4872 * CHOOSE(CONTROL!$C$15, $D$11, 100%, $F$11)</f>
        <v>13.4872</v>
      </c>
      <c r="K506" s="4"/>
      <c r="L506" s="9">
        <v>31.095300000000002</v>
      </c>
      <c r="M506" s="9">
        <v>12.063700000000001</v>
      </c>
      <c r="N506" s="9">
        <v>4.9444999999999997</v>
      </c>
      <c r="O506" s="9">
        <v>0.37409999999999999</v>
      </c>
      <c r="P506" s="9">
        <v>1.2183999999999999</v>
      </c>
      <c r="Q506" s="9">
        <v>19.751300000000001</v>
      </c>
      <c r="R506" s="9"/>
      <c r="S506" s="11"/>
    </row>
    <row r="507" spans="1:19" ht="15.75">
      <c r="A507" s="13">
        <v>56948</v>
      </c>
      <c r="B507" s="8">
        <f>15.1789 * CHOOSE(CONTROL!$C$15, $D$11, 100%, $F$11)</f>
        <v>15.178900000000001</v>
      </c>
      <c r="C507" s="8">
        <f>15.1841 * CHOOSE(CONTROL!$C$15, $D$11, 100%, $F$11)</f>
        <v>15.184100000000001</v>
      </c>
      <c r="D507" s="8">
        <f>15.1734 * CHOOSE( CONTROL!$C$15, $D$11, 100%, $F$11)</f>
        <v>15.173400000000001</v>
      </c>
      <c r="E507" s="12">
        <f>15.1768 * CHOOSE( CONTROL!$C$15, $D$11, 100%, $F$11)</f>
        <v>15.1768</v>
      </c>
      <c r="F507" s="4">
        <f>15.8278 * CHOOSE(CONTROL!$C$15, $D$11, 100%, $F$11)</f>
        <v>15.8278</v>
      </c>
      <c r="G507" s="8">
        <f>14.8184 * CHOOSE( CONTROL!$C$15, $D$11, 100%, $F$11)</f>
        <v>14.8184</v>
      </c>
      <c r="H507" s="4">
        <f>15.6939 * CHOOSE(CONTROL!$C$15, $D$11, 100%, $F$11)</f>
        <v>15.693899999999999</v>
      </c>
      <c r="I507" s="8">
        <f>14.6865 * CHOOSE(CONTROL!$C$15, $D$11, 100%, $F$11)</f>
        <v>14.686500000000001</v>
      </c>
      <c r="J507" s="4">
        <f>14.5461 * CHOOSE(CONTROL!$C$15, $D$11, 100%, $F$11)</f>
        <v>14.546099999999999</v>
      </c>
      <c r="K507" s="4"/>
      <c r="L507" s="9">
        <v>28.360600000000002</v>
      </c>
      <c r="M507" s="9">
        <v>11.6745</v>
      </c>
      <c r="N507" s="9">
        <v>4.7850000000000001</v>
      </c>
      <c r="O507" s="9">
        <v>0.36199999999999999</v>
      </c>
      <c r="P507" s="9">
        <v>1.2509999999999999</v>
      </c>
      <c r="Q507" s="9">
        <v>19.1142</v>
      </c>
      <c r="R507" s="9"/>
      <c r="S507" s="11"/>
    </row>
    <row r="508" spans="1:19" ht="15.75">
      <c r="A508" s="13">
        <v>56979</v>
      </c>
      <c r="B508" s="8">
        <f>15.1514 * CHOOSE(CONTROL!$C$15, $D$11, 100%, $F$11)</f>
        <v>15.151400000000001</v>
      </c>
      <c r="C508" s="8">
        <f>15.1566 * CHOOSE(CONTROL!$C$15, $D$11, 100%, $F$11)</f>
        <v>15.156599999999999</v>
      </c>
      <c r="D508" s="8">
        <f>15.1472 * CHOOSE( CONTROL!$C$15, $D$11, 100%, $F$11)</f>
        <v>15.1472</v>
      </c>
      <c r="E508" s="12">
        <f>15.1501 * CHOOSE( CONTROL!$C$15, $D$11, 100%, $F$11)</f>
        <v>15.1501</v>
      </c>
      <c r="F508" s="4">
        <f>15.8003 * CHOOSE(CONTROL!$C$15, $D$11, 100%, $F$11)</f>
        <v>15.8003</v>
      </c>
      <c r="G508" s="8">
        <f>14.7925 * CHOOSE( CONTROL!$C$15, $D$11, 100%, $F$11)</f>
        <v>14.7925</v>
      </c>
      <c r="H508" s="4">
        <f>15.667 * CHOOSE(CONTROL!$C$15, $D$11, 100%, $F$11)</f>
        <v>15.667</v>
      </c>
      <c r="I508" s="8">
        <f>14.6643 * CHOOSE(CONTROL!$C$15, $D$11, 100%, $F$11)</f>
        <v>14.664300000000001</v>
      </c>
      <c r="J508" s="4">
        <f>14.5197 * CHOOSE(CONTROL!$C$15, $D$11, 100%, $F$11)</f>
        <v>14.5197</v>
      </c>
      <c r="K508" s="4"/>
      <c r="L508" s="9">
        <v>29.306000000000001</v>
      </c>
      <c r="M508" s="9">
        <v>12.063700000000001</v>
      </c>
      <c r="N508" s="9">
        <v>4.9444999999999997</v>
      </c>
      <c r="O508" s="9">
        <v>0.37409999999999999</v>
      </c>
      <c r="P508" s="9">
        <v>1.2927</v>
      </c>
      <c r="Q508" s="9">
        <v>19.751300000000001</v>
      </c>
      <c r="R508" s="9"/>
      <c r="S508" s="11"/>
    </row>
    <row r="509" spans="1:19" ht="15.75">
      <c r="A509" s="13">
        <v>57010</v>
      </c>
      <c r="B509" s="8">
        <f>15.7294 * CHOOSE(CONTROL!$C$15, $D$11, 100%, $F$11)</f>
        <v>15.7294</v>
      </c>
      <c r="C509" s="8">
        <f>15.7346 * CHOOSE(CONTROL!$C$15, $D$11, 100%, $F$11)</f>
        <v>15.7346</v>
      </c>
      <c r="D509" s="8">
        <f>15.721 * CHOOSE( CONTROL!$C$15, $D$11, 100%, $F$11)</f>
        <v>15.721</v>
      </c>
      <c r="E509" s="12">
        <f>15.7254 * CHOOSE( CONTROL!$C$15, $D$11, 100%, $F$11)</f>
        <v>15.7254</v>
      </c>
      <c r="F509" s="4">
        <f>16.3783 * CHOOSE(CONTROL!$C$15, $D$11, 100%, $F$11)</f>
        <v>16.378299999999999</v>
      </c>
      <c r="G509" s="8">
        <f>15.3507 * CHOOSE( CONTROL!$C$15, $D$11, 100%, $F$11)</f>
        <v>15.3507</v>
      </c>
      <c r="H509" s="4">
        <f>16.2315 * CHOOSE(CONTROL!$C$15, $D$11, 100%, $F$11)</f>
        <v>16.2315</v>
      </c>
      <c r="I509" s="8">
        <f>15.1958 * CHOOSE(CONTROL!$C$15, $D$11, 100%, $F$11)</f>
        <v>15.1958</v>
      </c>
      <c r="J509" s="4">
        <f>15.0746 * CHOOSE(CONTROL!$C$15, $D$11, 100%, $F$11)</f>
        <v>15.0746</v>
      </c>
      <c r="K509" s="4"/>
      <c r="L509" s="9">
        <v>29.306000000000001</v>
      </c>
      <c r="M509" s="9">
        <v>12.063700000000001</v>
      </c>
      <c r="N509" s="9">
        <v>4.9444999999999997</v>
      </c>
      <c r="O509" s="9">
        <v>0.37409999999999999</v>
      </c>
      <c r="P509" s="9">
        <v>1.2927</v>
      </c>
      <c r="Q509" s="9">
        <v>19.688099999999999</v>
      </c>
      <c r="R509" s="9"/>
      <c r="S509" s="11"/>
    </row>
    <row r="510" spans="1:19" ht="15.75">
      <c r="A510" s="13">
        <v>57038</v>
      </c>
      <c r="B510" s="8">
        <f>14.7143 * CHOOSE(CONTROL!$C$15, $D$11, 100%, $F$11)</f>
        <v>14.7143</v>
      </c>
      <c r="C510" s="8">
        <f>14.7195 * CHOOSE(CONTROL!$C$15, $D$11, 100%, $F$11)</f>
        <v>14.7195</v>
      </c>
      <c r="D510" s="8">
        <f>14.706 * CHOOSE( CONTROL!$C$15, $D$11, 100%, $F$11)</f>
        <v>14.706</v>
      </c>
      <c r="E510" s="12">
        <f>14.7104 * CHOOSE( CONTROL!$C$15, $D$11, 100%, $F$11)</f>
        <v>14.7104</v>
      </c>
      <c r="F510" s="4">
        <f>15.3632 * CHOOSE(CONTROL!$C$15, $D$11, 100%, $F$11)</f>
        <v>15.363200000000001</v>
      </c>
      <c r="G510" s="8">
        <f>14.3593 * CHOOSE( CONTROL!$C$15, $D$11, 100%, $F$11)</f>
        <v>14.359299999999999</v>
      </c>
      <c r="H510" s="4">
        <f>15.2401 * CHOOSE(CONTROL!$C$15, $D$11, 100%, $F$11)</f>
        <v>15.2401</v>
      </c>
      <c r="I510" s="8">
        <f>14.2208 * CHOOSE(CONTROL!$C$15, $D$11, 100%, $F$11)</f>
        <v>14.220800000000001</v>
      </c>
      <c r="J510" s="4">
        <f>14.1001 * CHOOSE(CONTROL!$C$15, $D$11, 100%, $F$11)</f>
        <v>14.100099999999999</v>
      </c>
      <c r="K510" s="4"/>
      <c r="L510" s="9">
        <v>27.415299999999998</v>
      </c>
      <c r="M510" s="9">
        <v>11.285299999999999</v>
      </c>
      <c r="N510" s="9">
        <v>4.6254999999999997</v>
      </c>
      <c r="O510" s="9">
        <v>0.34989999999999999</v>
      </c>
      <c r="P510" s="9">
        <v>1.2093</v>
      </c>
      <c r="Q510" s="9">
        <v>18.417899999999999</v>
      </c>
      <c r="R510" s="9"/>
      <c r="S510" s="11"/>
    </row>
    <row r="511" spans="1:19" ht="15.75">
      <c r="A511" s="13">
        <v>57070</v>
      </c>
      <c r="B511" s="8">
        <f>14.4017 * CHOOSE(CONTROL!$C$15, $D$11, 100%, $F$11)</f>
        <v>14.4017</v>
      </c>
      <c r="C511" s="8">
        <f>14.4069 * CHOOSE(CONTROL!$C$15, $D$11, 100%, $F$11)</f>
        <v>14.4069</v>
      </c>
      <c r="D511" s="8">
        <f>14.393 * CHOOSE( CONTROL!$C$15, $D$11, 100%, $F$11)</f>
        <v>14.393000000000001</v>
      </c>
      <c r="E511" s="12">
        <f>14.3975 * CHOOSE( CONTROL!$C$15, $D$11, 100%, $F$11)</f>
        <v>14.397500000000001</v>
      </c>
      <c r="F511" s="4">
        <f>15.0506 * CHOOSE(CONTROL!$C$15, $D$11, 100%, $F$11)</f>
        <v>15.050599999999999</v>
      </c>
      <c r="G511" s="8">
        <f>14.0537 * CHOOSE( CONTROL!$C$15, $D$11, 100%, $F$11)</f>
        <v>14.053699999999999</v>
      </c>
      <c r="H511" s="4">
        <f>14.9347 * CHOOSE(CONTROL!$C$15, $D$11, 100%, $F$11)</f>
        <v>14.934699999999999</v>
      </c>
      <c r="I511" s="8">
        <f>13.9195 * CHOOSE(CONTROL!$C$15, $D$11, 100%, $F$11)</f>
        <v>13.919499999999999</v>
      </c>
      <c r="J511" s="4">
        <f>13.7999 * CHOOSE(CONTROL!$C$15, $D$11, 100%, $F$11)</f>
        <v>13.799899999999999</v>
      </c>
      <c r="K511" s="4"/>
      <c r="L511" s="9">
        <v>29.306000000000001</v>
      </c>
      <c r="M511" s="9">
        <v>12.063700000000001</v>
      </c>
      <c r="N511" s="9">
        <v>4.9444999999999997</v>
      </c>
      <c r="O511" s="9">
        <v>0.37409999999999999</v>
      </c>
      <c r="P511" s="9">
        <v>1.2927</v>
      </c>
      <c r="Q511" s="9">
        <v>19.688099999999999</v>
      </c>
      <c r="R511" s="9"/>
      <c r="S511" s="11"/>
    </row>
    <row r="512" spans="1:19" ht="15.75">
      <c r="A512" s="13">
        <v>57100</v>
      </c>
      <c r="B512" s="8">
        <f>14.6209 * CHOOSE(CONTROL!$C$15, $D$11, 100%, $F$11)</f>
        <v>14.620900000000001</v>
      </c>
      <c r="C512" s="8">
        <f>14.6255 * CHOOSE(CONTROL!$C$15, $D$11, 100%, $F$11)</f>
        <v>14.625500000000001</v>
      </c>
      <c r="D512" s="8">
        <f>14.6518 * CHOOSE( CONTROL!$C$15, $D$11, 100%, $F$11)</f>
        <v>14.6518</v>
      </c>
      <c r="E512" s="12">
        <f>14.6426 * CHOOSE( CONTROL!$C$15, $D$11, 100%, $F$11)</f>
        <v>14.6426</v>
      </c>
      <c r="F512" s="4">
        <f>15.3201 * CHOOSE(CONTROL!$C$15, $D$11, 100%, $F$11)</f>
        <v>15.3201</v>
      </c>
      <c r="G512" s="8">
        <f>14.2671 * CHOOSE( CONTROL!$C$15, $D$11, 100%, $F$11)</f>
        <v>14.267099999999999</v>
      </c>
      <c r="H512" s="4">
        <f>15.198 * CHOOSE(CONTROL!$C$15, $D$11, 100%, $F$11)</f>
        <v>15.198</v>
      </c>
      <c r="I512" s="8">
        <f>14.1212 * CHOOSE(CONTROL!$C$15, $D$11, 100%, $F$11)</f>
        <v>14.1212</v>
      </c>
      <c r="J512" s="4">
        <f>14.0096 * CHOOSE(CONTROL!$C$15, $D$11, 100%, $F$11)</f>
        <v>14.009600000000001</v>
      </c>
      <c r="K512" s="4"/>
      <c r="L512" s="9">
        <v>30.092199999999998</v>
      </c>
      <c r="M512" s="9">
        <v>11.6745</v>
      </c>
      <c r="N512" s="9">
        <v>4.7850000000000001</v>
      </c>
      <c r="O512" s="9">
        <v>0.36199999999999999</v>
      </c>
      <c r="P512" s="9">
        <v>1.1791</v>
      </c>
      <c r="Q512" s="9">
        <v>19.053000000000001</v>
      </c>
      <c r="R512" s="9"/>
      <c r="S512" s="11"/>
    </row>
    <row r="513" spans="1:19" ht="15.75">
      <c r="A513" s="13">
        <v>57131</v>
      </c>
      <c r="B513" s="8">
        <f>CHOOSE( CONTROL!$C$32, 15.0159, 15.0111) * CHOOSE(CONTROL!$C$15, $D$11, 100%, $F$11)</f>
        <v>15.0159</v>
      </c>
      <c r="C513" s="8">
        <f>CHOOSE( CONTROL!$C$32, 15.024, 15.0192) * CHOOSE(CONTROL!$C$15, $D$11, 100%, $F$11)</f>
        <v>15.023999999999999</v>
      </c>
      <c r="D513" s="8">
        <f>CHOOSE( CONTROL!$C$32, 15.0453, 15.0405) * CHOOSE( CONTROL!$C$15, $D$11, 100%, $F$11)</f>
        <v>15.045299999999999</v>
      </c>
      <c r="E513" s="12">
        <f>CHOOSE( CONTROL!$C$32, 15.0363, 15.0315) * CHOOSE( CONTROL!$C$15, $D$11, 100%, $F$11)</f>
        <v>15.036300000000001</v>
      </c>
      <c r="F513" s="4">
        <f>CHOOSE( CONTROL!$C$32, 15.7137, 15.7089) * CHOOSE(CONTROL!$C$15, $D$11, 100%, $F$11)</f>
        <v>15.713699999999999</v>
      </c>
      <c r="G513" s="8">
        <f>CHOOSE( CONTROL!$C$32, 14.6526, 14.6479) * CHOOSE( CONTROL!$C$15, $D$11, 100%, $F$11)</f>
        <v>14.6526</v>
      </c>
      <c r="H513" s="4">
        <f>CHOOSE( CONTROL!$C$32, 15.5824, 15.5777) * CHOOSE(CONTROL!$C$15, $D$11, 100%, $F$11)</f>
        <v>15.5824</v>
      </c>
      <c r="I513" s="8">
        <f>CHOOSE( CONTROL!$C$32, 14.4993, 14.4946) * CHOOSE(CONTROL!$C$15, $D$11, 100%, $F$11)</f>
        <v>14.4993</v>
      </c>
      <c r="J513" s="4">
        <f>CHOOSE( CONTROL!$C$32, 14.3876, 14.3829) * CHOOSE(CONTROL!$C$15, $D$11, 100%, $F$11)</f>
        <v>14.387600000000001</v>
      </c>
      <c r="K513" s="4"/>
      <c r="L513" s="9">
        <v>30.7165</v>
      </c>
      <c r="M513" s="9">
        <v>12.063700000000001</v>
      </c>
      <c r="N513" s="9">
        <v>4.9444999999999997</v>
      </c>
      <c r="O513" s="9">
        <v>0.37409999999999999</v>
      </c>
      <c r="P513" s="9">
        <v>1.2183999999999999</v>
      </c>
      <c r="Q513" s="9">
        <v>19.688099999999999</v>
      </c>
      <c r="R513" s="9"/>
      <c r="S513" s="11"/>
    </row>
    <row r="514" spans="1:19" ht="15.75">
      <c r="A514" s="13">
        <v>57161</v>
      </c>
      <c r="B514" s="8">
        <f>CHOOSE( CONTROL!$C$32, 14.7751, 14.7702) * CHOOSE(CONTROL!$C$15, $D$11, 100%, $F$11)</f>
        <v>14.7751</v>
      </c>
      <c r="C514" s="8">
        <f>CHOOSE( CONTROL!$C$32, 14.7832, 14.7783) * CHOOSE(CONTROL!$C$15, $D$11, 100%, $F$11)</f>
        <v>14.783200000000001</v>
      </c>
      <c r="D514" s="8">
        <f>CHOOSE( CONTROL!$C$32, 14.8047, 14.7998) * CHOOSE( CONTROL!$C$15, $D$11, 100%, $F$11)</f>
        <v>14.8047</v>
      </c>
      <c r="E514" s="12">
        <f>CHOOSE( CONTROL!$C$32, 14.7957, 14.7908) * CHOOSE( CONTROL!$C$15, $D$11, 100%, $F$11)</f>
        <v>14.7957</v>
      </c>
      <c r="F514" s="4">
        <f>CHOOSE( CONTROL!$C$32, 15.4729, 15.4681) * CHOOSE(CONTROL!$C$15, $D$11, 100%, $F$11)</f>
        <v>15.472899999999999</v>
      </c>
      <c r="G514" s="8">
        <f>CHOOSE( CONTROL!$C$32, 14.4176, 14.4129) * CHOOSE( CONTROL!$C$15, $D$11, 100%, $F$11)</f>
        <v>14.4176</v>
      </c>
      <c r="H514" s="4">
        <f>CHOOSE( CONTROL!$C$32, 15.3472, 15.3425) * CHOOSE(CONTROL!$C$15, $D$11, 100%, $F$11)</f>
        <v>15.347200000000001</v>
      </c>
      <c r="I514" s="8">
        <f>CHOOSE( CONTROL!$C$32, 14.2688, 14.2642) * CHOOSE(CONTROL!$C$15, $D$11, 100%, $F$11)</f>
        <v>14.268800000000001</v>
      </c>
      <c r="J514" s="4">
        <f>CHOOSE( CONTROL!$C$32, 14.1563, 14.1517) * CHOOSE(CONTROL!$C$15, $D$11, 100%, $F$11)</f>
        <v>14.1563</v>
      </c>
      <c r="K514" s="4"/>
      <c r="L514" s="9">
        <v>29.7257</v>
      </c>
      <c r="M514" s="9">
        <v>11.6745</v>
      </c>
      <c r="N514" s="9">
        <v>4.7850000000000001</v>
      </c>
      <c r="O514" s="9">
        <v>0.36199999999999999</v>
      </c>
      <c r="P514" s="9">
        <v>1.1791</v>
      </c>
      <c r="Q514" s="9">
        <v>19.053000000000001</v>
      </c>
      <c r="R514" s="9"/>
      <c r="S514" s="11"/>
    </row>
    <row r="515" spans="1:19" ht="15.75">
      <c r="A515" s="13">
        <v>57192</v>
      </c>
      <c r="B515" s="8">
        <f>CHOOSE( CONTROL!$C$32, 15.4093, 15.4045) * CHOOSE(CONTROL!$C$15, $D$11, 100%, $F$11)</f>
        <v>15.4093</v>
      </c>
      <c r="C515" s="8">
        <f>CHOOSE( CONTROL!$C$32, 15.4174, 15.4126) * CHOOSE(CONTROL!$C$15, $D$11, 100%, $F$11)</f>
        <v>15.417400000000001</v>
      </c>
      <c r="D515" s="8">
        <f>CHOOSE( CONTROL!$C$32, 15.4392, 15.4343) * CHOOSE( CONTROL!$C$15, $D$11, 100%, $F$11)</f>
        <v>15.4392</v>
      </c>
      <c r="E515" s="12">
        <f>CHOOSE( CONTROL!$C$32, 15.4301, 15.4252) * CHOOSE( CONTROL!$C$15, $D$11, 100%, $F$11)</f>
        <v>15.430099999999999</v>
      </c>
      <c r="F515" s="4">
        <f>CHOOSE( CONTROL!$C$32, 16.1071, 16.1023) * CHOOSE(CONTROL!$C$15, $D$11, 100%, $F$11)</f>
        <v>16.107099999999999</v>
      </c>
      <c r="G515" s="8">
        <f>CHOOSE( CONTROL!$C$32, 15.0375, 15.0327) * CHOOSE( CONTROL!$C$15, $D$11, 100%, $F$11)</f>
        <v>15.0375</v>
      </c>
      <c r="H515" s="4">
        <f>CHOOSE( CONTROL!$C$32, 15.9667, 15.962) * CHOOSE(CONTROL!$C$15, $D$11, 100%, $F$11)</f>
        <v>15.966699999999999</v>
      </c>
      <c r="I515" s="8">
        <f>CHOOSE( CONTROL!$C$32, 14.8792, 14.8746) * CHOOSE(CONTROL!$C$15, $D$11, 100%, $F$11)</f>
        <v>14.879200000000001</v>
      </c>
      <c r="J515" s="4">
        <f>CHOOSE( CONTROL!$C$32, 14.7653, 14.7606) * CHOOSE(CONTROL!$C$15, $D$11, 100%, $F$11)</f>
        <v>14.7653</v>
      </c>
      <c r="K515" s="4"/>
      <c r="L515" s="9">
        <v>30.7165</v>
      </c>
      <c r="M515" s="9">
        <v>12.063700000000001</v>
      </c>
      <c r="N515" s="9">
        <v>4.9444999999999997</v>
      </c>
      <c r="O515" s="9">
        <v>0.37409999999999999</v>
      </c>
      <c r="P515" s="9">
        <v>1.2183999999999999</v>
      </c>
      <c r="Q515" s="9">
        <v>19.688099999999999</v>
      </c>
      <c r="R515" s="9"/>
      <c r="S515" s="11"/>
    </row>
    <row r="516" spans="1:19" ht="15.75">
      <c r="A516" s="13">
        <v>57223</v>
      </c>
      <c r="B516" s="8">
        <f>CHOOSE( CONTROL!$C$32, 14.2226, 14.2177) * CHOOSE(CONTROL!$C$15, $D$11, 100%, $F$11)</f>
        <v>14.2226</v>
      </c>
      <c r="C516" s="8">
        <f>CHOOSE( CONTROL!$C$32, 14.2307, 14.2258) * CHOOSE(CONTROL!$C$15, $D$11, 100%, $F$11)</f>
        <v>14.230700000000001</v>
      </c>
      <c r="D516" s="8">
        <f>CHOOSE( CONTROL!$C$32, 14.2525, 14.2476) * CHOOSE( CONTROL!$C$15, $D$11, 100%, $F$11)</f>
        <v>14.2525</v>
      </c>
      <c r="E516" s="12">
        <f>CHOOSE( CONTROL!$C$32, 14.2434, 14.2385) * CHOOSE( CONTROL!$C$15, $D$11, 100%, $F$11)</f>
        <v>14.243399999999999</v>
      </c>
      <c r="F516" s="4">
        <f>CHOOSE( CONTROL!$C$32, 14.9204, 14.9155) * CHOOSE(CONTROL!$C$15, $D$11, 100%, $F$11)</f>
        <v>14.920400000000001</v>
      </c>
      <c r="G516" s="8">
        <f>CHOOSE( CONTROL!$C$32, 13.8784, 13.8737) * CHOOSE( CONTROL!$C$15, $D$11, 100%, $F$11)</f>
        <v>13.878399999999999</v>
      </c>
      <c r="H516" s="4">
        <f>CHOOSE( CONTROL!$C$32, 14.8076, 14.8028) * CHOOSE(CONTROL!$C$15, $D$11, 100%, $F$11)</f>
        <v>14.807600000000001</v>
      </c>
      <c r="I516" s="8">
        <f>CHOOSE( CONTROL!$C$32, 13.7395, 13.7349) * CHOOSE(CONTROL!$C$15, $D$11, 100%, $F$11)</f>
        <v>13.7395</v>
      </c>
      <c r="J516" s="4">
        <f>CHOOSE( CONTROL!$C$32, 13.6259, 13.6212) * CHOOSE(CONTROL!$C$15, $D$11, 100%, $F$11)</f>
        <v>13.6259</v>
      </c>
      <c r="K516" s="4"/>
      <c r="L516" s="9">
        <v>30.7165</v>
      </c>
      <c r="M516" s="9">
        <v>12.063700000000001</v>
      </c>
      <c r="N516" s="9">
        <v>4.9444999999999997</v>
      </c>
      <c r="O516" s="9">
        <v>0.37409999999999999</v>
      </c>
      <c r="P516" s="9">
        <v>1.2183999999999999</v>
      </c>
      <c r="Q516" s="9">
        <v>19.688099999999999</v>
      </c>
      <c r="R516" s="9"/>
      <c r="S516" s="11"/>
    </row>
    <row r="517" spans="1:19" ht="15.75">
      <c r="A517" s="13">
        <v>57253</v>
      </c>
      <c r="B517" s="8">
        <f>CHOOSE( CONTROL!$C$32, 13.9254, 13.9206) * CHOOSE(CONTROL!$C$15, $D$11, 100%, $F$11)</f>
        <v>13.9254</v>
      </c>
      <c r="C517" s="8">
        <f>CHOOSE( CONTROL!$C$32, 13.9335, 13.9286) * CHOOSE(CONTROL!$C$15, $D$11, 100%, $F$11)</f>
        <v>13.9335</v>
      </c>
      <c r="D517" s="8">
        <f>CHOOSE( CONTROL!$C$32, 13.9553, 13.9504) * CHOOSE( CONTROL!$C$15, $D$11, 100%, $F$11)</f>
        <v>13.955299999999999</v>
      </c>
      <c r="E517" s="12">
        <f>CHOOSE( CONTROL!$C$32, 13.9462, 13.9413) * CHOOSE( CONTROL!$C$15, $D$11, 100%, $F$11)</f>
        <v>13.946199999999999</v>
      </c>
      <c r="F517" s="4">
        <f>CHOOSE( CONTROL!$C$32, 14.6232, 14.6184) * CHOOSE(CONTROL!$C$15, $D$11, 100%, $F$11)</f>
        <v>14.623200000000001</v>
      </c>
      <c r="G517" s="8">
        <f>CHOOSE( CONTROL!$C$32, 13.5882, 13.5834) * CHOOSE( CONTROL!$C$15, $D$11, 100%, $F$11)</f>
        <v>13.588200000000001</v>
      </c>
      <c r="H517" s="4">
        <f>CHOOSE( CONTROL!$C$32, 14.5173, 14.5126) * CHOOSE(CONTROL!$C$15, $D$11, 100%, $F$11)</f>
        <v>14.517300000000001</v>
      </c>
      <c r="I517" s="8">
        <f>CHOOSE( CONTROL!$C$32, 13.454, 13.4493) * CHOOSE(CONTROL!$C$15, $D$11, 100%, $F$11)</f>
        <v>13.454000000000001</v>
      </c>
      <c r="J517" s="4">
        <f>CHOOSE( CONTROL!$C$32, 13.3405, 13.3359) * CHOOSE(CONTROL!$C$15, $D$11, 100%, $F$11)</f>
        <v>13.3405</v>
      </c>
      <c r="K517" s="4"/>
      <c r="L517" s="9">
        <v>29.7257</v>
      </c>
      <c r="M517" s="9">
        <v>11.6745</v>
      </c>
      <c r="N517" s="9">
        <v>4.7850000000000001</v>
      </c>
      <c r="O517" s="9">
        <v>0.36199999999999999</v>
      </c>
      <c r="P517" s="9">
        <v>1.1791</v>
      </c>
      <c r="Q517" s="9">
        <v>19.053000000000001</v>
      </c>
      <c r="R517" s="9"/>
      <c r="S517" s="11"/>
    </row>
    <row r="518" spans="1:19" ht="15.75">
      <c r="A518" s="13">
        <v>57284</v>
      </c>
      <c r="B518" s="8">
        <f>14.5359 * CHOOSE(CONTROL!$C$15, $D$11, 100%, $F$11)</f>
        <v>14.5359</v>
      </c>
      <c r="C518" s="8">
        <f>14.5413 * CHOOSE(CONTROL!$C$15, $D$11, 100%, $F$11)</f>
        <v>14.5413</v>
      </c>
      <c r="D518" s="8">
        <f>14.5678 * CHOOSE( CONTROL!$C$15, $D$11, 100%, $F$11)</f>
        <v>14.5678</v>
      </c>
      <c r="E518" s="12">
        <f>14.5585 * CHOOSE( CONTROL!$C$15, $D$11, 100%, $F$11)</f>
        <v>14.5585</v>
      </c>
      <c r="F518" s="4">
        <f>15.2354 * CHOOSE(CONTROL!$C$15, $D$11, 100%, $F$11)</f>
        <v>15.2354</v>
      </c>
      <c r="G518" s="8">
        <f>14.1854 * CHOOSE( CONTROL!$C$15, $D$11, 100%, $F$11)</f>
        <v>14.1854</v>
      </c>
      <c r="H518" s="4">
        <f>15.1153 * CHOOSE(CONTROL!$C$15, $D$11, 100%, $F$11)</f>
        <v>15.1153</v>
      </c>
      <c r="I518" s="8">
        <f>14.0428 * CHOOSE(CONTROL!$C$15, $D$11, 100%, $F$11)</f>
        <v>14.0428</v>
      </c>
      <c r="J518" s="4">
        <f>13.9283 * CHOOSE(CONTROL!$C$15, $D$11, 100%, $F$11)</f>
        <v>13.9283</v>
      </c>
      <c r="K518" s="4"/>
      <c r="L518" s="9">
        <v>31.095300000000002</v>
      </c>
      <c r="M518" s="9">
        <v>12.063700000000001</v>
      </c>
      <c r="N518" s="9">
        <v>4.9444999999999997</v>
      </c>
      <c r="O518" s="9">
        <v>0.37409999999999999</v>
      </c>
      <c r="P518" s="9">
        <v>1.2183999999999999</v>
      </c>
      <c r="Q518" s="9">
        <v>19.688099999999999</v>
      </c>
      <c r="R518" s="9"/>
      <c r="S518" s="11"/>
    </row>
    <row r="519" spans="1:19" ht="15.75">
      <c r="A519" s="13">
        <v>57314</v>
      </c>
      <c r="B519" s="8">
        <f>15.6744 * CHOOSE(CONTROL!$C$15, $D$11, 100%, $F$11)</f>
        <v>15.6744</v>
      </c>
      <c r="C519" s="8">
        <f>15.6796 * CHOOSE(CONTROL!$C$15, $D$11, 100%, $F$11)</f>
        <v>15.679600000000001</v>
      </c>
      <c r="D519" s="8">
        <f>15.6689 * CHOOSE( CONTROL!$C$15, $D$11, 100%, $F$11)</f>
        <v>15.668900000000001</v>
      </c>
      <c r="E519" s="12">
        <f>15.6723 * CHOOSE( CONTROL!$C$15, $D$11, 100%, $F$11)</f>
        <v>15.6723</v>
      </c>
      <c r="F519" s="4">
        <f>16.3233 * CHOOSE(CONTROL!$C$15, $D$11, 100%, $F$11)</f>
        <v>16.3233</v>
      </c>
      <c r="G519" s="8">
        <f>15.3023 * CHOOSE( CONTROL!$C$15, $D$11, 100%, $F$11)</f>
        <v>15.302300000000001</v>
      </c>
      <c r="H519" s="4">
        <f>16.1778 * CHOOSE(CONTROL!$C$15, $D$11, 100%, $F$11)</f>
        <v>16.177800000000001</v>
      </c>
      <c r="I519" s="8">
        <f>15.1624 * CHOOSE(CONTROL!$C$15, $D$11, 100%, $F$11)</f>
        <v>15.1624</v>
      </c>
      <c r="J519" s="4">
        <f>15.0218 * CHOOSE(CONTROL!$C$15, $D$11, 100%, $F$11)</f>
        <v>15.021800000000001</v>
      </c>
      <c r="K519" s="4"/>
      <c r="L519" s="9">
        <v>28.360600000000002</v>
      </c>
      <c r="M519" s="9">
        <v>11.6745</v>
      </c>
      <c r="N519" s="9">
        <v>4.7850000000000001</v>
      </c>
      <c r="O519" s="9">
        <v>0.36199999999999999</v>
      </c>
      <c r="P519" s="9">
        <v>1.2509999999999999</v>
      </c>
      <c r="Q519" s="9">
        <v>19.053000000000001</v>
      </c>
      <c r="R519" s="9"/>
      <c r="S519" s="11"/>
    </row>
    <row r="520" spans="1:19" ht="15.75">
      <c r="A520" s="13">
        <v>57345</v>
      </c>
      <c r="B520" s="8">
        <f>15.646 * CHOOSE(CONTROL!$C$15, $D$11, 100%, $F$11)</f>
        <v>15.646000000000001</v>
      </c>
      <c r="C520" s="8">
        <f>15.6512 * CHOOSE(CONTROL!$C$15, $D$11, 100%, $F$11)</f>
        <v>15.651199999999999</v>
      </c>
      <c r="D520" s="8">
        <f>15.6418 * CHOOSE( CONTROL!$C$15, $D$11, 100%, $F$11)</f>
        <v>15.6418</v>
      </c>
      <c r="E520" s="12">
        <f>15.6447 * CHOOSE( CONTROL!$C$15, $D$11, 100%, $F$11)</f>
        <v>15.6447</v>
      </c>
      <c r="F520" s="4">
        <f>16.2949 * CHOOSE(CONTROL!$C$15, $D$11, 100%, $F$11)</f>
        <v>16.294899999999998</v>
      </c>
      <c r="G520" s="8">
        <f>15.2755 * CHOOSE( CONTROL!$C$15, $D$11, 100%, $F$11)</f>
        <v>15.275499999999999</v>
      </c>
      <c r="H520" s="4">
        <f>16.15 * CHOOSE(CONTROL!$C$15, $D$11, 100%, $F$11)</f>
        <v>16.149999999999999</v>
      </c>
      <c r="I520" s="8">
        <f>15.1394 * CHOOSE(CONTROL!$C$15, $D$11, 100%, $F$11)</f>
        <v>15.1394</v>
      </c>
      <c r="J520" s="4">
        <f>14.9945 * CHOOSE(CONTROL!$C$15, $D$11, 100%, $F$11)</f>
        <v>14.9945</v>
      </c>
      <c r="K520" s="4"/>
      <c r="L520" s="9">
        <v>29.306000000000001</v>
      </c>
      <c r="M520" s="9">
        <v>12.063700000000001</v>
      </c>
      <c r="N520" s="9">
        <v>4.9444999999999997</v>
      </c>
      <c r="O520" s="9">
        <v>0.37409999999999999</v>
      </c>
      <c r="P520" s="9">
        <v>1.2927</v>
      </c>
      <c r="Q520" s="9">
        <v>19.688099999999999</v>
      </c>
      <c r="R520" s="9"/>
      <c r="S520" s="11"/>
    </row>
    <row r="521" spans="1:19" ht="15.75">
      <c r="A521" s="13">
        <v>57376</v>
      </c>
      <c r="B521" s="8">
        <f>16.2429 * CHOOSE(CONTROL!$C$15, $D$11, 100%, $F$11)</f>
        <v>16.242899999999999</v>
      </c>
      <c r="C521" s="8">
        <f>16.2481 * CHOOSE(CONTROL!$C$15, $D$11, 100%, $F$11)</f>
        <v>16.248100000000001</v>
      </c>
      <c r="D521" s="8">
        <f>16.2345 * CHOOSE( CONTROL!$C$15, $D$11, 100%, $F$11)</f>
        <v>16.234500000000001</v>
      </c>
      <c r="E521" s="12">
        <f>16.2389 * CHOOSE( CONTROL!$C$15, $D$11, 100%, $F$11)</f>
        <v>16.238900000000001</v>
      </c>
      <c r="F521" s="4">
        <f>16.8918 * CHOOSE(CONTROL!$C$15, $D$11, 100%, $F$11)</f>
        <v>16.8918</v>
      </c>
      <c r="G521" s="8">
        <f>15.8522 * CHOOSE( CONTROL!$C$15, $D$11, 100%, $F$11)</f>
        <v>15.8522</v>
      </c>
      <c r="H521" s="4">
        <f>16.733 * CHOOSE(CONTROL!$C$15, $D$11, 100%, $F$11)</f>
        <v>16.733000000000001</v>
      </c>
      <c r="I521" s="8">
        <f>15.6891 * CHOOSE(CONTROL!$C$15, $D$11, 100%, $F$11)</f>
        <v>15.6891</v>
      </c>
      <c r="J521" s="4">
        <f>15.5676 * CHOOSE(CONTROL!$C$15, $D$11, 100%, $F$11)</f>
        <v>15.567600000000001</v>
      </c>
      <c r="K521" s="4"/>
      <c r="L521" s="9">
        <v>29.306000000000001</v>
      </c>
      <c r="M521" s="9">
        <v>12.063700000000001</v>
      </c>
      <c r="N521" s="9">
        <v>4.9444999999999997</v>
      </c>
      <c r="O521" s="9">
        <v>0.37409999999999999</v>
      </c>
      <c r="P521" s="9">
        <v>1.2927</v>
      </c>
      <c r="Q521" s="9">
        <v>19.688099999999999</v>
      </c>
      <c r="R521" s="9"/>
      <c r="S521" s="11"/>
    </row>
    <row r="522" spans="1:19" ht="15.75">
      <c r="A522" s="13">
        <v>57404</v>
      </c>
      <c r="B522" s="8">
        <f>15.1946 * CHOOSE(CONTROL!$C$15, $D$11, 100%, $F$11)</f>
        <v>15.194599999999999</v>
      </c>
      <c r="C522" s="8">
        <f>15.1998 * CHOOSE(CONTROL!$C$15, $D$11, 100%, $F$11)</f>
        <v>15.1998</v>
      </c>
      <c r="D522" s="8">
        <f>15.1863 * CHOOSE( CONTROL!$C$15, $D$11, 100%, $F$11)</f>
        <v>15.186299999999999</v>
      </c>
      <c r="E522" s="12">
        <f>15.1907 * CHOOSE( CONTROL!$C$15, $D$11, 100%, $F$11)</f>
        <v>15.1907</v>
      </c>
      <c r="F522" s="4">
        <f>15.8435 * CHOOSE(CONTROL!$C$15, $D$11, 100%, $F$11)</f>
        <v>15.843500000000001</v>
      </c>
      <c r="G522" s="8">
        <f>14.8284 * CHOOSE( CONTROL!$C$15, $D$11, 100%, $F$11)</f>
        <v>14.8284</v>
      </c>
      <c r="H522" s="4">
        <f>15.7092 * CHOOSE(CONTROL!$C$15, $D$11, 100%, $F$11)</f>
        <v>15.709199999999999</v>
      </c>
      <c r="I522" s="8">
        <f>14.6821 * CHOOSE(CONTROL!$C$15, $D$11, 100%, $F$11)</f>
        <v>14.6821</v>
      </c>
      <c r="J522" s="4">
        <f>14.5612 * CHOOSE(CONTROL!$C$15, $D$11, 100%, $F$11)</f>
        <v>14.561199999999999</v>
      </c>
      <c r="K522" s="4"/>
      <c r="L522" s="9">
        <v>26.469899999999999</v>
      </c>
      <c r="M522" s="9">
        <v>10.8962</v>
      </c>
      <c r="N522" s="9">
        <v>4.4660000000000002</v>
      </c>
      <c r="O522" s="9">
        <v>0.33789999999999998</v>
      </c>
      <c r="P522" s="9">
        <v>1.1676</v>
      </c>
      <c r="Q522" s="9">
        <v>17.782800000000002</v>
      </c>
      <c r="R522" s="9"/>
      <c r="S522" s="11"/>
    </row>
    <row r="523" spans="1:19" ht="15.75">
      <c r="A523" s="13">
        <v>57435</v>
      </c>
      <c r="B523" s="8">
        <f>14.8718 * CHOOSE(CONTROL!$C$15, $D$11, 100%, $F$11)</f>
        <v>14.8718</v>
      </c>
      <c r="C523" s="8">
        <f>14.877 * CHOOSE(CONTROL!$C$15, $D$11, 100%, $F$11)</f>
        <v>14.877000000000001</v>
      </c>
      <c r="D523" s="8">
        <f>14.8631 * CHOOSE( CONTROL!$C$15, $D$11, 100%, $F$11)</f>
        <v>14.863099999999999</v>
      </c>
      <c r="E523" s="12">
        <f>14.8676 * CHOOSE( CONTROL!$C$15, $D$11, 100%, $F$11)</f>
        <v>14.867599999999999</v>
      </c>
      <c r="F523" s="4">
        <f>15.5207 * CHOOSE(CONTROL!$C$15, $D$11, 100%, $F$11)</f>
        <v>15.5207</v>
      </c>
      <c r="G523" s="8">
        <f>14.5128 * CHOOSE( CONTROL!$C$15, $D$11, 100%, $F$11)</f>
        <v>14.5128</v>
      </c>
      <c r="H523" s="4">
        <f>15.3939 * CHOOSE(CONTROL!$C$15, $D$11, 100%, $F$11)</f>
        <v>15.3939</v>
      </c>
      <c r="I523" s="8">
        <f>14.371 * CHOOSE(CONTROL!$C$15, $D$11, 100%, $F$11)</f>
        <v>14.371</v>
      </c>
      <c r="J523" s="4">
        <f>14.2512 * CHOOSE(CONTROL!$C$15, $D$11, 100%, $F$11)</f>
        <v>14.251200000000001</v>
      </c>
      <c r="K523" s="4"/>
      <c r="L523" s="9">
        <v>29.306000000000001</v>
      </c>
      <c r="M523" s="9">
        <v>12.063700000000001</v>
      </c>
      <c r="N523" s="9">
        <v>4.9444999999999997</v>
      </c>
      <c r="O523" s="9">
        <v>0.37409999999999999</v>
      </c>
      <c r="P523" s="9">
        <v>1.2927</v>
      </c>
      <c r="Q523" s="9">
        <v>19.688099999999999</v>
      </c>
      <c r="R523" s="9"/>
      <c r="S523" s="11"/>
    </row>
    <row r="524" spans="1:19" ht="15.75">
      <c r="A524" s="13">
        <v>57465</v>
      </c>
      <c r="B524" s="8">
        <f>15.0981 * CHOOSE(CONTROL!$C$15, $D$11, 100%, $F$11)</f>
        <v>15.098100000000001</v>
      </c>
      <c r="C524" s="8">
        <f>15.1028 * CHOOSE(CONTROL!$C$15, $D$11, 100%, $F$11)</f>
        <v>15.1028</v>
      </c>
      <c r="D524" s="8">
        <f>15.1291 * CHOOSE( CONTROL!$C$15, $D$11, 100%, $F$11)</f>
        <v>15.129099999999999</v>
      </c>
      <c r="E524" s="12">
        <f>15.1199 * CHOOSE( CONTROL!$C$15, $D$11, 100%, $F$11)</f>
        <v>15.119899999999999</v>
      </c>
      <c r="F524" s="4">
        <f>15.7973 * CHOOSE(CONTROL!$C$15, $D$11, 100%, $F$11)</f>
        <v>15.7973</v>
      </c>
      <c r="G524" s="8">
        <f>14.7332 * CHOOSE( CONTROL!$C$15, $D$11, 100%, $F$11)</f>
        <v>14.7332</v>
      </c>
      <c r="H524" s="4">
        <f>15.6641 * CHOOSE(CONTROL!$C$15, $D$11, 100%, $F$11)</f>
        <v>15.664099999999999</v>
      </c>
      <c r="I524" s="8">
        <f>14.5796 * CHOOSE(CONTROL!$C$15, $D$11, 100%, $F$11)</f>
        <v>14.579599999999999</v>
      </c>
      <c r="J524" s="4">
        <f>14.4678 * CHOOSE(CONTROL!$C$15, $D$11, 100%, $F$11)</f>
        <v>14.4678</v>
      </c>
      <c r="K524" s="4"/>
      <c r="L524" s="9">
        <v>30.092199999999998</v>
      </c>
      <c r="M524" s="9">
        <v>11.6745</v>
      </c>
      <c r="N524" s="9">
        <v>4.7850000000000001</v>
      </c>
      <c r="O524" s="9">
        <v>0.36199999999999999</v>
      </c>
      <c r="P524" s="9">
        <v>1.1791</v>
      </c>
      <c r="Q524" s="9">
        <v>19.053000000000001</v>
      </c>
      <c r="R524" s="9"/>
      <c r="S524" s="11"/>
    </row>
    <row r="525" spans="1:19" ht="15.75">
      <c r="A525" s="13">
        <v>57496</v>
      </c>
      <c r="B525" s="8">
        <f>CHOOSE( CONTROL!$C$32, 15.5059, 15.501) * CHOOSE(CONTROL!$C$15, $D$11, 100%, $F$11)</f>
        <v>15.5059</v>
      </c>
      <c r="C525" s="8">
        <f>CHOOSE( CONTROL!$C$32, 15.5139, 15.5091) * CHOOSE(CONTROL!$C$15, $D$11, 100%, $F$11)</f>
        <v>15.5139</v>
      </c>
      <c r="D525" s="8">
        <f>CHOOSE( CONTROL!$C$32, 15.5353, 15.5304) * CHOOSE( CONTROL!$C$15, $D$11, 100%, $F$11)</f>
        <v>15.535299999999999</v>
      </c>
      <c r="E525" s="12">
        <f>CHOOSE( CONTROL!$C$32, 15.5263, 15.5214) * CHOOSE( CONTROL!$C$15, $D$11, 100%, $F$11)</f>
        <v>15.526300000000001</v>
      </c>
      <c r="F525" s="4">
        <f>CHOOSE( CONTROL!$C$32, 16.2037, 16.1988) * CHOOSE(CONTROL!$C$15, $D$11, 100%, $F$11)</f>
        <v>16.203700000000001</v>
      </c>
      <c r="G525" s="8">
        <f>CHOOSE( CONTROL!$C$32, 15.1311, 15.1264) * CHOOSE( CONTROL!$C$15, $D$11, 100%, $F$11)</f>
        <v>15.1311</v>
      </c>
      <c r="H525" s="4">
        <f>CHOOSE( CONTROL!$C$32, 16.0609, 16.0562) * CHOOSE(CONTROL!$C$15, $D$11, 100%, $F$11)</f>
        <v>16.0609</v>
      </c>
      <c r="I525" s="8">
        <f>CHOOSE( CONTROL!$C$32, 14.9699, 14.9652) * CHOOSE(CONTROL!$C$15, $D$11, 100%, $F$11)</f>
        <v>14.969900000000001</v>
      </c>
      <c r="J525" s="4">
        <f>CHOOSE( CONTROL!$C$32, 14.8579, 14.8533) * CHOOSE(CONTROL!$C$15, $D$11, 100%, $F$11)</f>
        <v>14.857900000000001</v>
      </c>
      <c r="K525" s="4"/>
      <c r="L525" s="9">
        <v>30.7165</v>
      </c>
      <c r="M525" s="9">
        <v>12.063700000000001</v>
      </c>
      <c r="N525" s="9">
        <v>4.9444999999999997</v>
      </c>
      <c r="O525" s="9">
        <v>0.37409999999999999</v>
      </c>
      <c r="P525" s="9">
        <v>1.2183999999999999</v>
      </c>
      <c r="Q525" s="9">
        <v>19.688099999999999</v>
      </c>
      <c r="R525" s="9"/>
      <c r="S525" s="11"/>
    </row>
    <row r="526" spans="1:19" ht="15.75">
      <c r="A526" s="13">
        <v>57526</v>
      </c>
      <c r="B526" s="8">
        <f>CHOOSE( CONTROL!$C$32, 15.2571, 15.2523) * CHOOSE(CONTROL!$C$15, $D$11, 100%, $F$11)</f>
        <v>15.257099999999999</v>
      </c>
      <c r="C526" s="8">
        <f>CHOOSE( CONTROL!$C$32, 15.2652, 15.2604) * CHOOSE(CONTROL!$C$15, $D$11, 100%, $F$11)</f>
        <v>15.2652</v>
      </c>
      <c r="D526" s="8">
        <f>CHOOSE( CONTROL!$C$32, 15.2867, 15.2819) * CHOOSE( CONTROL!$C$15, $D$11, 100%, $F$11)</f>
        <v>15.2867</v>
      </c>
      <c r="E526" s="12">
        <f>CHOOSE( CONTROL!$C$32, 15.2777, 15.2729) * CHOOSE( CONTROL!$C$15, $D$11, 100%, $F$11)</f>
        <v>15.277699999999999</v>
      </c>
      <c r="F526" s="4">
        <f>CHOOSE( CONTROL!$C$32, 15.9549, 15.9501) * CHOOSE(CONTROL!$C$15, $D$11, 100%, $F$11)</f>
        <v>15.9549</v>
      </c>
      <c r="G526" s="8">
        <f>CHOOSE( CONTROL!$C$32, 14.8884, 14.8837) * CHOOSE( CONTROL!$C$15, $D$11, 100%, $F$11)</f>
        <v>14.888400000000001</v>
      </c>
      <c r="H526" s="4">
        <f>CHOOSE( CONTROL!$C$32, 15.818, 15.8133) * CHOOSE(CONTROL!$C$15, $D$11, 100%, $F$11)</f>
        <v>15.818</v>
      </c>
      <c r="I526" s="8">
        <f>CHOOSE( CONTROL!$C$32, 14.7319, 14.7272) * CHOOSE(CONTROL!$C$15, $D$11, 100%, $F$11)</f>
        <v>14.7319</v>
      </c>
      <c r="J526" s="4">
        <f>CHOOSE( CONTROL!$C$32, 14.6191, 14.6145) * CHOOSE(CONTROL!$C$15, $D$11, 100%, $F$11)</f>
        <v>14.6191</v>
      </c>
      <c r="K526" s="4"/>
      <c r="L526" s="9">
        <v>29.7257</v>
      </c>
      <c r="M526" s="9">
        <v>11.6745</v>
      </c>
      <c r="N526" s="9">
        <v>4.7850000000000001</v>
      </c>
      <c r="O526" s="9">
        <v>0.36199999999999999</v>
      </c>
      <c r="P526" s="9">
        <v>1.1791</v>
      </c>
      <c r="Q526" s="9">
        <v>19.053000000000001</v>
      </c>
      <c r="R526" s="9"/>
      <c r="S526" s="11"/>
    </row>
    <row r="527" spans="1:19" ht="15.75">
      <c r="A527" s="13">
        <v>57557</v>
      </c>
      <c r="B527" s="8">
        <f>CHOOSE( CONTROL!$C$32, 15.9121, 15.9073) * CHOOSE(CONTROL!$C$15, $D$11, 100%, $F$11)</f>
        <v>15.912100000000001</v>
      </c>
      <c r="C527" s="8">
        <f>CHOOSE( CONTROL!$C$32, 15.9202, 15.9154) * CHOOSE(CONTROL!$C$15, $D$11, 100%, $F$11)</f>
        <v>15.920199999999999</v>
      </c>
      <c r="D527" s="8">
        <f>CHOOSE( CONTROL!$C$32, 15.942, 15.9371) * CHOOSE( CONTROL!$C$15, $D$11, 100%, $F$11)</f>
        <v>15.942</v>
      </c>
      <c r="E527" s="12">
        <f>CHOOSE( CONTROL!$C$32, 15.9329, 15.928) * CHOOSE( CONTROL!$C$15, $D$11, 100%, $F$11)</f>
        <v>15.9329</v>
      </c>
      <c r="F527" s="4">
        <f>CHOOSE( CONTROL!$C$32, 16.6099, 16.6051) * CHOOSE(CONTROL!$C$15, $D$11, 100%, $F$11)</f>
        <v>16.6099</v>
      </c>
      <c r="G527" s="8">
        <f>CHOOSE( CONTROL!$C$32, 15.5285, 15.5238) * CHOOSE( CONTROL!$C$15, $D$11, 100%, $F$11)</f>
        <v>15.528499999999999</v>
      </c>
      <c r="H527" s="4">
        <f>CHOOSE( CONTROL!$C$32, 16.4578, 16.453) * CHOOSE(CONTROL!$C$15, $D$11, 100%, $F$11)</f>
        <v>16.457799999999999</v>
      </c>
      <c r="I527" s="8">
        <f>CHOOSE( CONTROL!$C$32, 15.3622, 15.3575) * CHOOSE(CONTROL!$C$15, $D$11, 100%, $F$11)</f>
        <v>15.3622</v>
      </c>
      <c r="J527" s="4">
        <f>CHOOSE( CONTROL!$C$32, 15.248, 15.2434) * CHOOSE(CONTROL!$C$15, $D$11, 100%, $F$11)</f>
        <v>15.247999999999999</v>
      </c>
      <c r="K527" s="4"/>
      <c r="L527" s="9">
        <v>30.7165</v>
      </c>
      <c r="M527" s="9">
        <v>12.063700000000001</v>
      </c>
      <c r="N527" s="9">
        <v>4.9444999999999997</v>
      </c>
      <c r="O527" s="9">
        <v>0.37409999999999999</v>
      </c>
      <c r="P527" s="9">
        <v>1.2183999999999999</v>
      </c>
      <c r="Q527" s="9">
        <v>19.688099999999999</v>
      </c>
      <c r="R527" s="9"/>
      <c r="S527" s="11"/>
    </row>
    <row r="528" spans="1:19" ht="15.75">
      <c r="A528" s="13">
        <v>57588</v>
      </c>
      <c r="B528" s="8">
        <f>CHOOSE( CONTROL!$C$32, 14.6865, 14.6817) * CHOOSE(CONTROL!$C$15, $D$11, 100%, $F$11)</f>
        <v>14.686500000000001</v>
      </c>
      <c r="C528" s="8">
        <f>CHOOSE( CONTROL!$C$32, 14.6946, 14.6898) * CHOOSE(CONTROL!$C$15, $D$11, 100%, $F$11)</f>
        <v>14.694599999999999</v>
      </c>
      <c r="D528" s="8">
        <f>CHOOSE( CONTROL!$C$32, 14.7164, 14.7116) * CHOOSE( CONTROL!$C$15, $D$11, 100%, $F$11)</f>
        <v>14.7164</v>
      </c>
      <c r="E528" s="12">
        <f>CHOOSE( CONTROL!$C$32, 14.7073, 14.7025) * CHOOSE( CONTROL!$C$15, $D$11, 100%, $F$11)</f>
        <v>14.7073</v>
      </c>
      <c r="F528" s="4">
        <f>CHOOSE( CONTROL!$C$32, 15.3844, 15.3795) * CHOOSE(CONTROL!$C$15, $D$11, 100%, $F$11)</f>
        <v>15.384399999999999</v>
      </c>
      <c r="G528" s="8">
        <f>CHOOSE( CONTROL!$C$32, 14.3316, 14.3269) * CHOOSE( CONTROL!$C$15, $D$11, 100%, $F$11)</f>
        <v>14.3316</v>
      </c>
      <c r="H528" s="4">
        <f>CHOOSE( CONTROL!$C$32, 15.2607, 15.256) * CHOOSE(CONTROL!$C$15, $D$11, 100%, $F$11)</f>
        <v>15.2607</v>
      </c>
      <c r="I528" s="8">
        <f>CHOOSE( CONTROL!$C$32, 14.1852, 14.1806) * CHOOSE(CONTROL!$C$15, $D$11, 100%, $F$11)</f>
        <v>14.1852</v>
      </c>
      <c r="J528" s="4">
        <f>CHOOSE( CONTROL!$C$32, 14.0713, 14.0667) * CHOOSE(CONTROL!$C$15, $D$11, 100%, $F$11)</f>
        <v>14.071300000000001</v>
      </c>
      <c r="K528" s="4"/>
      <c r="L528" s="9">
        <v>30.7165</v>
      </c>
      <c r="M528" s="9">
        <v>12.063700000000001</v>
      </c>
      <c r="N528" s="9">
        <v>4.9444999999999997</v>
      </c>
      <c r="O528" s="9">
        <v>0.37409999999999999</v>
      </c>
      <c r="P528" s="9">
        <v>1.2183999999999999</v>
      </c>
      <c r="Q528" s="9">
        <v>19.688099999999999</v>
      </c>
      <c r="R528" s="9"/>
      <c r="S528" s="11"/>
    </row>
    <row r="529" spans="1:19" ht="15.75">
      <c r="A529" s="13">
        <v>57618</v>
      </c>
      <c r="B529" s="8">
        <f>CHOOSE( CONTROL!$C$32, 14.3796, 14.3748) * CHOOSE(CONTROL!$C$15, $D$11, 100%, $F$11)</f>
        <v>14.3796</v>
      </c>
      <c r="C529" s="8">
        <f>CHOOSE( CONTROL!$C$32, 14.3877, 14.3829) * CHOOSE(CONTROL!$C$15, $D$11, 100%, $F$11)</f>
        <v>14.387700000000001</v>
      </c>
      <c r="D529" s="8">
        <f>CHOOSE( CONTROL!$C$32, 14.4095, 14.4047) * CHOOSE( CONTROL!$C$15, $D$11, 100%, $F$11)</f>
        <v>14.4095</v>
      </c>
      <c r="E529" s="12">
        <f>CHOOSE( CONTROL!$C$32, 14.4004, 14.3956) * CHOOSE( CONTROL!$C$15, $D$11, 100%, $F$11)</f>
        <v>14.400399999999999</v>
      </c>
      <c r="F529" s="4">
        <f>CHOOSE( CONTROL!$C$32, 15.0775, 15.0726) * CHOOSE(CONTROL!$C$15, $D$11, 100%, $F$11)</f>
        <v>15.077500000000001</v>
      </c>
      <c r="G529" s="8">
        <f>CHOOSE( CONTROL!$C$32, 14.0318, 14.0271) * CHOOSE( CONTROL!$C$15, $D$11, 100%, $F$11)</f>
        <v>14.0318</v>
      </c>
      <c r="H529" s="4">
        <f>CHOOSE( CONTROL!$C$32, 14.961, 14.9563) * CHOOSE(CONTROL!$C$15, $D$11, 100%, $F$11)</f>
        <v>14.961</v>
      </c>
      <c r="I529" s="8">
        <f>CHOOSE( CONTROL!$C$32, 13.8903, 13.8857) * CHOOSE(CONTROL!$C$15, $D$11, 100%, $F$11)</f>
        <v>13.8903</v>
      </c>
      <c r="J529" s="4">
        <f>CHOOSE( CONTROL!$C$32, 13.7767, 13.772) * CHOOSE(CONTROL!$C$15, $D$11, 100%, $F$11)</f>
        <v>13.7767</v>
      </c>
      <c r="K529" s="4"/>
      <c r="L529" s="9">
        <v>29.7257</v>
      </c>
      <c r="M529" s="9">
        <v>11.6745</v>
      </c>
      <c r="N529" s="9">
        <v>4.7850000000000001</v>
      </c>
      <c r="O529" s="9">
        <v>0.36199999999999999</v>
      </c>
      <c r="P529" s="9">
        <v>1.1791</v>
      </c>
      <c r="Q529" s="9">
        <v>19.053000000000001</v>
      </c>
      <c r="R529" s="9"/>
      <c r="S529" s="11"/>
    </row>
    <row r="530" spans="1:19" ht="15.75">
      <c r="A530" s="13">
        <v>57649</v>
      </c>
      <c r="B530" s="8">
        <f>15.0103 * CHOOSE(CONTROL!$C$15, $D$11, 100%, $F$11)</f>
        <v>15.010300000000001</v>
      </c>
      <c r="C530" s="8">
        <f>15.0158 * CHOOSE(CONTROL!$C$15, $D$11, 100%, $F$11)</f>
        <v>15.0158</v>
      </c>
      <c r="D530" s="8">
        <f>15.0422 * CHOOSE( CONTROL!$C$15, $D$11, 100%, $F$11)</f>
        <v>15.042199999999999</v>
      </c>
      <c r="E530" s="12">
        <f>15.0329 * CHOOSE( CONTROL!$C$15, $D$11, 100%, $F$11)</f>
        <v>15.0329</v>
      </c>
      <c r="F530" s="4">
        <f>15.7099 * CHOOSE(CONTROL!$C$15, $D$11, 100%, $F$11)</f>
        <v>15.709899999999999</v>
      </c>
      <c r="G530" s="8">
        <f>14.6487 * CHOOSE( CONTROL!$C$15, $D$11, 100%, $F$11)</f>
        <v>14.6487</v>
      </c>
      <c r="H530" s="4">
        <f>15.5786 * CHOOSE(CONTROL!$C$15, $D$11, 100%, $F$11)</f>
        <v>15.5786</v>
      </c>
      <c r="I530" s="8">
        <f>14.4985 * CHOOSE(CONTROL!$C$15, $D$11, 100%, $F$11)</f>
        <v>14.4985</v>
      </c>
      <c r="J530" s="4">
        <f>14.3838 * CHOOSE(CONTROL!$C$15, $D$11, 100%, $F$11)</f>
        <v>14.383800000000001</v>
      </c>
      <c r="K530" s="4"/>
      <c r="L530" s="9">
        <v>31.095300000000002</v>
      </c>
      <c r="M530" s="9">
        <v>12.063700000000001</v>
      </c>
      <c r="N530" s="9">
        <v>4.9444999999999997</v>
      </c>
      <c r="O530" s="9">
        <v>0.37409999999999999</v>
      </c>
      <c r="P530" s="9">
        <v>1.2183999999999999</v>
      </c>
      <c r="Q530" s="9">
        <v>19.688099999999999</v>
      </c>
      <c r="R530" s="9"/>
      <c r="S530" s="11"/>
    </row>
    <row r="531" spans="1:19" ht="15.75">
      <c r="A531" s="13">
        <v>57679</v>
      </c>
      <c r="B531" s="8">
        <f>16.1861 * CHOOSE(CONTROL!$C$15, $D$11, 100%, $F$11)</f>
        <v>16.1861</v>
      </c>
      <c r="C531" s="8">
        <f>16.1913 * CHOOSE(CONTROL!$C$15, $D$11, 100%, $F$11)</f>
        <v>16.191299999999998</v>
      </c>
      <c r="D531" s="8">
        <f>16.1805 * CHOOSE( CONTROL!$C$15, $D$11, 100%, $F$11)</f>
        <v>16.180499999999999</v>
      </c>
      <c r="E531" s="12">
        <f>16.1839 * CHOOSE( CONTROL!$C$15, $D$11, 100%, $F$11)</f>
        <v>16.183900000000001</v>
      </c>
      <c r="F531" s="4">
        <f>16.835 * CHOOSE(CONTROL!$C$15, $D$11, 100%, $F$11)</f>
        <v>16.835000000000001</v>
      </c>
      <c r="G531" s="8">
        <f>15.8021 * CHOOSE( CONTROL!$C$15, $D$11, 100%, $F$11)</f>
        <v>15.802099999999999</v>
      </c>
      <c r="H531" s="4">
        <f>16.6776 * CHOOSE(CONTROL!$C$15, $D$11, 100%, $F$11)</f>
        <v>16.677600000000002</v>
      </c>
      <c r="I531" s="8">
        <f>15.6539 * CHOOSE(CONTROL!$C$15, $D$11, 100%, $F$11)</f>
        <v>15.6539</v>
      </c>
      <c r="J531" s="4">
        <f>15.5131 * CHOOSE(CONTROL!$C$15, $D$11, 100%, $F$11)</f>
        <v>15.5131</v>
      </c>
      <c r="K531" s="4"/>
      <c r="L531" s="9">
        <v>28.360600000000002</v>
      </c>
      <c r="M531" s="9">
        <v>11.6745</v>
      </c>
      <c r="N531" s="9">
        <v>4.7850000000000001</v>
      </c>
      <c r="O531" s="9">
        <v>0.36199999999999999</v>
      </c>
      <c r="P531" s="9">
        <v>1.2509999999999999</v>
      </c>
      <c r="Q531" s="9">
        <v>19.053000000000001</v>
      </c>
      <c r="R531" s="9"/>
      <c r="S531" s="11"/>
    </row>
    <row r="532" spans="1:19" ht="15.75">
      <c r="A532" s="13">
        <v>57710</v>
      </c>
      <c r="B532" s="8">
        <f>16.1567 * CHOOSE(CONTROL!$C$15, $D$11, 100%, $F$11)</f>
        <v>16.156700000000001</v>
      </c>
      <c r="C532" s="8">
        <f>16.1619 * CHOOSE(CONTROL!$C$15, $D$11, 100%, $F$11)</f>
        <v>16.161899999999999</v>
      </c>
      <c r="D532" s="8">
        <f>16.1525 * CHOOSE( CONTROL!$C$15, $D$11, 100%, $F$11)</f>
        <v>16.1525</v>
      </c>
      <c r="E532" s="12">
        <f>16.1554 * CHOOSE( CONTROL!$C$15, $D$11, 100%, $F$11)</f>
        <v>16.1554</v>
      </c>
      <c r="F532" s="4">
        <f>16.8056 * CHOOSE(CONTROL!$C$15, $D$11, 100%, $F$11)</f>
        <v>16.805599999999998</v>
      </c>
      <c r="G532" s="8">
        <f>15.7744 * CHOOSE( CONTROL!$C$15, $D$11, 100%, $F$11)</f>
        <v>15.7744</v>
      </c>
      <c r="H532" s="4">
        <f>16.6489 * CHOOSE(CONTROL!$C$15, $D$11, 100%, $F$11)</f>
        <v>16.648900000000001</v>
      </c>
      <c r="I532" s="8">
        <f>15.63 * CHOOSE(CONTROL!$C$15, $D$11, 100%, $F$11)</f>
        <v>15.63</v>
      </c>
      <c r="J532" s="4">
        <f>15.4849 * CHOOSE(CONTROL!$C$15, $D$11, 100%, $F$11)</f>
        <v>15.4849</v>
      </c>
      <c r="K532" s="4"/>
      <c r="L532" s="9">
        <v>29.306000000000001</v>
      </c>
      <c r="M532" s="9">
        <v>12.063700000000001</v>
      </c>
      <c r="N532" s="9">
        <v>4.9444999999999997</v>
      </c>
      <c r="O532" s="9">
        <v>0.37409999999999999</v>
      </c>
      <c r="P532" s="9">
        <v>1.2927</v>
      </c>
      <c r="Q532" s="9">
        <v>19.688099999999999</v>
      </c>
      <c r="R532" s="9"/>
      <c r="S532" s="11"/>
    </row>
    <row r="533" spans="1:19" ht="15.75">
      <c r="A533" s="13">
        <v>57741</v>
      </c>
      <c r="B533" s="8">
        <f>16.7731 * CHOOSE(CONTROL!$C$15, $D$11, 100%, $F$11)</f>
        <v>16.773099999999999</v>
      </c>
      <c r="C533" s="8">
        <f>16.7783 * CHOOSE(CONTROL!$C$15, $D$11, 100%, $F$11)</f>
        <v>16.778300000000002</v>
      </c>
      <c r="D533" s="8">
        <f>16.7648 * CHOOSE( CONTROL!$C$15, $D$11, 100%, $F$11)</f>
        <v>16.764800000000001</v>
      </c>
      <c r="E533" s="12">
        <f>16.7692 * CHOOSE( CONTROL!$C$15, $D$11, 100%, $F$11)</f>
        <v>16.769200000000001</v>
      </c>
      <c r="F533" s="4">
        <f>17.422 * CHOOSE(CONTROL!$C$15, $D$11, 100%, $F$11)</f>
        <v>17.422000000000001</v>
      </c>
      <c r="G533" s="8">
        <f>16.3702 * CHOOSE( CONTROL!$C$15, $D$11, 100%, $F$11)</f>
        <v>16.370200000000001</v>
      </c>
      <c r="H533" s="4">
        <f>17.2509 * CHOOSE(CONTROL!$C$15, $D$11, 100%, $F$11)</f>
        <v>17.250900000000001</v>
      </c>
      <c r="I533" s="8">
        <f>16.1984 * CHOOSE(CONTROL!$C$15, $D$11, 100%, $F$11)</f>
        <v>16.198399999999999</v>
      </c>
      <c r="J533" s="4">
        <f>16.0767 * CHOOSE(CONTROL!$C$15, $D$11, 100%, $F$11)</f>
        <v>16.076699999999999</v>
      </c>
      <c r="K533" s="4"/>
      <c r="L533" s="9">
        <v>29.306000000000001</v>
      </c>
      <c r="M533" s="9">
        <v>12.063700000000001</v>
      </c>
      <c r="N533" s="9">
        <v>4.9444999999999997</v>
      </c>
      <c r="O533" s="9">
        <v>0.37409999999999999</v>
      </c>
      <c r="P533" s="9">
        <v>1.2927</v>
      </c>
      <c r="Q533" s="9">
        <v>19.688099999999999</v>
      </c>
      <c r="R533" s="9"/>
      <c r="S533" s="11"/>
    </row>
    <row r="534" spans="1:19" ht="15.75">
      <c r="A534" s="13">
        <v>57769</v>
      </c>
      <c r="B534" s="8">
        <f>15.6906 * CHOOSE(CONTROL!$C$15, $D$11, 100%, $F$11)</f>
        <v>15.6906</v>
      </c>
      <c r="C534" s="8">
        <f>15.6958 * CHOOSE(CONTROL!$C$15, $D$11, 100%, $F$11)</f>
        <v>15.6958</v>
      </c>
      <c r="D534" s="8">
        <f>15.6823 * CHOOSE( CONTROL!$C$15, $D$11, 100%, $F$11)</f>
        <v>15.6823</v>
      </c>
      <c r="E534" s="12">
        <f>15.6867 * CHOOSE( CONTROL!$C$15, $D$11, 100%, $F$11)</f>
        <v>15.6867</v>
      </c>
      <c r="F534" s="4">
        <f>16.3395 * CHOOSE(CONTROL!$C$15, $D$11, 100%, $F$11)</f>
        <v>16.339500000000001</v>
      </c>
      <c r="G534" s="8">
        <f>15.3129 * CHOOSE( CONTROL!$C$15, $D$11, 100%, $F$11)</f>
        <v>15.312900000000001</v>
      </c>
      <c r="H534" s="4">
        <f>16.1936 * CHOOSE(CONTROL!$C$15, $D$11, 100%, $F$11)</f>
        <v>16.1936</v>
      </c>
      <c r="I534" s="8">
        <f>15.1586 * CHOOSE(CONTROL!$C$15, $D$11, 100%, $F$11)</f>
        <v>15.1586</v>
      </c>
      <c r="J534" s="4">
        <f>15.0374 * CHOOSE(CONTROL!$C$15, $D$11, 100%, $F$11)</f>
        <v>15.0374</v>
      </c>
      <c r="K534" s="4"/>
      <c r="L534" s="9">
        <v>26.469899999999999</v>
      </c>
      <c r="M534" s="9">
        <v>10.8962</v>
      </c>
      <c r="N534" s="9">
        <v>4.4660000000000002</v>
      </c>
      <c r="O534" s="9">
        <v>0.33789999999999998</v>
      </c>
      <c r="P534" s="9">
        <v>1.1676</v>
      </c>
      <c r="Q534" s="9">
        <v>17.782800000000002</v>
      </c>
      <c r="R534" s="9"/>
      <c r="S534" s="11"/>
    </row>
    <row r="535" spans="1:19" ht="15.75">
      <c r="A535" s="13">
        <v>57800</v>
      </c>
      <c r="B535" s="8">
        <f>15.3572 * CHOOSE(CONTROL!$C$15, $D$11, 100%, $F$11)</f>
        <v>15.357200000000001</v>
      </c>
      <c r="C535" s="8">
        <f>15.3624 * CHOOSE(CONTROL!$C$15, $D$11, 100%, $F$11)</f>
        <v>15.362399999999999</v>
      </c>
      <c r="D535" s="8">
        <f>15.3485 * CHOOSE( CONTROL!$C$15, $D$11, 100%, $F$11)</f>
        <v>15.3485</v>
      </c>
      <c r="E535" s="12">
        <f>15.353 * CHOOSE( CONTROL!$C$15, $D$11, 100%, $F$11)</f>
        <v>15.353</v>
      </c>
      <c r="F535" s="4">
        <f>16.0061 * CHOOSE(CONTROL!$C$15, $D$11, 100%, $F$11)</f>
        <v>16.0061</v>
      </c>
      <c r="G535" s="8">
        <f>14.987 * CHOOSE( CONTROL!$C$15, $D$11, 100%, $F$11)</f>
        <v>14.987</v>
      </c>
      <c r="H535" s="4">
        <f>15.868 * CHOOSE(CONTROL!$C$15, $D$11, 100%, $F$11)</f>
        <v>15.868</v>
      </c>
      <c r="I535" s="8">
        <f>14.8373 * CHOOSE(CONTROL!$C$15, $D$11, 100%, $F$11)</f>
        <v>14.837300000000001</v>
      </c>
      <c r="J535" s="4">
        <f>14.7173 * CHOOSE(CONTROL!$C$15, $D$11, 100%, $F$11)</f>
        <v>14.7173</v>
      </c>
      <c r="K535" s="4"/>
      <c r="L535" s="9">
        <v>29.306000000000001</v>
      </c>
      <c r="M535" s="9">
        <v>12.063700000000001</v>
      </c>
      <c r="N535" s="9">
        <v>4.9444999999999997</v>
      </c>
      <c r="O535" s="9">
        <v>0.37409999999999999</v>
      </c>
      <c r="P535" s="9">
        <v>1.2927</v>
      </c>
      <c r="Q535" s="9">
        <v>19.688099999999999</v>
      </c>
      <c r="R535" s="9"/>
      <c r="S535" s="11"/>
    </row>
    <row r="536" spans="1:19" ht="15.75">
      <c r="A536" s="13">
        <v>57830</v>
      </c>
      <c r="B536" s="8">
        <f>15.5909 * CHOOSE(CONTROL!$C$15, $D$11, 100%, $F$11)</f>
        <v>15.5909</v>
      </c>
      <c r="C536" s="8">
        <f>15.5956 * CHOOSE(CONTROL!$C$15, $D$11, 100%, $F$11)</f>
        <v>15.595599999999999</v>
      </c>
      <c r="D536" s="8">
        <f>15.6219 * CHOOSE( CONTROL!$C$15, $D$11, 100%, $F$11)</f>
        <v>15.6219</v>
      </c>
      <c r="E536" s="12">
        <f>15.6127 * CHOOSE( CONTROL!$C$15, $D$11, 100%, $F$11)</f>
        <v>15.6127</v>
      </c>
      <c r="F536" s="4">
        <f>16.2901 * CHOOSE(CONTROL!$C$15, $D$11, 100%, $F$11)</f>
        <v>16.290099999999999</v>
      </c>
      <c r="G536" s="8">
        <f>15.2146 * CHOOSE( CONTROL!$C$15, $D$11, 100%, $F$11)</f>
        <v>15.214600000000001</v>
      </c>
      <c r="H536" s="4">
        <f>16.1454 * CHOOSE(CONTROL!$C$15, $D$11, 100%, $F$11)</f>
        <v>16.145399999999999</v>
      </c>
      <c r="I536" s="8">
        <f>15.053 * CHOOSE(CONTROL!$C$15, $D$11, 100%, $F$11)</f>
        <v>15.053000000000001</v>
      </c>
      <c r="J536" s="4">
        <f>14.941 * CHOOSE(CONTROL!$C$15, $D$11, 100%, $F$11)</f>
        <v>14.941000000000001</v>
      </c>
      <c r="K536" s="4"/>
      <c r="L536" s="9">
        <v>30.092199999999998</v>
      </c>
      <c r="M536" s="9">
        <v>11.6745</v>
      </c>
      <c r="N536" s="9">
        <v>4.7850000000000001</v>
      </c>
      <c r="O536" s="9">
        <v>0.36199999999999999</v>
      </c>
      <c r="P536" s="9">
        <v>1.1791</v>
      </c>
      <c r="Q536" s="9">
        <v>19.053000000000001</v>
      </c>
      <c r="R536" s="9"/>
      <c r="S536" s="11"/>
    </row>
    <row r="537" spans="1:19" ht="15.75">
      <c r="A537" s="13">
        <v>57861</v>
      </c>
      <c r="B537" s="8">
        <f>CHOOSE( CONTROL!$C$32, 16.0118, 16.007) * CHOOSE(CONTROL!$C$15, $D$11, 100%, $F$11)</f>
        <v>16.011800000000001</v>
      </c>
      <c r="C537" s="8">
        <f>CHOOSE( CONTROL!$C$32, 16.0199, 16.0151) * CHOOSE(CONTROL!$C$15, $D$11, 100%, $F$11)</f>
        <v>16.0199</v>
      </c>
      <c r="D537" s="8">
        <f>CHOOSE( CONTROL!$C$32, 16.0412, 16.0364) * CHOOSE( CONTROL!$C$15, $D$11, 100%, $F$11)</f>
        <v>16.0412</v>
      </c>
      <c r="E537" s="12">
        <f>CHOOSE( CONTROL!$C$32, 16.0322, 16.0274) * CHOOSE( CONTROL!$C$15, $D$11, 100%, $F$11)</f>
        <v>16.0322</v>
      </c>
      <c r="F537" s="4">
        <f>CHOOSE( CONTROL!$C$32, 16.7096, 16.7048) * CHOOSE(CONTROL!$C$15, $D$11, 100%, $F$11)</f>
        <v>16.709599999999998</v>
      </c>
      <c r="G537" s="8">
        <f>CHOOSE( CONTROL!$C$32, 15.6253, 15.6205) * CHOOSE( CONTROL!$C$15, $D$11, 100%, $F$11)</f>
        <v>15.625299999999999</v>
      </c>
      <c r="H537" s="4">
        <f>CHOOSE( CONTROL!$C$32, 16.5551, 16.5504) * CHOOSE(CONTROL!$C$15, $D$11, 100%, $F$11)</f>
        <v>16.555099999999999</v>
      </c>
      <c r="I537" s="8">
        <f>CHOOSE( CONTROL!$C$32, 15.4559, 15.4512) * CHOOSE(CONTROL!$C$15, $D$11, 100%, $F$11)</f>
        <v>15.4559</v>
      </c>
      <c r="J537" s="4">
        <f>CHOOSE( CONTROL!$C$32, 15.3437, 15.3391) * CHOOSE(CONTROL!$C$15, $D$11, 100%, $F$11)</f>
        <v>15.3437</v>
      </c>
      <c r="K537" s="4"/>
      <c r="L537" s="9">
        <v>30.7165</v>
      </c>
      <c r="M537" s="9">
        <v>12.063700000000001</v>
      </c>
      <c r="N537" s="9">
        <v>4.9444999999999997</v>
      </c>
      <c r="O537" s="9">
        <v>0.37409999999999999</v>
      </c>
      <c r="P537" s="9">
        <v>1.2183999999999999</v>
      </c>
      <c r="Q537" s="9">
        <v>19.688099999999999</v>
      </c>
      <c r="R537" s="9"/>
      <c r="S537" s="11"/>
    </row>
    <row r="538" spans="1:19" ht="15.75">
      <c r="A538" s="13">
        <v>57891</v>
      </c>
      <c r="B538" s="8">
        <f>CHOOSE( CONTROL!$C$32, 15.7549, 15.7501) * CHOOSE(CONTROL!$C$15, $D$11, 100%, $F$11)</f>
        <v>15.754899999999999</v>
      </c>
      <c r="C538" s="8">
        <f>CHOOSE( CONTROL!$C$32, 15.763, 15.7582) * CHOOSE(CONTROL!$C$15, $D$11, 100%, $F$11)</f>
        <v>15.763</v>
      </c>
      <c r="D538" s="8">
        <f>CHOOSE( CONTROL!$C$32, 15.7845, 15.7797) * CHOOSE( CONTROL!$C$15, $D$11, 100%, $F$11)</f>
        <v>15.7845</v>
      </c>
      <c r="E538" s="12">
        <f>CHOOSE( CONTROL!$C$32, 15.7755, 15.7707) * CHOOSE( CONTROL!$C$15, $D$11, 100%, $F$11)</f>
        <v>15.775499999999999</v>
      </c>
      <c r="F538" s="4">
        <f>CHOOSE( CONTROL!$C$32, 16.4527, 16.4479) * CHOOSE(CONTROL!$C$15, $D$11, 100%, $F$11)</f>
        <v>16.4527</v>
      </c>
      <c r="G538" s="8">
        <f>CHOOSE( CONTROL!$C$32, 15.3747, 15.3699) * CHOOSE( CONTROL!$C$15, $D$11, 100%, $F$11)</f>
        <v>15.374700000000001</v>
      </c>
      <c r="H538" s="4">
        <f>CHOOSE( CONTROL!$C$32, 16.3042, 16.2995) * CHOOSE(CONTROL!$C$15, $D$11, 100%, $F$11)</f>
        <v>16.304200000000002</v>
      </c>
      <c r="I538" s="8">
        <f>CHOOSE( CONTROL!$C$32, 15.2101, 15.2054) * CHOOSE(CONTROL!$C$15, $D$11, 100%, $F$11)</f>
        <v>15.210100000000001</v>
      </c>
      <c r="J538" s="4">
        <f>CHOOSE( CONTROL!$C$32, 15.0971, 15.0925) * CHOOSE(CONTROL!$C$15, $D$11, 100%, $F$11)</f>
        <v>15.097099999999999</v>
      </c>
      <c r="K538" s="4"/>
      <c r="L538" s="9">
        <v>29.7257</v>
      </c>
      <c r="M538" s="9">
        <v>11.6745</v>
      </c>
      <c r="N538" s="9">
        <v>4.7850000000000001</v>
      </c>
      <c r="O538" s="9">
        <v>0.36199999999999999</v>
      </c>
      <c r="P538" s="9">
        <v>1.1791</v>
      </c>
      <c r="Q538" s="9">
        <v>19.053000000000001</v>
      </c>
      <c r="R538" s="9"/>
      <c r="S538" s="11"/>
    </row>
    <row r="539" spans="1:19" ht="15.75">
      <c r="A539" s="13">
        <v>57922</v>
      </c>
      <c r="B539" s="8">
        <f>CHOOSE( CONTROL!$C$32, 16.4314, 16.4265) * CHOOSE(CONTROL!$C$15, $D$11, 100%, $F$11)</f>
        <v>16.4314</v>
      </c>
      <c r="C539" s="8">
        <f>CHOOSE( CONTROL!$C$32, 16.4394, 16.4346) * CHOOSE(CONTROL!$C$15, $D$11, 100%, $F$11)</f>
        <v>16.439399999999999</v>
      </c>
      <c r="D539" s="8">
        <f>CHOOSE( CONTROL!$C$32, 16.4612, 16.4564) * CHOOSE( CONTROL!$C$15, $D$11, 100%, $F$11)</f>
        <v>16.461200000000002</v>
      </c>
      <c r="E539" s="12">
        <f>CHOOSE( CONTROL!$C$32, 16.4521, 16.4473) * CHOOSE( CONTROL!$C$15, $D$11, 100%, $F$11)</f>
        <v>16.452100000000002</v>
      </c>
      <c r="F539" s="4">
        <f>CHOOSE( CONTROL!$C$32, 17.1292, 17.1243) * CHOOSE(CONTROL!$C$15, $D$11, 100%, $F$11)</f>
        <v>17.129200000000001</v>
      </c>
      <c r="G539" s="8">
        <f>CHOOSE( CONTROL!$C$32, 16.0357, 16.031) * CHOOSE( CONTROL!$C$15, $D$11, 100%, $F$11)</f>
        <v>16.035699999999999</v>
      </c>
      <c r="H539" s="4">
        <f>CHOOSE( CONTROL!$C$32, 16.9649, 16.9602) * CHOOSE(CONTROL!$C$15, $D$11, 100%, $F$11)</f>
        <v>16.9649</v>
      </c>
      <c r="I539" s="8">
        <f>CHOOSE( CONTROL!$C$32, 15.8609, 15.8563) * CHOOSE(CONTROL!$C$15, $D$11, 100%, $F$11)</f>
        <v>15.860900000000001</v>
      </c>
      <c r="J539" s="4">
        <f>CHOOSE( CONTROL!$C$32, 15.7465, 15.7419) * CHOOSE(CONTROL!$C$15, $D$11, 100%, $F$11)</f>
        <v>15.746499999999999</v>
      </c>
      <c r="K539" s="4"/>
      <c r="L539" s="9">
        <v>30.7165</v>
      </c>
      <c r="M539" s="9">
        <v>12.063700000000001</v>
      </c>
      <c r="N539" s="9">
        <v>4.9444999999999997</v>
      </c>
      <c r="O539" s="9">
        <v>0.37409999999999999</v>
      </c>
      <c r="P539" s="9">
        <v>1.2183999999999999</v>
      </c>
      <c r="Q539" s="9">
        <v>19.688099999999999</v>
      </c>
      <c r="R539" s="9"/>
      <c r="S539" s="11"/>
    </row>
    <row r="540" spans="1:19" ht="15.75">
      <c r="A540" s="13">
        <v>57953</v>
      </c>
      <c r="B540" s="8">
        <f>CHOOSE( CONTROL!$C$32, 15.1657, 15.1609) * CHOOSE(CONTROL!$C$15, $D$11, 100%, $F$11)</f>
        <v>15.165699999999999</v>
      </c>
      <c r="C540" s="8">
        <f>CHOOSE( CONTROL!$C$32, 15.1738, 15.169) * CHOOSE(CONTROL!$C$15, $D$11, 100%, $F$11)</f>
        <v>15.1738</v>
      </c>
      <c r="D540" s="8">
        <f>CHOOSE( CONTROL!$C$32, 15.1956, 15.1908) * CHOOSE( CONTROL!$C$15, $D$11, 100%, $F$11)</f>
        <v>15.195600000000001</v>
      </c>
      <c r="E540" s="12">
        <f>CHOOSE( CONTROL!$C$32, 15.1865, 15.1817) * CHOOSE( CONTROL!$C$15, $D$11, 100%, $F$11)</f>
        <v>15.186500000000001</v>
      </c>
      <c r="F540" s="4">
        <f>CHOOSE( CONTROL!$C$32, 15.8635, 15.8587) * CHOOSE(CONTROL!$C$15, $D$11, 100%, $F$11)</f>
        <v>15.8635</v>
      </c>
      <c r="G540" s="8">
        <f>CHOOSE( CONTROL!$C$32, 14.7996, 14.7949) * CHOOSE( CONTROL!$C$15, $D$11, 100%, $F$11)</f>
        <v>14.7996</v>
      </c>
      <c r="H540" s="4">
        <f>CHOOSE( CONTROL!$C$32, 15.7287, 15.724) * CHOOSE(CONTROL!$C$15, $D$11, 100%, $F$11)</f>
        <v>15.7287</v>
      </c>
      <c r="I540" s="8">
        <f>CHOOSE( CONTROL!$C$32, 14.6455, 14.6408) * CHOOSE(CONTROL!$C$15, $D$11, 100%, $F$11)</f>
        <v>14.6455</v>
      </c>
      <c r="J540" s="4">
        <f>CHOOSE( CONTROL!$C$32, 14.5314, 14.5267) * CHOOSE(CONTROL!$C$15, $D$11, 100%, $F$11)</f>
        <v>14.5314</v>
      </c>
      <c r="K540" s="4"/>
      <c r="L540" s="9">
        <v>30.7165</v>
      </c>
      <c r="M540" s="9">
        <v>12.063700000000001</v>
      </c>
      <c r="N540" s="9">
        <v>4.9444999999999997</v>
      </c>
      <c r="O540" s="9">
        <v>0.37409999999999999</v>
      </c>
      <c r="P540" s="9">
        <v>1.2183999999999999</v>
      </c>
      <c r="Q540" s="9">
        <v>19.688099999999999</v>
      </c>
      <c r="R540" s="9"/>
      <c r="S540" s="11"/>
    </row>
    <row r="541" spans="1:19" ht="15.75">
      <c r="A541" s="13">
        <v>57983</v>
      </c>
      <c r="B541" s="8">
        <f>CHOOSE( CONTROL!$C$32, 14.8488, 14.8439) * CHOOSE(CONTROL!$C$15, $D$11, 100%, $F$11)</f>
        <v>14.848800000000001</v>
      </c>
      <c r="C541" s="8">
        <f>CHOOSE( CONTROL!$C$32, 14.8569, 14.852) * CHOOSE(CONTROL!$C$15, $D$11, 100%, $F$11)</f>
        <v>14.8569</v>
      </c>
      <c r="D541" s="8">
        <f>CHOOSE( CONTROL!$C$32, 14.8786, 14.8738) * CHOOSE( CONTROL!$C$15, $D$11, 100%, $F$11)</f>
        <v>14.8786</v>
      </c>
      <c r="E541" s="12">
        <f>CHOOSE( CONTROL!$C$32, 14.8695, 14.8647) * CHOOSE( CONTROL!$C$15, $D$11, 100%, $F$11)</f>
        <v>14.8695</v>
      </c>
      <c r="F541" s="4">
        <f>CHOOSE( CONTROL!$C$32, 15.5466, 15.5417) * CHOOSE(CONTROL!$C$15, $D$11, 100%, $F$11)</f>
        <v>15.5466</v>
      </c>
      <c r="G541" s="8">
        <f>CHOOSE( CONTROL!$C$32, 14.49, 14.4853) * CHOOSE( CONTROL!$C$15, $D$11, 100%, $F$11)</f>
        <v>14.49</v>
      </c>
      <c r="H541" s="4">
        <f>CHOOSE( CONTROL!$C$32, 15.4192, 15.4144) * CHOOSE(CONTROL!$C$15, $D$11, 100%, $F$11)</f>
        <v>15.4192</v>
      </c>
      <c r="I541" s="8">
        <f>CHOOSE( CONTROL!$C$32, 14.3409, 14.3363) * CHOOSE(CONTROL!$C$15, $D$11, 100%, $F$11)</f>
        <v>14.3409</v>
      </c>
      <c r="J541" s="4">
        <f>CHOOSE( CONTROL!$C$32, 14.2271, 14.2224) * CHOOSE(CONTROL!$C$15, $D$11, 100%, $F$11)</f>
        <v>14.2271</v>
      </c>
      <c r="K541" s="4"/>
      <c r="L541" s="9">
        <v>29.7257</v>
      </c>
      <c r="M541" s="9">
        <v>11.6745</v>
      </c>
      <c r="N541" s="9">
        <v>4.7850000000000001</v>
      </c>
      <c r="O541" s="9">
        <v>0.36199999999999999</v>
      </c>
      <c r="P541" s="9">
        <v>1.1791</v>
      </c>
      <c r="Q541" s="9">
        <v>19.053000000000001</v>
      </c>
      <c r="R541" s="9"/>
      <c r="S541" s="11"/>
    </row>
    <row r="542" spans="1:19" ht="15.75">
      <c r="A542" s="13">
        <v>58014</v>
      </c>
      <c r="B542" s="8">
        <f>15.5003 * CHOOSE(CONTROL!$C$15, $D$11, 100%, $F$11)</f>
        <v>15.500299999999999</v>
      </c>
      <c r="C542" s="8">
        <f>15.5057 * CHOOSE(CONTROL!$C$15, $D$11, 100%, $F$11)</f>
        <v>15.505699999999999</v>
      </c>
      <c r="D542" s="8">
        <f>15.5321 * CHOOSE( CONTROL!$C$15, $D$11, 100%, $F$11)</f>
        <v>15.5321</v>
      </c>
      <c r="E542" s="12">
        <f>15.5228 * CHOOSE( CONTROL!$C$15, $D$11, 100%, $F$11)</f>
        <v>15.5228</v>
      </c>
      <c r="F542" s="4">
        <f>16.1998 * CHOOSE(CONTROL!$C$15, $D$11, 100%, $F$11)</f>
        <v>16.1998</v>
      </c>
      <c r="G542" s="8">
        <f>15.1273 * CHOOSE( CONTROL!$C$15, $D$11, 100%, $F$11)</f>
        <v>15.1273</v>
      </c>
      <c r="H542" s="4">
        <f>16.0572 * CHOOSE(CONTROL!$C$15, $D$11, 100%, $F$11)</f>
        <v>16.057200000000002</v>
      </c>
      <c r="I542" s="8">
        <f>14.9692 * CHOOSE(CONTROL!$C$15, $D$11, 100%, $F$11)</f>
        <v>14.969200000000001</v>
      </c>
      <c r="J542" s="4">
        <f>14.8542 * CHOOSE(CONTROL!$C$15, $D$11, 100%, $F$11)</f>
        <v>14.854200000000001</v>
      </c>
      <c r="K542" s="4"/>
      <c r="L542" s="9">
        <v>31.095300000000002</v>
      </c>
      <c r="M542" s="9">
        <v>12.063700000000001</v>
      </c>
      <c r="N542" s="9">
        <v>4.9444999999999997</v>
      </c>
      <c r="O542" s="9">
        <v>0.37409999999999999</v>
      </c>
      <c r="P542" s="9">
        <v>1.2183999999999999</v>
      </c>
      <c r="Q542" s="9">
        <v>19.688099999999999</v>
      </c>
      <c r="R542" s="9"/>
      <c r="S542" s="11"/>
    </row>
    <row r="543" spans="1:19" ht="15.75">
      <c r="A543" s="13">
        <v>58044</v>
      </c>
      <c r="B543" s="8">
        <f>16.7145 * CHOOSE(CONTROL!$C$15, $D$11, 100%, $F$11)</f>
        <v>16.714500000000001</v>
      </c>
      <c r="C543" s="8">
        <f>16.7197 * CHOOSE(CONTROL!$C$15, $D$11, 100%, $F$11)</f>
        <v>16.7197</v>
      </c>
      <c r="D543" s="8">
        <f>16.709 * CHOOSE( CONTROL!$C$15, $D$11, 100%, $F$11)</f>
        <v>16.709</v>
      </c>
      <c r="E543" s="12">
        <f>16.7124 * CHOOSE( CONTROL!$C$15, $D$11, 100%, $F$11)</f>
        <v>16.712399999999999</v>
      </c>
      <c r="F543" s="4">
        <f>17.3634 * CHOOSE(CONTROL!$C$15, $D$11, 100%, $F$11)</f>
        <v>17.363399999999999</v>
      </c>
      <c r="G543" s="8">
        <f>16.3182 * CHOOSE( CONTROL!$C$15, $D$11, 100%, $F$11)</f>
        <v>16.318200000000001</v>
      </c>
      <c r="H543" s="4">
        <f>17.1937 * CHOOSE(CONTROL!$C$15, $D$11, 100%, $F$11)</f>
        <v>17.1937</v>
      </c>
      <c r="I543" s="8">
        <f>16.1615 * CHOOSE(CONTROL!$C$15, $D$11, 100%, $F$11)</f>
        <v>16.1615</v>
      </c>
      <c r="J543" s="4">
        <f>16.0204 * CHOOSE(CONTROL!$C$15, $D$11, 100%, $F$11)</f>
        <v>16.020399999999999</v>
      </c>
      <c r="K543" s="4"/>
      <c r="L543" s="9">
        <v>28.360600000000002</v>
      </c>
      <c r="M543" s="9">
        <v>11.6745</v>
      </c>
      <c r="N543" s="9">
        <v>4.7850000000000001</v>
      </c>
      <c r="O543" s="9">
        <v>0.36199999999999999</v>
      </c>
      <c r="P543" s="9">
        <v>1.2509999999999999</v>
      </c>
      <c r="Q543" s="9">
        <v>19.053000000000001</v>
      </c>
      <c r="R543" s="9"/>
      <c r="S543" s="11"/>
    </row>
    <row r="544" spans="1:19" ht="15.75">
      <c r="A544" s="13">
        <v>58075</v>
      </c>
      <c r="B544" s="8">
        <f>16.6842 * CHOOSE(CONTROL!$C$15, $D$11, 100%, $F$11)</f>
        <v>16.684200000000001</v>
      </c>
      <c r="C544" s="8">
        <f>16.6894 * CHOOSE(CONTROL!$C$15, $D$11, 100%, $F$11)</f>
        <v>16.689399999999999</v>
      </c>
      <c r="D544" s="8">
        <f>16.68 * CHOOSE( CONTROL!$C$15, $D$11, 100%, $F$11)</f>
        <v>16.68</v>
      </c>
      <c r="E544" s="12">
        <f>16.6829 * CHOOSE( CONTROL!$C$15, $D$11, 100%, $F$11)</f>
        <v>16.6829</v>
      </c>
      <c r="F544" s="4">
        <f>17.3331 * CHOOSE(CONTROL!$C$15, $D$11, 100%, $F$11)</f>
        <v>17.333100000000002</v>
      </c>
      <c r="G544" s="8">
        <f>16.2895 * CHOOSE( CONTROL!$C$15, $D$11, 100%, $F$11)</f>
        <v>16.2895</v>
      </c>
      <c r="H544" s="4">
        <f>17.1641 * CHOOSE(CONTROL!$C$15, $D$11, 100%, $F$11)</f>
        <v>17.164100000000001</v>
      </c>
      <c r="I544" s="8">
        <f>16.1367 * CHOOSE(CONTROL!$C$15, $D$11, 100%, $F$11)</f>
        <v>16.136700000000001</v>
      </c>
      <c r="J544" s="4">
        <f>15.9913 * CHOOSE(CONTROL!$C$15, $D$11, 100%, $F$11)</f>
        <v>15.991300000000001</v>
      </c>
      <c r="K544" s="4"/>
      <c r="L544" s="9">
        <v>29.306000000000001</v>
      </c>
      <c r="M544" s="9">
        <v>12.063700000000001</v>
      </c>
      <c r="N544" s="9">
        <v>4.9444999999999997</v>
      </c>
      <c r="O544" s="9">
        <v>0.37409999999999999</v>
      </c>
      <c r="P544" s="9">
        <v>1.2927</v>
      </c>
      <c r="Q544" s="9">
        <v>19.688099999999999</v>
      </c>
      <c r="R544" s="9"/>
      <c r="S544" s="11"/>
    </row>
    <row r="545" spans="1:19" ht="15.75">
      <c r="A545" s="13">
        <v>58106</v>
      </c>
      <c r="B545" s="8">
        <f>17.3208 * CHOOSE(CONTROL!$C$15, $D$11, 100%, $F$11)</f>
        <v>17.320799999999998</v>
      </c>
      <c r="C545" s="8">
        <f>17.3259 * CHOOSE(CONTROL!$C$15, $D$11, 100%, $F$11)</f>
        <v>17.325900000000001</v>
      </c>
      <c r="D545" s="8">
        <f>17.3124 * CHOOSE( CONTROL!$C$15, $D$11, 100%, $F$11)</f>
        <v>17.3124</v>
      </c>
      <c r="E545" s="12">
        <f>17.3168 * CHOOSE( CONTROL!$C$15, $D$11, 100%, $F$11)</f>
        <v>17.316800000000001</v>
      </c>
      <c r="F545" s="4">
        <f>17.9697 * CHOOSE(CONTROL!$C$15, $D$11, 100%, $F$11)</f>
        <v>17.9697</v>
      </c>
      <c r="G545" s="8">
        <f>16.905 * CHOOSE( CONTROL!$C$15, $D$11, 100%, $F$11)</f>
        <v>16.905000000000001</v>
      </c>
      <c r="H545" s="4">
        <f>17.7858 * CHOOSE(CONTROL!$C$15, $D$11, 100%, $F$11)</f>
        <v>17.785799999999998</v>
      </c>
      <c r="I545" s="8">
        <f>16.7245 * CHOOSE(CONTROL!$C$15, $D$11, 100%, $F$11)</f>
        <v>16.724499999999999</v>
      </c>
      <c r="J545" s="4">
        <f>16.6025 * CHOOSE(CONTROL!$C$15, $D$11, 100%, $F$11)</f>
        <v>16.602499999999999</v>
      </c>
      <c r="K545" s="4"/>
      <c r="L545" s="9">
        <v>29.306000000000001</v>
      </c>
      <c r="M545" s="9">
        <v>12.063700000000001</v>
      </c>
      <c r="N545" s="9">
        <v>4.9444999999999997</v>
      </c>
      <c r="O545" s="9">
        <v>0.37409999999999999</v>
      </c>
      <c r="P545" s="9">
        <v>1.2927</v>
      </c>
      <c r="Q545" s="9">
        <v>19.688099999999999</v>
      </c>
      <c r="R545" s="9"/>
      <c r="S545" s="11"/>
    </row>
    <row r="546" spans="1:19" ht="15.75">
      <c r="A546" s="13">
        <v>58134</v>
      </c>
      <c r="B546" s="8">
        <f>16.2028 * CHOOSE(CONTROL!$C$15, $D$11, 100%, $F$11)</f>
        <v>16.2028</v>
      </c>
      <c r="C546" s="8">
        <f>16.208 * CHOOSE(CONTROL!$C$15, $D$11, 100%, $F$11)</f>
        <v>16.207999999999998</v>
      </c>
      <c r="D546" s="8">
        <f>16.1945 * CHOOSE( CONTROL!$C$15, $D$11, 100%, $F$11)</f>
        <v>16.194500000000001</v>
      </c>
      <c r="E546" s="12">
        <f>16.1989 * CHOOSE( CONTROL!$C$15, $D$11, 100%, $F$11)</f>
        <v>16.198899999999998</v>
      </c>
      <c r="F546" s="4">
        <f>16.8517 * CHOOSE(CONTROL!$C$15, $D$11, 100%, $F$11)</f>
        <v>16.851700000000001</v>
      </c>
      <c r="G546" s="8">
        <f>15.8131 * CHOOSE( CONTROL!$C$15, $D$11, 100%, $F$11)</f>
        <v>15.8131</v>
      </c>
      <c r="H546" s="4">
        <f>16.6939 * CHOOSE(CONTROL!$C$15, $D$11, 100%, $F$11)</f>
        <v>16.693899999999999</v>
      </c>
      <c r="I546" s="8">
        <f>15.6506 * CHOOSE(CONTROL!$C$15, $D$11, 100%, $F$11)</f>
        <v>15.650600000000001</v>
      </c>
      <c r="J546" s="4">
        <f>15.5292 * CHOOSE(CONTROL!$C$15, $D$11, 100%, $F$11)</f>
        <v>15.529199999999999</v>
      </c>
      <c r="K546" s="4"/>
      <c r="L546" s="9">
        <v>26.469899999999999</v>
      </c>
      <c r="M546" s="9">
        <v>10.8962</v>
      </c>
      <c r="N546" s="9">
        <v>4.4660000000000002</v>
      </c>
      <c r="O546" s="9">
        <v>0.33789999999999998</v>
      </c>
      <c r="P546" s="9">
        <v>1.1676</v>
      </c>
      <c r="Q546" s="9">
        <v>17.782800000000002</v>
      </c>
      <c r="R546" s="9"/>
      <c r="S546" s="11"/>
    </row>
    <row r="547" spans="1:19" ht="15.75">
      <c r="A547" s="13">
        <v>58165</v>
      </c>
      <c r="B547" s="8">
        <f>15.8585 * CHOOSE(CONTROL!$C$15, $D$11, 100%, $F$11)</f>
        <v>15.858499999999999</v>
      </c>
      <c r="C547" s="8">
        <f>15.8637 * CHOOSE(CONTROL!$C$15, $D$11, 100%, $F$11)</f>
        <v>15.8637</v>
      </c>
      <c r="D547" s="8">
        <f>15.8499 * CHOOSE( CONTROL!$C$15, $D$11, 100%, $F$11)</f>
        <v>15.8499</v>
      </c>
      <c r="E547" s="12">
        <f>15.8544 * CHOOSE( CONTROL!$C$15, $D$11, 100%, $F$11)</f>
        <v>15.8544</v>
      </c>
      <c r="F547" s="4">
        <f>16.5074 * CHOOSE(CONTROL!$C$15, $D$11, 100%, $F$11)</f>
        <v>16.507400000000001</v>
      </c>
      <c r="G547" s="8">
        <f>15.4766 * CHOOSE( CONTROL!$C$15, $D$11, 100%, $F$11)</f>
        <v>15.476599999999999</v>
      </c>
      <c r="H547" s="4">
        <f>16.3576 * CHOOSE(CONTROL!$C$15, $D$11, 100%, $F$11)</f>
        <v>16.357600000000001</v>
      </c>
      <c r="I547" s="8">
        <f>15.3189 * CHOOSE(CONTROL!$C$15, $D$11, 100%, $F$11)</f>
        <v>15.318899999999999</v>
      </c>
      <c r="J547" s="4">
        <f>15.1986 * CHOOSE(CONTROL!$C$15, $D$11, 100%, $F$11)</f>
        <v>15.198600000000001</v>
      </c>
      <c r="K547" s="4"/>
      <c r="L547" s="9">
        <v>29.306000000000001</v>
      </c>
      <c r="M547" s="9">
        <v>12.063700000000001</v>
      </c>
      <c r="N547" s="9">
        <v>4.9444999999999997</v>
      </c>
      <c r="O547" s="9">
        <v>0.37409999999999999</v>
      </c>
      <c r="P547" s="9">
        <v>1.2927</v>
      </c>
      <c r="Q547" s="9">
        <v>19.688099999999999</v>
      </c>
      <c r="R547" s="9"/>
      <c r="S547" s="11"/>
    </row>
    <row r="548" spans="1:19" ht="15.75">
      <c r="A548" s="13">
        <v>58195</v>
      </c>
      <c r="B548" s="8">
        <f>16.0999 * CHOOSE(CONTROL!$C$15, $D$11, 100%, $F$11)</f>
        <v>16.099900000000002</v>
      </c>
      <c r="C548" s="8">
        <f>16.1045 * CHOOSE(CONTROL!$C$15, $D$11, 100%, $F$11)</f>
        <v>16.104500000000002</v>
      </c>
      <c r="D548" s="8">
        <f>16.1308 * CHOOSE( CONTROL!$C$15, $D$11, 100%, $F$11)</f>
        <v>16.130800000000001</v>
      </c>
      <c r="E548" s="12">
        <f>16.1216 * CHOOSE( CONTROL!$C$15, $D$11, 100%, $F$11)</f>
        <v>16.121600000000001</v>
      </c>
      <c r="F548" s="4">
        <f>16.7991 * CHOOSE(CONTROL!$C$15, $D$11, 100%, $F$11)</f>
        <v>16.799099999999999</v>
      </c>
      <c r="G548" s="8">
        <f>15.7116 * CHOOSE( CONTROL!$C$15, $D$11, 100%, $F$11)</f>
        <v>15.711600000000001</v>
      </c>
      <c r="H548" s="4">
        <f>16.6425 * CHOOSE(CONTROL!$C$15, $D$11, 100%, $F$11)</f>
        <v>16.642499999999998</v>
      </c>
      <c r="I548" s="8">
        <f>15.5418 * CHOOSE(CONTROL!$C$15, $D$11, 100%, $F$11)</f>
        <v>15.5418</v>
      </c>
      <c r="J548" s="4">
        <f>15.4296 * CHOOSE(CONTROL!$C$15, $D$11, 100%, $F$11)</f>
        <v>15.429600000000001</v>
      </c>
      <c r="K548" s="4"/>
      <c r="L548" s="9">
        <v>30.092199999999998</v>
      </c>
      <c r="M548" s="9">
        <v>11.6745</v>
      </c>
      <c r="N548" s="9">
        <v>4.7850000000000001</v>
      </c>
      <c r="O548" s="9">
        <v>0.36199999999999999</v>
      </c>
      <c r="P548" s="9">
        <v>1.1791</v>
      </c>
      <c r="Q548" s="9">
        <v>19.053000000000001</v>
      </c>
      <c r="R548" s="9"/>
      <c r="S548" s="11"/>
    </row>
    <row r="549" spans="1:19" ht="15.75">
      <c r="A549" s="13">
        <v>58226</v>
      </c>
      <c r="B549" s="8">
        <f>CHOOSE( CONTROL!$C$32, 16.5343, 16.5295) * CHOOSE(CONTROL!$C$15, $D$11, 100%, $F$11)</f>
        <v>16.534300000000002</v>
      </c>
      <c r="C549" s="8">
        <f>CHOOSE( CONTROL!$C$32, 16.5424, 16.5375) * CHOOSE(CONTROL!$C$15, $D$11, 100%, $F$11)</f>
        <v>16.542400000000001</v>
      </c>
      <c r="D549" s="8">
        <f>CHOOSE( CONTROL!$C$32, 16.5637, 16.5589) * CHOOSE( CONTROL!$C$15, $D$11, 100%, $F$11)</f>
        <v>16.563700000000001</v>
      </c>
      <c r="E549" s="12">
        <f>CHOOSE( CONTROL!$C$32, 16.5547, 16.5499) * CHOOSE( CONTROL!$C$15, $D$11, 100%, $F$11)</f>
        <v>16.5547</v>
      </c>
      <c r="F549" s="4">
        <f>CHOOSE( CONTROL!$C$32, 17.2321, 17.2273) * CHOOSE(CONTROL!$C$15, $D$11, 100%, $F$11)</f>
        <v>17.232099999999999</v>
      </c>
      <c r="G549" s="8">
        <f>CHOOSE( CONTROL!$C$32, 16.1356, 16.1309) * CHOOSE( CONTROL!$C$15, $D$11, 100%, $F$11)</f>
        <v>16.1356</v>
      </c>
      <c r="H549" s="4">
        <f>CHOOSE( CONTROL!$C$32, 17.0654, 17.0607) * CHOOSE(CONTROL!$C$15, $D$11, 100%, $F$11)</f>
        <v>17.0654</v>
      </c>
      <c r="I549" s="8">
        <f>CHOOSE( CONTROL!$C$32, 15.9578, 15.9531) * CHOOSE(CONTROL!$C$15, $D$11, 100%, $F$11)</f>
        <v>15.957800000000001</v>
      </c>
      <c r="J549" s="4">
        <f>CHOOSE( CONTROL!$C$32, 15.8454, 15.8407) * CHOOSE(CONTROL!$C$15, $D$11, 100%, $F$11)</f>
        <v>15.8454</v>
      </c>
      <c r="K549" s="4"/>
      <c r="L549" s="9">
        <v>30.7165</v>
      </c>
      <c r="M549" s="9">
        <v>12.063700000000001</v>
      </c>
      <c r="N549" s="9">
        <v>4.9444999999999997</v>
      </c>
      <c r="O549" s="9">
        <v>0.37409999999999999</v>
      </c>
      <c r="P549" s="9">
        <v>1.2183999999999999</v>
      </c>
      <c r="Q549" s="9">
        <v>19.688099999999999</v>
      </c>
      <c r="R549" s="9"/>
      <c r="S549" s="11"/>
    </row>
    <row r="550" spans="1:19" ht="15.75">
      <c r="A550" s="13">
        <v>58256</v>
      </c>
      <c r="B550" s="8">
        <f>CHOOSE( CONTROL!$C$32, 16.269, 16.2642) * CHOOSE(CONTROL!$C$15, $D$11, 100%, $F$11)</f>
        <v>16.268999999999998</v>
      </c>
      <c r="C550" s="8">
        <f>CHOOSE( CONTROL!$C$32, 16.2771, 16.2723) * CHOOSE(CONTROL!$C$15, $D$11, 100%, $F$11)</f>
        <v>16.277100000000001</v>
      </c>
      <c r="D550" s="8">
        <f>CHOOSE( CONTROL!$C$32, 16.2986, 16.2938) * CHOOSE( CONTROL!$C$15, $D$11, 100%, $F$11)</f>
        <v>16.2986</v>
      </c>
      <c r="E550" s="12">
        <f>CHOOSE( CONTROL!$C$32, 16.2896, 16.2848) * CHOOSE( CONTROL!$C$15, $D$11, 100%, $F$11)</f>
        <v>16.2896</v>
      </c>
      <c r="F550" s="4">
        <f>CHOOSE( CONTROL!$C$32, 16.9668, 16.962) * CHOOSE(CONTROL!$C$15, $D$11, 100%, $F$11)</f>
        <v>16.966799999999999</v>
      </c>
      <c r="G550" s="8">
        <f>CHOOSE( CONTROL!$C$32, 15.8768, 15.8721) * CHOOSE( CONTROL!$C$15, $D$11, 100%, $F$11)</f>
        <v>15.876799999999999</v>
      </c>
      <c r="H550" s="4">
        <f>CHOOSE( CONTROL!$C$32, 16.8063, 16.8016) * CHOOSE(CONTROL!$C$15, $D$11, 100%, $F$11)</f>
        <v>16.8063</v>
      </c>
      <c r="I550" s="8">
        <f>CHOOSE( CONTROL!$C$32, 15.7039, 15.6992) * CHOOSE(CONTROL!$C$15, $D$11, 100%, $F$11)</f>
        <v>15.703900000000001</v>
      </c>
      <c r="J550" s="4">
        <f>CHOOSE( CONTROL!$C$32, 15.5907, 15.586) * CHOOSE(CONTROL!$C$15, $D$11, 100%, $F$11)</f>
        <v>15.5907</v>
      </c>
      <c r="K550" s="4"/>
      <c r="L550" s="9">
        <v>29.7257</v>
      </c>
      <c r="M550" s="9">
        <v>11.6745</v>
      </c>
      <c r="N550" s="9">
        <v>4.7850000000000001</v>
      </c>
      <c r="O550" s="9">
        <v>0.36199999999999999</v>
      </c>
      <c r="P550" s="9">
        <v>1.1791</v>
      </c>
      <c r="Q550" s="9">
        <v>19.053000000000001</v>
      </c>
      <c r="R550" s="9"/>
      <c r="S550" s="11"/>
    </row>
    <row r="551" spans="1:19" ht="15.75">
      <c r="A551" s="13">
        <v>58287</v>
      </c>
      <c r="B551" s="8">
        <f>CHOOSE( CONTROL!$C$32, 16.9676, 16.9627) * CHOOSE(CONTROL!$C$15, $D$11, 100%, $F$11)</f>
        <v>16.967600000000001</v>
      </c>
      <c r="C551" s="8">
        <f>CHOOSE( CONTROL!$C$32, 16.9757, 16.9708) * CHOOSE(CONTROL!$C$15, $D$11, 100%, $F$11)</f>
        <v>16.9757</v>
      </c>
      <c r="D551" s="8">
        <f>CHOOSE( CONTROL!$C$32, 16.9974, 16.9926) * CHOOSE( CONTROL!$C$15, $D$11, 100%, $F$11)</f>
        <v>16.997399999999999</v>
      </c>
      <c r="E551" s="12">
        <f>CHOOSE( CONTROL!$C$32, 16.9883, 16.9835) * CHOOSE( CONTROL!$C$15, $D$11, 100%, $F$11)</f>
        <v>16.988299999999999</v>
      </c>
      <c r="F551" s="4">
        <f>CHOOSE( CONTROL!$C$32, 17.6654, 17.6605) * CHOOSE(CONTROL!$C$15, $D$11, 100%, $F$11)</f>
        <v>17.665400000000002</v>
      </c>
      <c r="G551" s="8">
        <f>CHOOSE( CONTROL!$C$32, 16.5594, 16.5547) * CHOOSE( CONTROL!$C$15, $D$11, 100%, $F$11)</f>
        <v>16.5594</v>
      </c>
      <c r="H551" s="4">
        <f>CHOOSE( CONTROL!$C$32, 17.4886, 17.4839) * CHOOSE(CONTROL!$C$15, $D$11, 100%, $F$11)</f>
        <v>17.488600000000002</v>
      </c>
      <c r="I551" s="8">
        <f>CHOOSE( CONTROL!$C$32, 16.376, 16.3714) * CHOOSE(CONTROL!$C$15, $D$11, 100%, $F$11)</f>
        <v>16.376000000000001</v>
      </c>
      <c r="J551" s="4">
        <f>CHOOSE( CONTROL!$C$32, 16.2613, 16.2567) * CHOOSE(CONTROL!$C$15, $D$11, 100%, $F$11)</f>
        <v>16.261299999999999</v>
      </c>
      <c r="K551" s="4"/>
      <c r="L551" s="9">
        <v>30.7165</v>
      </c>
      <c r="M551" s="9">
        <v>12.063700000000001</v>
      </c>
      <c r="N551" s="9">
        <v>4.9444999999999997</v>
      </c>
      <c r="O551" s="9">
        <v>0.37409999999999999</v>
      </c>
      <c r="P551" s="9">
        <v>1.2183999999999999</v>
      </c>
      <c r="Q551" s="9">
        <v>19.688099999999999</v>
      </c>
      <c r="R551" s="9"/>
      <c r="S551" s="11"/>
    </row>
    <row r="552" spans="1:19" ht="15.75">
      <c r="A552" s="13">
        <v>58318</v>
      </c>
      <c r="B552" s="8">
        <f>CHOOSE( CONTROL!$C$32, 15.6605, 15.6557) * CHOOSE(CONTROL!$C$15, $D$11, 100%, $F$11)</f>
        <v>15.660500000000001</v>
      </c>
      <c r="C552" s="8">
        <f>CHOOSE( CONTROL!$C$32, 15.6686, 15.6638) * CHOOSE(CONTROL!$C$15, $D$11, 100%, $F$11)</f>
        <v>15.6686</v>
      </c>
      <c r="D552" s="8">
        <f>CHOOSE( CONTROL!$C$32, 15.6904, 15.6856) * CHOOSE( CONTROL!$C$15, $D$11, 100%, $F$11)</f>
        <v>15.6904</v>
      </c>
      <c r="E552" s="12">
        <f>CHOOSE( CONTROL!$C$32, 15.6813, 15.6765) * CHOOSE( CONTROL!$C$15, $D$11, 100%, $F$11)</f>
        <v>15.6813</v>
      </c>
      <c r="F552" s="4">
        <f>CHOOSE( CONTROL!$C$32, 16.3583, 16.3535) * CHOOSE(CONTROL!$C$15, $D$11, 100%, $F$11)</f>
        <v>16.3583</v>
      </c>
      <c r="G552" s="8">
        <f>CHOOSE( CONTROL!$C$32, 15.2829, 15.2782) * CHOOSE( CONTROL!$C$15, $D$11, 100%, $F$11)</f>
        <v>15.2829</v>
      </c>
      <c r="H552" s="4">
        <f>CHOOSE( CONTROL!$C$32, 16.212, 16.2073) * CHOOSE(CONTROL!$C$15, $D$11, 100%, $F$11)</f>
        <v>16.212</v>
      </c>
      <c r="I552" s="8">
        <f>CHOOSE( CONTROL!$C$32, 15.1208, 15.1161) * CHOOSE(CONTROL!$C$15, $D$11, 100%, $F$11)</f>
        <v>15.120799999999999</v>
      </c>
      <c r="J552" s="4">
        <f>CHOOSE( CONTROL!$C$32, 15.0064, 15.0018) * CHOOSE(CONTROL!$C$15, $D$11, 100%, $F$11)</f>
        <v>15.006399999999999</v>
      </c>
      <c r="K552" s="4"/>
      <c r="L552" s="9">
        <v>30.7165</v>
      </c>
      <c r="M552" s="9">
        <v>12.063700000000001</v>
      </c>
      <c r="N552" s="9">
        <v>4.9444999999999997</v>
      </c>
      <c r="O552" s="9">
        <v>0.37409999999999999</v>
      </c>
      <c r="P552" s="9">
        <v>1.2183999999999999</v>
      </c>
      <c r="Q552" s="9">
        <v>19.688099999999999</v>
      </c>
      <c r="R552" s="9"/>
      <c r="S552" s="11"/>
    </row>
    <row r="553" spans="1:19" ht="15.75">
      <c r="A553" s="13">
        <v>58348</v>
      </c>
      <c r="B553" s="8">
        <f>CHOOSE( CONTROL!$C$32, 15.3332, 15.3284) * CHOOSE(CONTROL!$C$15, $D$11, 100%, $F$11)</f>
        <v>15.3332</v>
      </c>
      <c r="C553" s="8">
        <f>CHOOSE( CONTROL!$C$32, 15.3413, 15.3365) * CHOOSE(CONTROL!$C$15, $D$11, 100%, $F$11)</f>
        <v>15.3413</v>
      </c>
      <c r="D553" s="8">
        <f>CHOOSE( CONTROL!$C$32, 15.3631, 15.3583) * CHOOSE( CONTROL!$C$15, $D$11, 100%, $F$11)</f>
        <v>15.363099999999999</v>
      </c>
      <c r="E553" s="12">
        <f>CHOOSE( CONTROL!$C$32, 15.354, 15.3492) * CHOOSE( CONTROL!$C$15, $D$11, 100%, $F$11)</f>
        <v>15.353999999999999</v>
      </c>
      <c r="F553" s="4">
        <f>CHOOSE( CONTROL!$C$32, 16.031, 16.0262) * CHOOSE(CONTROL!$C$15, $D$11, 100%, $F$11)</f>
        <v>16.030999999999999</v>
      </c>
      <c r="G553" s="8">
        <f>CHOOSE( CONTROL!$C$32, 14.9632, 14.9585) * CHOOSE( CONTROL!$C$15, $D$11, 100%, $F$11)</f>
        <v>14.963200000000001</v>
      </c>
      <c r="H553" s="4">
        <f>CHOOSE( CONTROL!$C$32, 15.8923, 15.8876) * CHOOSE(CONTROL!$C$15, $D$11, 100%, $F$11)</f>
        <v>15.892300000000001</v>
      </c>
      <c r="I553" s="8">
        <f>CHOOSE( CONTROL!$C$32, 14.8063, 14.8017) * CHOOSE(CONTROL!$C$15, $D$11, 100%, $F$11)</f>
        <v>14.8063</v>
      </c>
      <c r="J553" s="4">
        <f>CHOOSE( CONTROL!$C$32, 14.6922, 14.6876) * CHOOSE(CONTROL!$C$15, $D$11, 100%, $F$11)</f>
        <v>14.6922</v>
      </c>
      <c r="K553" s="4"/>
      <c r="L553" s="9">
        <v>29.7257</v>
      </c>
      <c r="M553" s="9">
        <v>11.6745</v>
      </c>
      <c r="N553" s="9">
        <v>4.7850000000000001</v>
      </c>
      <c r="O553" s="9">
        <v>0.36199999999999999</v>
      </c>
      <c r="P553" s="9">
        <v>1.1791</v>
      </c>
      <c r="Q553" s="9">
        <v>19.053000000000001</v>
      </c>
      <c r="R553" s="9"/>
      <c r="S553" s="11"/>
    </row>
    <row r="554" spans="1:19" ht="15.75">
      <c r="A554" s="13">
        <v>58379</v>
      </c>
      <c r="B554" s="8">
        <f>16.0063 * CHOOSE(CONTROL!$C$15, $D$11, 100%, $F$11)</f>
        <v>16.0063</v>
      </c>
      <c r="C554" s="8">
        <f>16.0117 * CHOOSE(CONTROL!$C$15, $D$11, 100%, $F$11)</f>
        <v>16.011700000000001</v>
      </c>
      <c r="D554" s="8">
        <f>16.0381 * CHOOSE( CONTROL!$C$15, $D$11, 100%, $F$11)</f>
        <v>16.0381</v>
      </c>
      <c r="E554" s="12">
        <f>16.0288 * CHOOSE( CONTROL!$C$15, $D$11, 100%, $F$11)</f>
        <v>16.0288</v>
      </c>
      <c r="F554" s="4">
        <f>16.7058 * CHOOSE(CONTROL!$C$15, $D$11, 100%, $F$11)</f>
        <v>16.7058</v>
      </c>
      <c r="G554" s="8">
        <f>15.6215 * CHOOSE( CONTROL!$C$15, $D$11, 100%, $F$11)</f>
        <v>15.621499999999999</v>
      </c>
      <c r="H554" s="4">
        <f>16.5514 * CHOOSE(CONTROL!$C$15, $D$11, 100%, $F$11)</f>
        <v>16.551400000000001</v>
      </c>
      <c r="I554" s="8">
        <f>15.4552 * CHOOSE(CONTROL!$C$15, $D$11, 100%, $F$11)</f>
        <v>15.4552</v>
      </c>
      <c r="J554" s="4">
        <f>15.34 * CHOOSE(CONTROL!$C$15, $D$11, 100%, $F$11)</f>
        <v>15.34</v>
      </c>
      <c r="K554" s="4"/>
      <c r="L554" s="9">
        <v>31.095300000000002</v>
      </c>
      <c r="M554" s="9">
        <v>12.063700000000001</v>
      </c>
      <c r="N554" s="9">
        <v>4.9444999999999997</v>
      </c>
      <c r="O554" s="9">
        <v>0.37409999999999999</v>
      </c>
      <c r="P554" s="9">
        <v>1.2183999999999999</v>
      </c>
      <c r="Q554" s="9">
        <v>19.688099999999999</v>
      </c>
      <c r="R554" s="9"/>
      <c r="S554" s="11"/>
    </row>
    <row r="555" spans="1:19" ht="15.75">
      <c r="A555" s="13">
        <v>58409</v>
      </c>
      <c r="B555" s="8">
        <f>17.2602 * CHOOSE(CONTROL!$C$15, $D$11, 100%, $F$11)</f>
        <v>17.260200000000001</v>
      </c>
      <c r="C555" s="8">
        <f>17.2654 * CHOOSE(CONTROL!$C$15, $D$11, 100%, $F$11)</f>
        <v>17.2654</v>
      </c>
      <c r="D555" s="8">
        <f>17.2547 * CHOOSE( CONTROL!$C$15, $D$11, 100%, $F$11)</f>
        <v>17.2547</v>
      </c>
      <c r="E555" s="12">
        <f>17.2581 * CHOOSE( CONTROL!$C$15, $D$11, 100%, $F$11)</f>
        <v>17.258099999999999</v>
      </c>
      <c r="F555" s="4">
        <f>17.9091 * CHOOSE(CONTROL!$C$15, $D$11, 100%, $F$11)</f>
        <v>17.909099999999999</v>
      </c>
      <c r="G555" s="8">
        <f>16.8512 * CHOOSE( CONTROL!$C$15, $D$11, 100%, $F$11)</f>
        <v>16.851199999999999</v>
      </c>
      <c r="H555" s="4">
        <f>17.7267 * CHOOSE(CONTROL!$C$15, $D$11, 100%, $F$11)</f>
        <v>17.726700000000001</v>
      </c>
      <c r="I555" s="8">
        <f>16.6857 * CHOOSE(CONTROL!$C$15, $D$11, 100%, $F$11)</f>
        <v>16.685700000000001</v>
      </c>
      <c r="J555" s="4">
        <f>16.5444 * CHOOSE(CONTROL!$C$15, $D$11, 100%, $F$11)</f>
        <v>16.5444</v>
      </c>
      <c r="K555" s="4"/>
      <c r="L555" s="9">
        <v>28.360600000000002</v>
      </c>
      <c r="M555" s="9">
        <v>11.6745</v>
      </c>
      <c r="N555" s="9">
        <v>4.7850000000000001</v>
      </c>
      <c r="O555" s="9">
        <v>0.36199999999999999</v>
      </c>
      <c r="P555" s="9">
        <v>1.2509999999999999</v>
      </c>
      <c r="Q555" s="9">
        <v>19.053000000000001</v>
      </c>
      <c r="R555" s="9"/>
      <c r="S555" s="11"/>
    </row>
    <row r="556" spans="1:19" ht="15.75">
      <c r="A556" s="13">
        <v>58440</v>
      </c>
      <c r="B556" s="8">
        <f>17.2289 * CHOOSE(CONTROL!$C$15, $D$11, 100%, $F$11)</f>
        <v>17.228899999999999</v>
      </c>
      <c r="C556" s="8">
        <f>17.2341 * CHOOSE(CONTROL!$C$15, $D$11, 100%, $F$11)</f>
        <v>17.234100000000002</v>
      </c>
      <c r="D556" s="8">
        <f>17.2247 * CHOOSE( CONTROL!$C$15, $D$11, 100%, $F$11)</f>
        <v>17.224699999999999</v>
      </c>
      <c r="E556" s="12">
        <f>17.2276 * CHOOSE( CONTROL!$C$15, $D$11, 100%, $F$11)</f>
        <v>17.227599999999999</v>
      </c>
      <c r="F556" s="4">
        <f>17.8778 * CHOOSE(CONTROL!$C$15, $D$11, 100%, $F$11)</f>
        <v>17.877800000000001</v>
      </c>
      <c r="G556" s="8">
        <f>16.8216 * CHOOSE( CONTROL!$C$15, $D$11, 100%, $F$11)</f>
        <v>16.8216</v>
      </c>
      <c r="H556" s="4">
        <f>17.6961 * CHOOSE(CONTROL!$C$15, $D$11, 100%, $F$11)</f>
        <v>17.696100000000001</v>
      </c>
      <c r="I556" s="8">
        <f>16.6599 * CHOOSE(CONTROL!$C$15, $D$11, 100%, $F$11)</f>
        <v>16.6599</v>
      </c>
      <c r="J556" s="4">
        <f>16.5143 * CHOOSE(CONTROL!$C$15, $D$11, 100%, $F$11)</f>
        <v>16.514299999999999</v>
      </c>
      <c r="K556" s="4"/>
      <c r="L556" s="9">
        <v>29.306000000000001</v>
      </c>
      <c r="M556" s="9">
        <v>12.063700000000001</v>
      </c>
      <c r="N556" s="9">
        <v>4.9444999999999997</v>
      </c>
      <c r="O556" s="9">
        <v>0.37409999999999999</v>
      </c>
      <c r="P556" s="9">
        <v>1.2927</v>
      </c>
      <c r="Q556" s="9">
        <v>19.688099999999999</v>
      </c>
      <c r="R556" s="9"/>
      <c r="S556" s="11"/>
    </row>
    <row r="557" spans="1:19" ht="15.75">
      <c r="A557" s="13">
        <v>58471</v>
      </c>
      <c r="B557" s="8">
        <f>17.8863 * CHOOSE(CONTROL!$C$15, $D$11, 100%, $F$11)</f>
        <v>17.886299999999999</v>
      </c>
      <c r="C557" s="8">
        <f>17.8915 * CHOOSE(CONTROL!$C$15, $D$11, 100%, $F$11)</f>
        <v>17.891500000000001</v>
      </c>
      <c r="D557" s="8">
        <f>17.8779 * CHOOSE( CONTROL!$C$15, $D$11, 100%, $F$11)</f>
        <v>17.8779</v>
      </c>
      <c r="E557" s="12">
        <f>17.8823 * CHOOSE( CONTROL!$C$15, $D$11, 100%, $F$11)</f>
        <v>17.882300000000001</v>
      </c>
      <c r="F557" s="4">
        <f>18.5352 * CHOOSE(CONTROL!$C$15, $D$11, 100%, $F$11)</f>
        <v>18.5352</v>
      </c>
      <c r="G557" s="8">
        <f>17.4574 * CHOOSE( CONTROL!$C$15, $D$11, 100%, $F$11)</f>
        <v>17.4574</v>
      </c>
      <c r="H557" s="4">
        <f>18.3382 * CHOOSE(CONTROL!$C$15, $D$11, 100%, $F$11)</f>
        <v>18.338200000000001</v>
      </c>
      <c r="I557" s="8">
        <f>17.2677 * CHOOSE(CONTROL!$C$15, $D$11, 100%, $F$11)</f>
        <v>17.267700000000001</v>
      </c>
      <c r="J557" s="4">
        <f>17.1454 * CHOOSE(CONTROL!$C$15, $D$11, 100%, $F$11)</f>
        <v>17.145399999999999</v>
      </c>
      <c r="K557" s="4"/>
      <c r="L557" s="9">
        <v>29.306000000000001</v>
      </c>
      <c r="M557" s="9">
        <v>12.063700000000001</v>
      </c>
      <c r="N557" s="9">
        <v>4.9444999999999997</v>
      </c>
      <c r="O557" s="9">
        <v>0.37409999999999999</v>
      </c>
      <c r="P557" s="9">
        <v>1.2927</v>
      </c>
      <c r="Q557" s="9">
        <v>19.688099999999999</v>
      </c>
      <c r="R557" s="9"/>
      <c r="S557" s="11"/>
    </row>
    <row r="558" spans="1:19" ht="15.75">
      <c r="A558" s="13">
        <v>58499</v>
      </c>
      <c r="B558" s="8">
        <f>16.7318 * CHOOSE(CONTROL!$C$15, $D$11, 100%, $F$11)</f>
        <v>16.7318</v>
      </c>
      <c r="C558" s="8">
        <f>16.737 * CHOOSE(CONTROL!$C$15, $D$11, 100%, $F$11)</f>
        <v>16.736999999999998</v>
      </c>
      <c r="D558" s="8">
        <f>16.7235 * CHOOSE( CONTROL!$C$15, $D$11, 100%, $F$11)</f>
        <v>16.723500000000001</v>
      </c>
      <c r="E558" s="12">
        <f>16.7279 * CHOOSE( CONTROL!$C$15, $D$11, 100%, $F$11)</f>
        <v>16.727900000000002</v>
      </c>
      <c r="F558" s="4">
        <f>17.3807 * CHOOSE(CONTROL!$C$15, $D$11, 100%, $F$11)</f>
        <v>17.380700000000001</v>
      </c>
      <c r="G558" s="8">
        <f>16.3298 * CHOOSE( CONTROL!$C$15, $D$11, 100%, $F$11)</f>
        <v>16.329799999999999</v>
      </c>
      <c r="H558" s="4">
        <f>17.2106 * CHOOSE(CONTROL!$C$15, $D$11, 100%, $F$11)</f>
        <v>17.210599999999999</v>
      </c>
      <c r="I558" s="8">
        <f>16.1587 * CHOOSE(CONTROL!$C$15, $D$11, 100%, $F$11)</f>
        <v>16.1587</v>
      </c>
      <c r="J558" s="4">
        <f>16.037 * CHOOSE(CONTROL!$C$15, $D$11, 100%, $F$11)</f>
        <v>16.036999999999999</v>
      </c>
      <c r="K558" s="4"/>
      <c r="L558" s="9">
        <v>27.415299999999998</v>
      </c>
      <c r="M558" s="9">
        <v>11.285299999999999</v>
      </c>
      <c r="N558" s="9">
        <v>4.6254999999999997</v>
      </c>
      <c r="O558" s="9">
        <v>0.34989999999999999</v>
      </c>
      <c r="P558" s="9">
        <v>1.2093</v>
      </c>
      <c r="Q558" s="9">
        <v>18.417899999999999</v>
      </c>
      <c r="R558" s="9"/>
      <c r="S558" s="11"/>
    </row>
    <row r="559" spans="1:19" ht="15.75">
      <c r="A559" s="13">
        <v>58531</v>
      </c>
      <c r="B559" s="8">
        <f>16.3762 * CHOOSE(CONTROL!$C$15, $D$11, 100%, $F$11)</f>
        <v>16.376200000000001</v>
      </c>
      <c r="C559" s="8">
        <f>16.3814 * CHOOSE(CONTROL!$C$15, $D$11, 100%, $F$11)</f>
        <v>16.381399999999999</v>
      </c>
      <c r="D559" s="8">
        <f>16.3676 * CHOOSE( CONTROL!$C$15, $D$11, 100%, $F$11)</f>
        <v>16.367599999999999</v>
      </c>
      <c r="E559" s="12">
        <f>16.3721 * CHOOSE( CONTROL!$C$15, $D$11, 100%, $F$11)</f>
        <v>16.3721</v>
      </c>
      <c r="F559" s="4">
        <f>17.0251 * CHOOSE(CONTROL!$C$15, $D$11, 100%, $F$11)</f>
        <v>17.025099999999998</v>
      </c>
      <c r="G559" s="8">
        <f>15.9823 * CHOOSE( CONTROL!$C$15, $D$11, 100%, $F$11)</f>
        <v>15.9823</v>
      </c>
      <c r="H559" s="4">
        <f>16.8633 * CHOOSE(CONTROL!$C$15, $D$11, 100%, $F$11)</f>
        <v>16.863299999999999</v>
      </c>
      <c r="I559" s="8">
        <f>15.8162 * CHOOSE(CONTROL!$C$15, $D$11, 100%, $F$11)</f>
        <v>15.8162</v>
      </c>
      <c r="J559" s="4">
        <f>15.6956 * CHOOSE(CONTROL!$C$15, $D$11, 100%, $F$11)</f>
        <v>15.695600000000001</v>
      </c>
      <c r="K559" s="4"/>
      <c r="L559" s="9">
        <v>29.306000000000001</v>
      </c>
      <c r="M559" s="9">
        <v>12.063700000000001</v>
      </c>
      <c r="N559" s="9">
        <v>4.9444999999999997</v>
      </c>
      <c r="O559" s="9">
        <v>0.37409999999999999</v>
      </c>
      <c r="P559" s="9">
        <v>1.2927</v>
      </c>
      <c r="Q559" s="9">
        <v>19.688099999999999</v>
      </c>
      <c r="R559" s="9"/>
      <c r="S559" s="11"/>
    </row>
    <row r="560" spans="1:19" ht="15.75">
      <c r="A560" s="13">
        <v>58561</v>
      </c>
      <c r="B560" s="8">
        <f>16.6255 * CHOOSE(CONTROL!$C$15, $D$11, 100%, $F$11)</f>
        <v>16.625499999999999</v>
      </c>
      <c r="C560" s="8">
        <f>16.6301 * CHOOSE(CONTROL!$C$15, $D$11, 100%, $F$11)</f>
        <v>16.630099999999999</v>
      </c>
      <c r="D560" s="8">
        <f>16.6564 * CHOOSE( CONTROL!$C$15, $D$11, 100%, $F$11)</f>
        <v>16.656400000000001</v>
      </c>
      <c r="E560" s="12">
        <f>16.6472 * CHOOSE( CONTROL!$C$15, $D$11, 100%, $F$11)</f>
        <v>16.647200000000002</v>
      </c>
      <c r="F560" s="4">
        <f>17.3246 * CHOOSE(CONTROL!$C$15, $D$11, 100%, $F$11)</f>
        <v>17.3246</v>
      </c>
      <c r="G560" s="8">
        <f>16.225 * CHOOSE( CONTROL!$C$15, $D$11, 100%, $F$11)</f>
        <v>16.225000000000001</v>
      </c>
      <c r="H560" s="4">
        <f>17.1558 * CHOOSE(CONTROL!$C$15, $D$11, 100%, $F$11)</f>
        <v>17.155799999999999</v>
      </c>
      <c r="I560" s="8">
        <f>16.0467 * CHOOSE(CONTROL!$C$15, $D$11, 100%, $F$11)</f>
        <v>16.046700000000001</v>
      </c>
      <c r="J560" s="4">
        <f>15.9342 * CHOOSE(CONTROL!$C$15, $D$11, 100%, $F$11)</f>
        <v>15.934200000000001</v>
      </c>
      <c r="K560" s="4"/>
      <c r="L560" s="9">
        <v>30.092199999999998</v>
      </c>
      <c r="M560" s="9">
        <v>11.6745</v>
      </c>
      <c r="N560" s="9">
        <v>4.7850000000000001</v>
      </c>
      <c r="O560" s="9">
        <v>0.36199999999999999</v>
      </c>
      <c r="P560" s="9">
        <v>1.1791</v>
      </c>
      <c r="Q560" s="9">
        <v>19.053000000000001</v>
      </c>
      <c r="R560" s="9"/>
      <c r="S560" s="11"/>
    </row>
    <row r="561" spans="1:19" ht="15.75">
      <c r="A561" s="13">
        <v>58592</v>
      </c>
      <c r="B561" s="8">
        <f>CHOOSE( CONTROL!$C$32, 17.0739, 17.069) * CHOOSE(CONTROL!$C$15, $D$11, 100%, $F$11)</f>
        <v>17.073899999999998</v>
      </c>
      <c r="C561" s="8">
        <f>CHOOSE( CONTROL!$C$32, 17.082, 17.0771) * CHOOSE(CONTROL!$C$15, $D$11, 100%, $F$11)</f>
        <v>17.082000000000001</v>
      </c>
      <c r="D561" s="8">
        <f>CHOOSE( CONTROL!$C$32, 17.1033, 17.0984) * CHOOSE( CONTROL!$C$15, $D$11, 100%, $F$11)</f>
        <v>17.103300000000001</v>
      </c>
      <c r="E561" s="12">
        <f>CHOOSE( CONTROL!$C$32, 17.0943, 17.0894) * CHOOSE( CONTROL!$C$15, $D$11, 100%, $F$11)</f>
        <v>17.0943</v>
      </c>
      <c r="F561" s="4">
        <f>CHOOSE( CONTROL!$C$32, 17.7717, 17.7669) * CHOOSE(CONTROL!$C$15, $D$11, 100%, $F$11)</f>
        <v>17.771699999999999</v>
      </c>
      <c r="G561" s="8">
        <f>CHOOSE( CONTROL!$C$32, 16.6626, 16.6579) * CHOOSE( CONTROL!$C$15, $D$11, 100%, $F$11)</f>
        <v>16.662600000000001</v>
      </c>
      <c r="H561" s="4">
        <f>CHOOSE( CONTROL!$C$32, 17.5924, 17.5877) * CHOOSE(CONTROL!$C$15, $D$11, 100%, $F$11)</f>
        <v>17.592400000000001</v>
      </c>
      <c r="I561" s="8">
        <f>CHOOSE( CONTROL!$C$32, 16.4761, 16.4714) * CHOOSE(CONTROL!$C$15, $D$11, 100%, $F$11)</f>
        <v>16.476099999999999</v>
      </c>
      <c r="J561" s="4">
        <f>CHOOSE( CONTROL!$C$32, 16.3634, 16.3588) * CHOOSE(CONTROL!$C$15, $D$11, 100%, $F$11)</f>
        <v>16.363399999999999</v>
      </c>
      <c r="K561" s="4"/>
      <c r="L561" s="9">
        <v>30.7165</v>
      </c>
      <c r="M561" s="9">
        <v>12.063700000000001</v>
      </c>
      <c r="N561" s="9">
        <v>4.9444999999999997</v>
      </c>
      <c r="O561" s="9">
        <v>0.37409999999999999</v>
      </c>
      <c r="P561" s="9">
        <v>1.2183999999999999</v>
      </c>
      <c r="Q561" s="9">
        <v>19.688099999999999</v>
      </c>
      <c r="R561" s="9"/>
      <c r="S561" s="11"/>
    </row>
    <row r="562" spans="1:19" ht="15.75">
      <c r="A562" s="13">
        <v>58622</v>
      </c>
      <c r="B562" s="8">
        <f>CHOOSE( CONTROL!$C$32, 16.7999, 16.7951) * CHOOSE(CONTROL!$C$15, $D$11, 100%, $F$11)</f>
        <v>16.799900000000001</v>
      </c>
      <c r="C562" s="8">
        <f>CHOOSE( CONTROL!$C$32, 16.808, 16.8032) * CHOOSE(CONTROL!$C$15, $D$11, 100%, $F$11)</f>
        <v>16.808</v>
      </c>
      <c r="D562" s="8">
        <f>CHOOSE( CONTROL!$C$32, 16.8295, 16.8247) * CHOOSE( CONTROL!$C$15, $D$11, 100%, $F$11)</f>
        <v>16.829499999999999</v>
      </c>
      <c r="E562" s="12">
        <f>CHOOSE( CONTROL!$C$32, 16.8205, 16.8157) * CHOOSE( CONTROL!$C$15, $D$11, 100%, $F$11)</f>
        <v>16.820499999999999</v>
      </c>
      <c r="F562" s="4">
        <f>CHOOSE( CONTROL!$C$32, 17.4977, 17.4929) * CHOOSE(CONTROL!$C$15, $D$11, 100%, $F$11)</f>
        <v>17.497699999999998</v>
      </c>
      <c r="G562" s="8">
        <f>CHOOSE( CONTROL!$C$32, 16.3953, 16.3906) * CHOOSE( CONTROL!$C$15, $D$11, 100%, $F$11)</f>
        <v>16.395299999999999</v>
      </c>
      <c r="H562" s="4">
        <f>CHOOSE( CONTROL!$C$32, 17.3249, 17.3202) * CHOOSE(CONTROL!$C$15, $D$11, 100%, $F$11)</f>
        <v>17.3249</v>
      </c>
      <c r="I562" s="8">
        <f>CHOOSE( CONTROL!$C$32, 16.2139, 16.2092) * CHOOSE(CONTROL!$C$15, $D$11, 100%, $F$11)</f>
        <v>16.213899999999999</v>
      </c>
      <c r="J562" s="4">
        <f>CHOOSE( CONTROL!$C$32, 16.1004, 16.0958) * CHOOSE(CONTROL!$C$15, $D$11, 100%, $F$11)</f>
        <v>16.1004</v>
      </c>
      <c r="K562" s="4"/>
      <c r="L562" s="9">
        <v>29.7257</v>
      </c>
      <c r="M562" s="9">
        <v>11.6745</v>
      </c>
      <c r="N562" s="9">
        <v>4.7850000000000001</v>
      </c>
      <c r="O562" s="9">
        <v>0.36199999999999999</v>
      </c>
      <c r="P562" s="9">
        <v>1.1791</v>
      </c>
      <c r="Q562" s="9">
        <v>19.053000000000001</v>
      </c>
      <c r="R562" s="9"/>
      <c r="S562" s="11"/>
    </row>
    <row r="563" spans="1:19" ht="15.75">
      <c r="A563" s="13">
        <v>58653</v>
      </c>
      <c r="B563" s="8">
        <f>CHOOSE( CONTROL!$C$32, 17.5213, 17.5165) * CHOOSE(CONTROL!$C$15, $D$11, 100%, $F$11)</f>
        <v>17.5213</v>
      </c>
      <c r="C563" s="8">
        <f>CHOOSE( CONTROL!$C$32, 17.5294, 17.5246) * CHOOSE(CONTROL!$C$15, $D$11, 100%, $F$11)</f>
        <v>17.529399999999999</v>
      </c>
      <c r="D563" s="8">
        <f>CHOOSE( CONTROL!$C$32, 17.5511, 17.5463) * CHOOSE( CONTROL!$C$15, $D$11, 100%, $F$11)</f>
        <v>17.551100000000002</v>
      </c>
      <c r="E563" s="12">
        <f>CHOOSE( CONTROL!$C$32, 17.542, 17.5372) * CHOOSE( CONTROL!$C$15, $D$11, 100%, $F$11)</f>
        <v>17.542000000000002</v>
      </c>
      <c r="F563" s="4">
        <f>CHOOSE( CONTROL!$C$32, 18.2191, 18.2143) * CHOOSE(CONTROL!$C$15, $D$11, 100%, $F$11)</f>
        <v>18.219100000000001</v>
      </c>
      <c r="G563" s="8">
        <f>CHOOSE( CONTROL!$C$32, 17.1002, 17.0955) * CHOOSE( CONTROL!$C$15, $D$11, 100%, $F$11)</f>
        <v>17.100200000000001</v>
      </c>
      <c r="H563" s="4">
        <f>CHOOSE( CONTROL!$C$32, 18.0295, 18.0247) * CHOOSE(CONTROL!$C$15, $D$11, 100%, $F$11)</f>
        <v>18.029499999999999</v>
      </c>
      <c r="I563" s="8">
        <f>CHOOSE( CONTROL!$C$32, 16.9079, 16.9033) * CHOOSE(CONTROL!$C$15, $D$11, 100%, $F$11)</f>
        <v>16.907900000000001</v>
      </c>
      <c r="J563" s="4">
        <f>CHOOSE( CONTROL!$C$32, 16.793, 16.7884) * CHOOSE(CONTROL!$C$15, $D$11, 100%, $F$11)</f>
        <v>16.792999999999999</v>
      </c>
      <c r="K563" s="4"/>
      <c r="L563" s="9">
        <v>30.7165</v>
      </c>
      <c r="M563" s="9">
        <v>12.063700000000001</v>
      </c>
      <c r="N563" s="9">
        <v>4.9444999999999997</v>
      </c>
      <c r="O563" s="9">
        <v>0.37409999999999999</v>
      </c>
      <c r="P563" s="9">
        <v>1.2183999999999999</v>
      </c>
      <c r="Q563" s="9">
        <v>19.688099999999999</v>
      </c>
      <c r="R563" s="9"/>
      <c r="S563" s="11"/>
    </row>
    <row r="564" spans="1:19" ht="15.75">
      <c r="A564" s="13">
        <v>58684</v>
      </c>
      <c r="B564" s="8">
        <f>CHOOSE( CONTROL!$C$32, 16.1715, 16.1667) * CHOOSE(CONTROL!$C$15, $D$11, 100%, $F$11)</f>
        <v>16.171500000000002</v>
      </c>
      <c r="C564" s="8">
        <f>CHOOSE( CONTROL!$C$32, 16.1796, 16.1748) * CHOOSE(CONTROL!$C$15, $D$11, 100%, $F$11)</f>
        <v>16.179600000000001</v>
      </c>
      <c r="D564" s="8">
        <f>CHOOSE( CONTROL!$C$32, 16.2014, 16.1966) * CHOOSE( CONTROL!$C$15, $D$11, 100%, $F$11)</f>
        <v>16.2014</v>
      </c>
      <c r="E564" s="12">
        <f>CHOOSE( CONTROL!$C$32, 16.1923, 16.1875) * CHOOSE( CONTROL!$C$15, $D$11, 100%, $F$11)</f>
        <v>16.192299999999999</v>
      </c>
      <c r="F564" s="4">
        <f>CHOOSE( CONTROL!$C$32, 16.8693, 16.8645) * CHOOSE(CONTROL!$C$15, $D$11, 100%, $F$11)</f>
        <v>16.869299999999999</v>
      </c>
      <c r="G564" s="8">
        <f>CHOOSE( CONTROL!$C$32, 15.782, 15.7773) * CHOOSE( CONTROL!$C$15, $D$11, 100%, $F$11)</f>
        <v>15.782</v>
      </c>
      <c r="H564" s="4">
        <f>CHOOSE( CONTROL!$C$32, 16.7111, 16.7064) * CHOOSE(CONTROL!$C$15, $D$11, 100%, $F$11)</f>
        <v>16.711099999999998</v>
      </c>
      <c r="I564" s="8">
        <f>CHOOSE( CONTROL!$C$32, 15.6116, 15.607) * CHOOSE(CONTROL!$C$15, $D$11, 100%, $F$11)</f>
        <v>15.611599999999999</v>
      </c>
      <c r="J564" s="4">
        <f>CHOOSE( CONTROL!$C$32, 15.4971, 15.4924) * CHOOSE(CONTROL!$C$15, $D$11, 100%, $F$11)</f>
        <v>15.4971</v>
      </c>
      <c r="K564" s="4"/>
      <c r="L564" s="9">
        <v>30.7165</v>
      </c>
      <c r="M564" s="9">
        <v>12.063700000000001</v>
      </c>
      <c r="N564" s="9">
        <v>4.9444999999999997</v>
      </c>
      <c r="O564" s="9">
        <v>0.37409999999999999</v>
      </c>
      <c r="P564" s="9">
        <v>1.2183999999999999</v>
      </c>
      <c r="Q564" s="9">
        <v>19.688099999999999</v>
      </c>
      <c r="R564" s="9"/>
      <c r="S564" s="11"/>
    </row>
    <row r="565" spans="1:19" ht="15.75">
      <c r="A565" s="13">
        <v>58714</v>
      </c>
      <c r="B565" s="8">
        <f>CHOOSE( CONTROL!$C$32, 15.8335, 15.8287) * CHOOSE(CONTROL!$C$15, $D$11, 100%, $F$11)</f>
        <v>15.833500000000001</v>
      </c>
      <c r="C565" s="8">
        <f>CHOOSE( CONTROL!$C$32, 15.8416, 15.8368) * CHOOSE(CONTROL!$C$15, $D$11, 100%, $F$11)</f>
        <v>15.8416</v>
      </c>
      <c r="D565" s="8">
        <f>CHOOSE( CONTROL!$C$32, 15.8634, 15.8586) * CHOOSE( CONTROL!$C$15, $D$11, 100%, $F$11)</f>
        <v>15.8634</v>
      </c>
      <c r="E565" s="12">
        <f>CHOOSE( CONTROL!$C$32, 15.8543, 15.8495) * CHOOSE( CONTROL!$C$15, $D$11, 100%, $F$11)</f>
        <v>15.8543</v>
      </c>
      <c r="F565" s="4">
        <f>CHOOSE( CONTROL!$C$32, 16.5313, 16.5265) * CHOOSE(CONTROL!$C$15, $D$11, 100%, $F$11)</f>
        <v>16.531300000000002</v>
      </c>
      <c r="G565" s="8">
        <f>CHOOSE( CONTROL!$C$32, 15.4518, 15.4471) * CHOOSE( CONTROL!$C$15, $D$11, 100%, $F$11)</f>
        <v>15.4518</v>
      </c>
      <c r="H565" s="4">
        <f>CHOOSE( CONTROL!$C$32, 16.381, 16.3763) * CHOOSE(CONTROL!$C$15, $D$11, 100%, $F$11)</f>
        <v>16.381</v>
      </c>
      <c r="I565" s="8">
        <f>CHOOSE( CONTROL!$C$32, 15.2869, 15.2822) * CHOOSE(CONTROL!$C$15, $D$11, 100%, $F$11)</f>
        <v>15.286899999999999</v>
      </c>
      <c r="J565" s="4">
        <f>CHOOSE( CONTROL!$C$32, 15.1725, 15.1679) * CHOOSE(CONTROL!$C$15, $D$11, 100%, $F$11)</f>
        <v>15.172499999999999</v>
      </c>
      <c r="K565" s="4"/>
      <c r="L565" s="9">
        <v>29.7257</v>
      </c>
      <c r="M565" s="9">
        <v>11.6745</v>
      </c>
      <c r="N565" s="9">
        <v>4.7850000000000001</v>
      </c>
      <c r="O565" s="9">
        <v>0.36199999999999999</v>
      </c>
      <c r="P565" s="9">
        <v>1.1791</v>
      </c>
      <c r="Q565" s="9">
        <v>19.053000000000001</v>
      </c>
      <c r="R565" s="9"/>
      <c r="S565" s="11"/>
    </row>
    <row r="566" spans="1:19" ht="15.75">
      <c r="A566" s="13">
        <v>58745</v>
      </c>
      <c r="B566" s="8">
        <f>16.5288 * CHOOSE(CONTROL!$C$15, $D$11, 100%, $F$11)</f>
        <v>16.5288</v>
      </c>
      <c r="C566" s="8">
        <f>16.5342 * CHOOSE(CONTROL!$C$15, $D$11, 100%, $F$11)</f>
        <v>16.534199999999998</v>
      </c>
      <c r="D566" s="8">
        <f>16.5606 * CHOOSE( CONTROL!$C$15, $D$11, 100%, $F$11)</f>
        <v>16.560600000000001</v>
      </c>
      <c r="E566" s="12">
        <f>16.5513 * CHOOSE( CONTROL!$C$15, $D$11, 100%, $F$11)</f>
        <v>16.551300000000001</v>
      </c>
      <c r="F566" s="4">
        <f>17.2283 * CHOOSE(CONTROL!$C$15, $D$11, 100%, $F$11)</f>
        <v>17.228300000000001</v>
      </c>
      <c r="G566" s="8">
        <f>16.1318 * CHOOSE( CONTROL!$C$15, $D$11, 100%, $F$11)</f>
        <v>16.131799999999998</v>
      </c>
      <c r="H566" s="4">
        <f>17.0617 * CHOOSE(CONTROL!$C$15, $D$11, 100%, $F$11)</f>
        <v>17.061699999999998</v>
      </c>
      <c r="I566" s="8">
        <f>15.9571 * CHOOSE(CONTROL!$C$15, $D$11, 100%, $F$11)</f>
        <v>15.957100000000001</v>
      </c>
      <c r="J566" s="4">
        <f>15.8417 * CHOOSE(CONTROL!$C$15, $D$11, 100%, $F$11)</f>
        <v>15.841699999999999</v>
      </c>
      <c r="K566" s="4"/>
      <c r="L566" s="9">
        <v>31.095300000000002</v>
      </c>
      <c r="M566" s="9">
        <v>12.063700000000001</v>
      </c>
      <c r="N566" s="9">
        <v>4.9444999999999997</v>
      </c>
      <c r="O566" s="9">
        <v>0.37409999999999999</v>
      </c>
      <c r="P566" s="9">
        <v>1.2183999999999999</v>
      </c>
      <c r="Q566" s="9">
        <v>19.688099999999999</v>
      </c>
      <c r="R566" s="9"/>
      <c r="S566" s="11"/>
    </row>
    <row r="567" spans="1:19" ht="15.75">
      <c r="A567" s="13">
        <v>58775</v>
      </c>
      <c r="B567" s="8">
        <f>17.8238 * CHOOSE(CONTROL!$C$15, $D$11, 100%, $F$11)</f>
        <v>17.823799999999999</v>
      </c>
      <c r="C567" s="8">
        <f>17.829 * CHOOSE(CONTROL!$C$15, $D$11, 100%, $F$11)</f>
        <v>17.829000000000001</v>
      </c>
      <c r="D567" s="8">
        <f>17.8182 * CHOOSE( CONTROL!$C$15, $D$11, 100%, $F$11)</f>
        <v>17.818200000000001</v>
      </c>
      <c r="E567" s="12">
        <f>17.8216 * CHOOSE( CONTROL!$C$15, $D$11, 100%, $F$11)</f>
        <v>17.8216</v>
      </c>
      <c r="F567" s="4">
        <f>18.4727 * CHOOSE(CONTROL!$C$15, $D$11, 100%, $F$11)</f>
        <v>18.4727</v>
      </c>
      <c r="G567" s="8">
        <f>17.4016 * CHOOSE( CONTROL!$C$15, $D$11, 100%, $F$11)</f>
        <v>17.401599999999998</v>
      </c>
      <c r="H567" s="4">
        <f>18.2771 * CHOOSE(CONTROL!$C$15, $D$11, 100%, $F$11)</f>
        <v>18.277100000000001</v>
      </c>
      <c r="I567" s="8">
        <f>17.2271 * CHOOSE(CONTROL!$C$15, $D$11, 100%, $F$11)</f>
        <v>17.2271</v>
      </c>
      <c r="J567" s="4">
        <f>17.0854 * CHOOSE(CONTROL!$C$15, $D$11, 100%, $F$11)</f>
        <v>17.0854</v>
      </c>
      <c r="K567" s="4"/>
      <c r="L567" s="9">
        <v>28.360600000000002</v>
      </c>
      <c r="M567" s="9">
        <v>11.6745</v>
      </c>
      <c r="N567" s="9">
        <v>4.7850000000000001</v>
      </c>
      <c r="O567" s="9">
        <v>0.36199999999999999</v>
      </c>
      <c r="P567" s="9">
        <v>1.2509999999999999</v>
      </c>
      <c r="Q567" s="9">
        <v>19.053000000000001</v>
      </c>
      <c r="R567" s="9"/>
      <c r="S567" s="11"/>
    </row>
    <row r="568" spans="1:19" ht="15.75">
      <c r="A568" s="13">
        <v>58806</v>
      </c>
      <c r="B568" s="8">
        <f>17.7914 * CHOOSE(CONTROL!$C$15, $D$11, 100%, $F$11)</f>
        <v>17.791399999999999</v>
      </c>
      <c r="C568" s="8">
        <f>17.7966 * CHOOSE(CONTROL!$C$15, $D$11, 100%, $F$11)</f>
        <v>17.796600000000002</v>
      </c>
      <c r="D568" s="8">
        <f>17.7872 * CHOOSE( CONTROL!$C$15, $D$11, 100%, $F$11)</f>
        <v>17.787199999999999</v>
      </c>
      <c r="E568" s="12">
        <f>17.7901 * CHOOSE( CONTROL!$C$15, $D$11, 100%, $F$11)</f>
        <v>17.790099999999999</v>
      </c>
      <c r="F568" s="4">
        <f>18.4403 * CHOOSE(CONTROL!$C$15, $D$11, 100%, $F$11)</f>
        <v>18.440300000000001</v>
      </c>
      <c r="G568" s="8">
        <f>17.371 * CHOOSE( CONTROL!$C$15, $D$11, 100%, $F$11)</f>
        <v>17.370999999999999</v>
      </c>
      <c r="H568" s="4">
        <f>18.2455 * CHOOSE(CONTROL!$C$15, $D$11, 100%, $F$11)</f>
        <v>18.2455</v>
      </c>
      <c r="I568" s="8">
        <f>17.2003 * CHOOSE(CONTROL!$C$15, $D$11, 100%, $F$11)</f>
        <v>17.200299999999999</v>
      </c>
      <c r="J568" s="4">
        <f>17.0544 * CHOOSE(CONTROL!$C$15, $D$11, 100%, $F$11)</f>
        <v>17.054400000000001</v>
      </c>
      <c r="K568" s="4"/>
      <c r="L568" s="9">
        <v>29.306000000000001</v>
      </c>
      <c r="M568" s="9">
        <v>12.063700000000001</v>
      </c>
      <c r="N568" s="9">
        <v>4.9444999999999997</v>
      </c>
      <c r="O568" s="9">
        <v>0.37409999999999999</v>
      </c>
      <c r="P568" s="9">
        <v>1.2927</v>
      </c>
      <c r="Q568" s="9">
        <v>19.688099999999999</v>
      </c>
      <c r="R568" s="9"/>
      <c r="S568" s="11"/>
    </row>
    <row r="569" spans="1:19" ht="15.75">
      <c r="A569" s="13">
        <v>58837</v>
      </c>
      <c r="B569" s="8">
        <f>18.4703 * CHOOSE(CONTROL!$C$15, $D$11, 100%, $F$11)</f>
        <v>18.470300000000002</v>
      </c>
      <c r="C569" s="8">
        <f>18.4755 * CHOOSE(CONTROL!$C$15, $D$11, 100%, $F$11)</f>
        <v>18.4755</v>
      </c>
      <c r="D569" s="8">
        <f>18.462 * CHOOSE( CONTROL!$C$15, $D$11, 100%, $F$11)</f>
        <v>18.462</v>
      </c>
      <c r="E569" s="12">
        <f>18.4664 * CHOOSE( CONTROL!$C$15, $D$11, 100%, $F$11)</f>
        <v>18.4664</v>
      </c>
      <c r="F569" s="4">
        <f>19.1192 * CHOOSE(CONTROL!$C$15, $D$11, 100%, $F$11)</f>
        <v>19.119199999999999</v>
      </c>
      <c r="G569" s="8">
        <f>18.0278 * CHOOSE( CONTROL!$C$15, $D$11, 100%, $F$11)</f>
        <v>18.027799999999999</v>
      </c>
      <c r="H569" s="4">
        <f>18.9086 * CHOOSE(CONTROL!$C$15, $D$11, 100%, $F$11)</f>
        <v>18.9086</v>
      </c>
      <c r="I569" s="8">
        <f>17.8287 * CHOOSE(CONTROL!$C$15, $D$11, 100%, $F$11)</f>
        <v>17.828700000000001</v>
      </c>
      <c r="J569" s="4">
        <f>17.7062 * CHOOSE(CONTROL!$C$15, $D$11, 100%, $F$11)</f>
        <v>17.706199999999999</v>
      </c>
      <c r="K569" s="4"/>
      <c r="L569" s="9">
        <v>29.306000000000001</v>
      </c>
      <c r="M569" s="9">
        <v>12.063700000000001</v>
      </c>
      <c r="N569" s="9">
        <v>4.9444999999999997</v>
      </c>
      <c r="O569" s="9">
        <v>0.37409999999999999</v>
      </c>
      <c r="P569" s="9">
        <v>1.2927</v>
      </c>
      <c r="Q569" s="9">
        <v>19.688099999999999</v>
      </c>
      <c r="R569" s="9"/>
      <c r="S569" s="11"/>
    </row>
    <row r="570" spans="1:19" ht="15.75">
      <c r="A570" s="13">
        <v>58865</v>
      </c>
      <c r="B570" s="8">
        <f>17.2781 * CHOOSE(CONTROL!$C$15, $D$11, 100%, $F$11)</f>
        <v>17.278099999999998</v>
      </c>
      <c r="C570" s="8">
        <f>17.2832 * CHOOSE(CONTROL!$C$15, $D$11, 100%, $F$11)</f>
        <v>17.283200000000001</v>
      </c>
      <c r="D570" s="8">
        <f>17.2697 * CHOOSE( CONTROL!$C$15, $D$11, 100%, $F$11)</f>
        <v>17.2697</v>
      </c>
      <c r="E570" s="12">
        <f>17.2741 * CHOOSE( CONTROL!$C$15, $D$11, 100%, $F$11)</f>
        <v>17.274100000000001</v>
      </c>
      <c r="F570" s="4">
        <f>17.927 * CHOOSE(CONTROL!$C$15, $D$11, 100%, $F$11)</f>
        <v>17.927</v>
      </c>
      <c r="G570" s="8">
        <f>16.8633 * CHOOSE( CONTROL!$C$15, $D$11, 100%, $F$11)</f>
        <v>16.863299999999999</v>
      </c>
      <c r="H570" s="4">
        <f>17.7441 * CHOOSE(CONTROL!$C$15, $D$11, 100%, $F$11)</f>
        <v>17.7441</v>
      </c>
      <c r="I570" s="8">
        <f>16.6835 * CHOOSE(CONTROL!$C$15, $D$11, 100%, $F$11)</f>
        <v>16.683499999999999</v>
      </c>
      <c r="J570" s="4">
        <f>16.5615 * CHOOSE(CONTROL!$C$15, $D$11, 100%, $F$11)</f>
        <v>16.561499999999999</v>
      </c>
      <c r="K570" s="4"/>
      <c r="L570" s="9">
        <v>26.469899999999999</v>
      </c>
      <c r="M570" s="9">
        <v>10.8962</v>
      </c>
      <c r="N570" s="9">
        <v>4.4660000000000002</v>
      </c>
      <c r="O570" s="9">
        <v>0.33789999999999998</v>
      </c>
      <c r="P570" s="9">
        <v>1.1676</v>
      </c>
      <c r="Q570" s="9">
        <v>17.782800000000002</v>
      </c>
      <c r="R570" s="9"/>
      <c r="S570" s="11"/>
    </row>
    <row r="571" spans="1:19" ht="15.75">
      <c r="A571" s="13">
        <v>58893</v>
      </c>
      <c r="B571" s="8">
        <f>16.9109 * CHOOSE(CONTROL!$C$15, $D$11, 100%, $F$11)</f>
        <v>16.910900000000002</v>
      </c>
      <c r="C571" s="8">
        <f>16.916 * CHOOSE(CONTROL!$C$15, $D$11, 100%, $F$11)</f>
        <v>16.916</v>
      </c>
      <c r="D571" s="8">
        <f>16.9022 * CHOOSE( CONTROL!$C$15, $D$11, 100%, $F$11)</f>
        <v>16.902200000000001</v>
      </c>
      <c r="E571" s="12">
        <f>16.9067 * CHOOSE( CONTROL!$C$15, $D$11, 100%, $F$11)</f>
        <v>16.906700000000001</v>
      </c>
      <c r="F571" s="4">
        <f>17.5598 * CHOOSE(CONTROL!$C$15, $D$11, 100%, $F$11)</f>
        <v>17.559799999999999</v>
      </c>
      <c r="G571" s="8">
        <f>16.5044 * CHOOSE( CONTROL!$C$15, $D$11, 100%, $F$11)</f>
        <v>16.5044</v>
      </c>
      <c r="H571" s="4">
        <f>17.3854 * CHOOSE(CONTROL!$C$15, $D$11, 100%, $F$11)</f>
        <v>17.385400000000001</v>
      </c>
      <c r="I571" s="8">
        <f>16.3297 * CHOOSE(CONTROL!$C$15, $D$11, 100%, $F$11)</f>
        <v>16.329699999999999</v>
      </c>
      <c r="J571" s="4">
        <f>16.2089 * CHOOSE(CONTROL!$C$15, $D$11, 100%, $F$11)</f>
        <v>16.2089</v>
      </c>
      <c r="K571" s="4"/>
      <c r="L571" s="9">
        <v>29.306000000000001</v>
      </c>
      <c r="M571" s="9">
        <v>12.063700000000001</v>
      </c>
      <c r="N571" s="9">
        <v>4.9444999999999997</v>
      </c>
      <c r="O571" s="9">
        <v>0.37409999999999999</v>
      </c>
      <c r="P571" s="9">
        <v>1.2927</v>
      </c>
      <c r="Q571" s="9">
        <v>19.688099999999999</v>
      </c>
      <c r="R571" s="9"/>
      <c r="S571" s="11"/>
    </row>
    <row r="572" spans="1:19" ht="15.75">
      <c r="A572" s="13">
        <v>58926</v>
      </c>
      <c r="B572" s="8">
        <f>17.1682 * CHOOSE(CONTROL!$C$15, $D$11, 100%, $F$11)</f>
        <v>17.168199999999999</v>
      </c>
      <c r="C572" s="8">
        <f>17.1728 * CHOOSE(CONTROL!$C$15, $D$11, 100%, $F$11)</f>
        <v>17.172799999999999</v>
      </c>
      <c r="D572" s="8">
        <f>17.1991 * CHOOSE( CONTROL!$C$15, $D$11, 100%, $F$11)</f>
        <v>17.199100000000001</v>
      </c>
      <c r="E572" s="12">
        <f>17.1899 * CHOOSE( CONTROL!$C$15, $D$11, 100%, $F$11)</f>
        <v>17.189900000000002</v>
      </c>
      <c r="F572" s="4">
        <f>17.8674 * CHOOSE(CONTROL!$C$15, $D$11, 100%, $F$11)</f>
        <v>17.8674</v>
      </c>
      <c r="G572" s="8">
        <f>16.7551 * CHOOSE( CONTROL!$C$15, $D$11, 100%, $F$11)</f>
        <v>16.755099999999999</v>
      </c>
      <c r="H572" s="4">
        <f>17.6859 * CHOOSE(CONTROL!$C$15, $D$11, 100%, $F$11)</f>
        <v>17.6859</v>
      </c>
      <c r="I572" s="8">
        <f>16.5681 * CHOOSE(CONTROL!$C$15, $D$11, 100%, $F$11)</f>
        <v>16.568100000000001</v>
      </c>
      <c r="J572" s="4">
        <f>16.4553 * CHOOSE(CONTROL!$C$15, $D$11, 100%, $F$11)</f>
        <v>16.455300000000001</v>
      </c>
      <c r="K572" s="4"/>
      <c r="L572" s="9">
        <v>30.092199999999998</v>
      </c>
      <c r="M572" s="9">
        <v>11.6745</v>
      </c>
      <c r="N572" s="9">
        <v>4.7850000000000001</v>
      </c>
      <c r="O572" s="9">
        <v>0.36199999999999999</v>
      </c>
      <c r="P572" s="9">
        <v>1.1791</v>
      </c>
      <c r="Q572" s="9">
        <v>19.053000000000001</v>
      </c>
      <c r="R572" s="9"/>
      <c r="S572" s="11"/>
    </row>
    <row r="573" spans="1:19" ht="15.75">
      <c r="A573" s="13">
        <v>58957</v>
      </c>
      <c r="B573" s="8">
        <f>CHOOSE( CONTROL!$C$32, 17.6311, 17.6263) * CHOOSE(CONTROL!$C$15, $D$11, 100%, $F$11)</f>
        <v>17.6311</v>
      </c>
      <c r="C573" s="8">
        <f>CHOOSE( CONTROL!$C$32, 17.6392, 17.6344) * CHOOSE(CONTROL!$C$15, $D$11, 100%, $F$11)</f>
        <v>17.639199999999999</v>
      </c>
      <c r="D573" s="8">
        <f>CHOOSE( CONTROL!$C$32, 17.6605, 17.6557) * CHOOSE( CONTROL!$C$15, $D$11, 100%, $F$11)</f>
        <v>17.660499999999999</v>
      </c>
      <c r="E573" s="12">
        <f>CHOOSE( CONTROL!$C$32, 17.6515, 17.6467) * CHOOSE( CONTROL!$C$15, $D$11, 100%, $F$11)</f>
        <v>17.651499999999999</v>
      </c>
      <c r="F573" s="4">
        <f>CHOOSE( CONTROL!$C$32, 18.3289, 18.3241) * CHOOSE(CONTROL!$C$15, $D$11, 100%, $F$11)</f>
        <v>18.328900000000001</v>
      </c>
      <c r="G573" s="8">
        <f>CHOOSE( CONTROL!$C$32, 17.2068, 17.2021) * CHOOSE( CONTROL!$C$15, $D$11, 100%, $F$11)</f>
        <v>17.206800000000001</v>
      </c>
      <c r="H573" s="4">
        <f>CHOOSE( CONTROL!$C$32, 18.1367, 18.132) * CHOOSE(CONTROL!$C$15, $D$11, 100%, $F$11)</f>
        <v>18.136700000000001</v>
      </c>
      <c r="I573" s="8">
        <f>CHOOSE( CONTROL!$C$32, 17.0113, 17.0067) * CHOOSE(CONTROL!$C$15, $D$11, 100%, $F$11)</f>
        <v>17.011299999999999</v>
      </c>
      <c r="J573" s="4">
        <f>CHOOSE( CONTROL!$C$32, 16.8984, 16.8938) * CHOOSE(CONTROL!$C$15, $D$11, 100%, $F$11)</f>
        <v>16.898399999999999</v>
      </c>
      <c r="K573" s="4"/>
      <c r="L573" s="9">
        <v>30.7165</v>
      </c>
      <c r="M573" s="9">
        <v>12.063700000000001</v>
      </c>
      <c r="N573" s="9">
        <v>4.9444999999999997</v>
      </c>
      <c r="O573" s="9">
        <v>0.37409999999999999</v>
      </c>
      <c r="P573" s="9">
        <v>1.2183999999999999</v>
      </c>
      <c r="Q573" s="9">
        <v>19.688099999999999</v>
      </c>
      <c r="R573" s="9"/>
      <c r="S573" s="11"/>
    </row>
    <row r="574" spans="1:19" ht="15.75">
      <c r="A574" s="13">
        <v>58987</v>
      </c>
      <c r="B574" s="8">
        <f>CHOOSE( CONTROL!$C$32, 17.3482, 17.3434) * CHOOSE(CONTROL!$C$15, $D$11, 100%, $F$11)</f>
        <v>17.348199999999999</v>
      </c>
      <c r="C574" s="8">
        <f>CHOOSE( CONTROL!$C$32, 17.3563, 17.3515) * CHOOSE(CONTROL!$C$15, $D$11, 100%, $F$11)</f>
        <v>17.356300000000001</v>
      </c>
      <c r="D574" s="8">
        <f>CHOOSE( CONTROL!$C$32, 17.3778, 17.373) * CHOOSE( CONTROL!$C$15, $D$11, 100%, $F$11)</f>
        <v>17.377800000000001</v>
      </c>
      <c r="E574" s="12">
        <f>CHOOSE( CONTROL!$C$32, 17.3688, 17.364) * CHOOSE( CONTROL!$C$15, $D$11, 100%, $F$11)</f>
        <v>17.3688</v>
      </c>
      <c r="F574" s="4">
        <f>CHOOSE( CONTROL!$C$32, 18.046, 18.0412) * CHOOSE(CONTROL!$C$15, $D$11, 100%, $F$11)</f>
        <v>18.045999999999999</v>
      </c>
      <c r="G574" s="8">
        <f>CHOOSE( CONTROL!$C$32, 16.9308, 16.9261) * CHOOSE( CONTROL!$C$15, $D$11, 100%, $F$11)</f>
        <v>16.930800000000001</v>
      </c>
      <c r="H574" s="4">
        <f>CHOOSE( CONTROL!$C$32, 17.8604, 17.8556) * CHOOSE(CONTROL!$C$15, $D$11, 100%, $F$11)</f>
        <v>17.860399999999998</v>
      </c>
      <c r="I574" s="8">
        <f>CHOOSE( CONTROL!$C$32, 16.7405, 16.7359) * CHOOSE(CONTROL!$C$15, $D$11, 100%, $F$11)</f>
        <v>16.740500000000001</v>
      </c>
      <c r="J574" s="4">
        <f>CHOOSE( CONTROL!$C$32, 16.6268, 16.6221) * CHOOSE(CONTROL!$C$15, $D$11, 100%, $F$11)</f>
        <v>16.626799999999999</v>
      </c>
      <c r="K574" s="4"/>
      <c r="L574" s="9">
        <v>29.7257</v>
      </c>
      <c r="M574" s="9">
        <v>11.6745</v>
      </c>
      <c r="N574" s="9">
        <v>4.7850000000000001</v>
      </c>
      <c r="O574" s="9">
        <v>0.36199999999999999</v>
      </c>
      <c r="P574" s="9">
        <v>1.1791</v>
      </c>
      <c r="Q574" s="9">
        <v>19.053000000000001</v>
      </c>
      <c r="R574" s="9"/>
      <c r="S574" s="11"/>
    </row>
    <row r="575" spans="1:19" ht="15.75">
      <c r="A575" s="13">
        <v>59018</v>
      </c>
      <c r="B575" s="8">
        <f>CHOOSE( CONTROL!$C$32, 18.0932, 18.0883) * CHOOSE(CONTROL!$C$15, $D$11, 100%, $F$11)</f>
        <v>18.0932</v>
      </c>
      <c r="C575" s="8">
        <f>CHOOSE( CONTROL!$C$32, 18.1013, 18.0964) * CHOOSE(CONTROL!$C$15, $D$11, 100%, $F$11)</f>
        <v>18.101299999999998</v>
      </c>
      <c r="D575" s="8">
        <f>CHOOSE( CONTROL!$C$32, 18.123, 18.1182) * CHOOSE( CONTROL!$C$15, $D$11, 100%, $F$11)</f>
        <v>18.123000000000001</v>
      </c>
      <c r="E575" s="12">
        <f>CHOOSE( CONTROL!$C$32, 18.1139, 18.1091) * CHOOSE( CONTROL!$C$15, $D$11, 100%, $F$11)</f>
        <v>18.113900000000001</v>
      </c>
      <c r="F575" s="4">
        <f>CHOOSE( CONTROL!$C$32, 18.791, 18.7862) * CHOOSE(CONTROL!$C$15, $D$11, 100%, $F$11)</f>
        <v>18.791</v>
      </c>
      <c r="G575" s="8">
        <f>CHOOSE( CONTROL!$C$32, 17.6588, 17.6541) * CHOOSE( CONTROL!$C$15, $D$11, 100%, $F$11)</f>
        <v>17.658799999999999</v>
      </c>
      <c r="H575" s="4">
        <f>CHOOSE( CONTROL!$C$32, 18.588, 18.5833) * CHOOSE(CONTROL!$C$15, $D$11, 100%, $F$11)</f>
        <v>18.588000000000001</v>
      </c>
      <c r="I575" s="8">
        <f>CHOOSE( CONTROL!$C$32, 17.4573, 17.4526) * CHOOSE(CONTROL!$C$15, $D$11, 100%, $F$11)</f>
        <v>17.4573</v>
      </c>
      <c r="J575" s="4">
        <f>CHOOSE( CONTROL!$C$32, 17.342, 17.3374) * CHOOSE(CONTROL!$C$15, $D$11, 100%, $F$11)</f>
        <v>17.341999999999999</v>
      </c>
      <c r="K575" s="4"/>
      <c r="L575" s="9">
        <v>30.7165</v>
      </c>
      <c r="M575" s="9">
        <v>12.063700000000001</v>
      </c>
      <c r="N575" s="9">
        <v>4.9444999999999997</v>
      </c>
      <c r="O575" s="9">
        <v>0.37409999999999999</v>
      </c>
      <c r="P575" s="9">
        <v>1.2183999999999999</v>
      </c>
      <c r="Q575" s="9">
        <v>19.688099999999999</v>
      </c>
      <c r="R575" s="9"/>
      <c r="S575" s="11"/>
    </row>
    <row r="576" spans="1:19" ht="15.75">
      <c r="A576" s="13">
        <v>59049</v>
      </c>
      <c r="B576" s="8">
        <f>CHOOSE( CONTROL!$C$32, 16.6992, 16.6944) * CHOOSE(CONTROL!$C$15, $D$11, 100%, $F$11)</f>
        <v>16.699200000000001</v>
      </c>
      <c r="C576" s="8">
        <f>CHOOSE( CONTROL!$C$32, 16.7073, 16.7025) * CHOOSE(CONTROL!$C$15, $D$11, 100%, $F$11)</f>
        <v>16.7073</v>
      </c>
      <c r="D576" s="8">
        <f>CHOOSE( CONTROL!$C$32, 16.7291, 16.7243) * CHOOSE( CONTROL!$C$15, $D$11, 100%, $F$11)</f>
        <v>16.729099999999999</v>
      </c>
      <c r="E576" s="12">
        <f>CHOOSE( CONTROL!$C$32, 16.72, 16.7152) * CHOOSE( CONTROL!$C$15, $D$11, 100%, $F$11)</f>
        <v>16.72</v>
      </c>
      <c r="F576" s="4">
        <f>CHOOSE( CONTROL!$C$32, 17.3971, 17.3922) * CHOOSE(CONTROL!$C$15, $D$11, 100%, $F$11)</f>
        <v>17.397099999999998</v>
      </c>
      <c r="G576" s="8">
        <f>CHOOSE( CONTROL!$C$32, 16.2974, 16.2927) * CHOOSE( CONTROL!$C$15, $D$11, 100%, $F$11)</f>
        <v>16.2974</v>
      </c>
      <c r="H576" s="4">
        <f>CHOOSE( CONTROL!$C$32, 17.2265, 17.2218) * CHOOSE(CONTROL!$C$15, $D$11, 100%, $F$11)</f>
        <v>17.226500000000001</v>
      </c>
      <c r="I576" s="8">
        <f>CHOOSE( CONTROL!$C$32, 16.1186, 16.1139) * CHOOSE(CONTROL!$C$15, $D$11, 100%, $F$11)</f>
        <v>16.118600000000001</v>
      </c>
      <c r="J576" s="4">
        <f>CHOOSE( CONTROL!$C$32, 16.0037, 15.9991) * CHOOSE(CONTROL!$C$15, $D$11, 100%, $F$11)</f>
        <v>16.003699999999998</v>
      </c>
      <c r="K576" s="4"/>
      <c r="L576" s="9">
        <v>30.7165</v>
      </c>
      <c r="M576" s="9">
        <v>12.063700000000001</v>
      </c>
      <c r="N576" s="9">
        <v>4.9444999999999997</v>
      </c>
      <c r="O576" s="9">
        <v>0.37409999999999999</v>
      </c>
      <c r="P576" s="9">
        <v>1.2183999999999999</v>
      </c>
      <c r="Q576" s="9">
        <v>19.688099999999999</v>
      </c>
      <c r="R576" s="9"/>
      <c r="S576" s="11"/>
    </row>
    <row r="577" spans="1:19" ht="15.75">
      <c r="A577" s="13">
        <v>59079</v>
      </c>
      <c r="B577" s="8">
        <f>CHOOSE( CONTROL!$C$32, 16.3502, 16.3453) * CHOOSE(CONTROL!$C$15, $D$11, 100%, $F$11)</f>
        <v>16.350200000000001</v>
      </c>
      <c r="C577" s="8">
        <f>CHOOSE( CONTROL!$C$32, 16.3583, 16.3534) * CHOOSE(CONTROL!$C$15, $D$11, 100%, $F$11)</f>
        <v>16.3583</v>
      </c>
      <c r="D577" s="8">
        <f>CHOOSE( CONTROL!$C$32, 16.3801, 16.3752) * CHOOSE( CONTROL!$C$15, $D$11, 100%, $F$11)</f>
        <v>16.380099999999999</v>
      </c>
      <c r="E577" s="12">
        <f>CHOOSE( CONTROL!$C$32, 16.371, 16.3661) * CHOOSE( CONTROL!$C$15, $D$11, 100%, $F$11)</f>
        <v>16.370999999999999</v>
      </c>
      <c r="F577" s="4">
        <f>CHOOSE( CONTROL!$C$32, 17.048, 17.0432) * CHOOSE(CONTROL!$C$15, $D$11, 100%, $F$11)</f>
        <v>17.047999999999998</v>
      </c>
      <c r="G577" s="8">
        <f>CHOOSE( CONTROL!$C$32, 15.9565, 15.9517) * CHOOSE( CONTROL!$C$15, $D$11, 100%, $F$11)</f>
        <v>15.9565</v>
      </c>
      <c r="H577" s="4">
        <f>CHOOSE( CONTROL!$C$32, 16.8856, 16.8809) * CHOOSE(CONTROL!$C$15, $D$11, 100%, $F$11)</f>
        <v>16.8856</v>
      </c>
      <c r="I577" s="8">
        <f>CHOOSE( CONTROL!$C$32, 15.7832, 15.7785) * CHOOSE(CONTROL!$C$15, $D$11, 100%, $F$11)</f>
        <v>15.783200000000001</v>
      </c>
      <c r="J577" s="4">
        <f>CHOOSE( CONTROL!$C$32, 15.6686, 15.6639) * CHOOSE(CONTROL!$C$15, $D$11, 100%, $F$11)</f>
        <v>15.6686</v>
      </c>
      <c r="K577" s="4"/>
      <c r="L577" s="9">
        <v>29.7257</v>
      </c>
      <c r="M577" s="9">
        <v>11.6745</v>
      </c>
      <c r="N577" s="9">
        <v>4.7850000000000001</v>
      </c>
      <c r="O577" s="9">
        <v>0.36199999999999999</v>
      </c>
      <c r="P577" s="9">
        <v>1.1791</v>
      </c>
      <c r="Q577" s="9">
        <v>19.053000000000001</v>
      </c>
      <c r="R577" s="9"/>
      <c r="S577" s="11"/>
    </row>
    <row r="578" spans="1:19" ht="15.75">
      <c r="A578" s="13">
        <v>59110</v>
      </c>
      <c r="B578" s="8">
        <f>17.0684 * CHOOSE(CONTROL!$C$15, $D$11, 100%, $F$11)</f>
        <v>17.0684</v>
      </c>
      <c r="C578" s="8">
        <f>17.0738 * CHOOSE(CONTROL!$C$15, $D$11, 100%, $F$11)</f>
        <v>17.073799999999999</v>
      </c>
      <c r="D578" s="8">
        <f>17.1003 * CHOOSE( CONTROL!$C$15, $D$11, 100%, $F$11)</f>
        <v>17.100300000000001</v>
      </c>
      <c r="E578" s="12">
        <f>17.091 * CHOOSE( CONTROL!$C$15, $D$11, 100%, $F$11)</f>
        <v>17.091000000000001</v>
      </c>
      <c r="F578" s="4">
        <f>17.7679 * CHOOSE(CONTROL!$C$15, $D$11, 100%, $F$11)</f>
        <v>17.767900000000001</v>
      </c>
      <c r="G578" s="8">
        <f>16.6589 * CHOOSE( CONTROL!$C$15, $D$11, 100%, $F$11)</f>
        <v>16.658899999999999</v>
      </c>
      <c r="H578" s="4">
        <f>17.5888 * CHOOSE(CONTROL!$C$15, $D$11, 100%, $F$11)</f>
        <v>17.588799999999999</v>
      </c>
      <c r="I578" s="8">
        <f>16.4755 * CHOOSE(CONTROL!$C$15, $D$11, 100%, $F$11)</f>
        <v>16.4755</v>
      </c>
      <c r="J578" s="4">
        <f>16.3598 * CHOOSE(CONTROL!$C$15, $D$11, 100%, $F$11)</f>
        <v>16.3598</v>
      </c>
      <c r="K578" s="4"/>
      <c r="L578" s="9">
        <v>31.095300000000002</v>
      </c>
      <c r="M578" s="9">
        <v>12.063700000000001</v>
      </c>
      <c r="N578" s="9">
        <v>4.9444999999999997</v>
      </c>
      <c r="O578" s="9">
        <v>0.37409999999999999</v>
      </c>
      <c r="P578" s="9">
        <v>1.2183999999999999</v>
      </c>
      <c r="Q578" s="9">
        <v>19.688099999999999</v>
      </c>
      <c r="R578" s="9"/>
      <c r="S578" s="11"/>
    </row>
    <row r="579" spans="1:19" ht="15.75">
      <c r="A579" s="13">
        <v>59140</v>
      </c>
      <c r="B579" s="8">
        <f>18.4058 * CHOOSE(CONTROL!$C$15, $D$11, 100%, $F$11)</f>
        <v>18.405799999999999</v>
      </c>
      <c r="C579" s="8">
        <f>18.4109 * CHOOSE(CONTROL!$C$15, $D$11, 100%, $F$11)</f>
        <v>18.410900000000002</v>
      </c>
      <c r="D579" s="8">
        <f>18.4002 * CHOOSE( CONTROL!$C$15, $D$11, 100%, $F$11)</f>
        <v>18.400200000000002</v>
      </c>
      <c r="E579" s="12">
        <f>18.4036 * CHOOSE( CONTROL!$C$15, $D$11, 100%, $F$11)</f>
        <v>18.403600000000001</v>
      </c>
      <c r="F579" s="4">
        <f>19.0547 * CHOOSE(CONTROL!$C$15, $D$11, 100%, $F$11)</f>
        <v>19.0547</v>
      </c>
      <c r="G579" s="8">
        <f>17.97 * CHOOSE( CONTROL!$C$15, $D$11, 100%, $F$11)</f>
        <v>17.97</v>
      </c>
      <c r="H579" s="4">
        <f>18.8455 * CHOOSE(CONTROL!$C$15, $D$11, 100%, $F$11)</f>
        <v>18.845500000000001</v>
      </c>
      <c r="I579" s="8">
        <f>17.7861 * CHOOSE(CONTROL!$C$15, $D$11, 100%, $F$11)</f>
        <v>17.786100000000001</v>
      </c>
      <c r="J579" s="4">
        <f>17.6442 * CHOOSE(CONTROL!$C$15, $D$11, 100%, $F$11)</f>
        <v>17.644200000000001</v>
      </c>
      <c r="K579" s="4"/>
      <c r="L579" s="9">
        <v>28.360600000000002</v>
      </c>
      <c r="M579" s="9">
        <v>11.6745</v>
      </c>
      <c r="N579" s="9">
        <v>4.7850000000000001</v>
      </c>
      <c r="O579" s="9">
        <v>0.36199999999999999</v>
      </c>
      <c r="P579" s="9">
        <v>1.2509999999999999</v>
      </c>
      <c r="Q579" s="9">
        <v>19.053000000000001</v>
      </c>
      <c r="R579" s="9"/>
      <c r="S579" s="11"/>
    </row>
    <row r="580" spans="1:19" ht="15.75">
      <c r="A580" s="13">
        <v>59171</v>
      </c>
      <c r="B580" s="8">
        <f>18.3723 * CHOOSE(CONTROL!$C$15, $D$11, 100%, $F$11)</f>
        <v>18.372299999999999</v>
      </c>
      <c r="C580" s="8">
        <f>18.3775 * CHOOSE(CONTROL!$C$15, $D$11, 100%, $F$11)</f>
        <v>18.377500000000001</v>
      </c>
      <c r="D580" s="8">
        <f>18.3681 * CHOOSE( CONTROL!$C$15, $D$11, 100%, $F$11)</f>
        <v>18.368099999999998</v>
      </c>
      <c r="E580" s="12">
        <f>18.371 * CHOOSE( CONTROL!$C$15, $D$11, 100%, $F$11)</f>
        <v>18.370999999999999</v>
      </c>
      <c r="F580" s="4">
        <f>19.0212 * CHOOSE(CONTROL!$C$15, $D$11, 100%, $F$11)</f>
        <v>19.0212</v>
      </c>
      <c r="G580" s="8">
        <f>17.9384 * CHOOSE( CONTROL!$C$15, $D$11, 100%, $F$11)</f>
        <v>17.938400000000001</v>
      </c>
      <c r="H580" s="4">
        <f>18.8129 * CHOOSE(CONTROL!$C$15, $D$11, 100%, $F$11)</f>
        <v>18.812899999999999</v>
      </c>
      <c r="I580" s="8">
        <f>17.7583 * CHOOSE(CONTROL!$C$15, $D$11, 100%, $F$11)</f>
        <v>17.758299999999998</v>
      </c>
      <c r="J580" s="4">
        <f>17.6121 * CHOOSE(CONTROL!$C$15, $D$11, 100%, $F$11)</f>
        <v>17.612100000000002</v>
      </c>
      <c r="K580" s="4"/>
      <c r="L580" s="9">
        <v>29.306000000000001</v>
      </c>
      <c r="M580" s="9">
        <v>12.063700000000001</v>
      </c>
      <c r="N580" s="9">
        <v>4.9444999999999997</v>
      </c>
      <c r="O580" s="9">
        <v>0.37409999999999999</v>
      </c>
      <c r="P580" s="9">
        <v>1.2927</v>
      </c>
      <c r="Q580" s="9">
        <v>19.688099999999999</v>
      </c>
      <c r="R580" s="9"/>
      <c r="S580" s="11"/>
    </row>
    <row r="581" spans="1:19" ht="15.75">
      <c r="A581" s="13">
        <v>59202</v>
      </c>
      <c r="B581" s="8">
        <f>19.0734 * CHOOSE(CONTROL!$C$15, $D$11, 100%, $F$11)</f>
        <v>19.073399999999999</v>
      </c>
      <c r="C581" s="8">
        <f>19.0786 * CHOOSE(CONTROL!$C$15, $D$11, 100%, $F$11)</f>
        <v>19.078600000000002</v>
      </c>
      <c r="D581" s="8">
        <f>19.0651 * CHOOSE( CONTROL!$C$15, $D$11, 100%, $F$11)</f>
        <v>19.065100000000001</v>
      </c>
      <c r="E581" s="12">
        <f>19.0695 * CHOOSE( CONTROL!$C$15, $D$11, 100%, $F$11)</f>
        <v>19.069500000000001</v>
      </c>
      <c r="F581" s="4">
        <f>19.7223 * CHOOSE(CONTROL!$C$15, $D$11, 100%, $F$11)</f>
        <v>19.722300000000001</v>
      </c>
      <c r="G581" s="8">
        <f>18.6169 * CHOOSE( CONTROL!$C$15, $D$11, 100%, $F$11)</f>
        <v>18.616900000000001</v>
      </c>
      <c r="H581" s="4">
        <f>19.4976 * CHOOSE(CONTROL!$C$15, $D$11, 100%, $F$11)</f>
        <v>19.497599999999998</v>
      </c>
      <c r="I581" s="8">
        <f>18.4081 * CHOOSE(CONTROL!$C$15, $D$11, 100%, $F$11)</f>
        <v>18.408100000000001</v>
      </c>
      <c r="J581" s="4">
        <f>18.2852 * CHOOSE(CONTROL!$C$15, $D$11, 100%, $F$11)</f>
        <v>18.2852</v>
      </c>
      <c r="K581" s="4"/>
      <c r="L581" s="9">
        <v>29.306000000000001</v>
      </c>
      <c r="M581" s="9">
        <v>12.063700000000001</v>
      </c>
      <c r="N581" s="9">
        <v>4.9444999999999997</v>
      </c>
      <c r="O581" s="9">
        <v>0.37409999999999999</v>
      </c>
      <c r="P581" s="9">
        <v>1.2927</v>
      </c>
      <c r="Q581" s="9">
        <v>19.688099999999999</v>
      </c>
      <c r="R581" s="9"/>
      <c r="S581" s="11"/>
    </row>
    <row r="582" spans="1:19" ht="15.75">
      <c r="A582" s="13">
        <v>59230</v>
      </c>
      <c r="B582" s="8">
        <f>17.8422 * CHOOSE(CONTROL!$C$15, $D$11, 100%, $F$11)</f>
        <v>17.842199999999998</v>
      </c>
      <c r="C582" s="8">
        <f>17.8474 * CHOOSE(CONTROL!$C$15, $D$11, 100%, $F$11)</f>
        <v>17.8474</v>
      </c>
      <c r="D582" s="8">
        <f>17.8339 * CHOOSE( CONTROL!$C$15, $D$11, 100%, $F$11)</f>
        <v>17.8339</v>
      </c>
      <c r="E582" s="12">
        <f>17.8383 * CHOOSE( CONTROL!$C$15, $D$11, 100%, $F$11)</f>
        <v>17.8383</v>
      </c>
      <c r="F582" s="4">
        <f>18.4911 * CHOOSE(CONTROL!$C$15, $D$11, 100%, $F$11)</f>
        <v>18.491099999999999</v>
      </c>
      <c r="G582" s="8">
        <f>17.4143 * CHOOSE( CONTROL!$C$15, $D$11, 100%, $F$11)</f>
        <v>17.414300000000001</v>
      </c>
      <c r="H582" s="4">
        <f>18.2951 * CHOOSE(CONTROL!$C$15, $D$11, 100%, $F$11)</f>
        <v>18.295100000000001</v>
      </c>
      <c r="I582" s="8">
        <f>17.2254 * CHOOSE(CONTROL!$C$15, $D$11, 100%, $F$11)</f>
        <v>17.2254</v>
      </c>
      <c r="J582" s="4">
        <f>17.1031 * CHOOSE(CONTROL!$C$15, $D$11, 100%, $F$11)</f>
        <v>17.103100000000001</v>
      </c>
      <c r="K582" s="4"/>
      <c r="L582" s="9">
        <v>26.469899999999999</v>
      </c>
      <c r="M582" s="9">
        <v>10.8962</v>
      </c>
      <c r="N582" s="9">
        <v>4.4660000000000002</v>
      </c>
      <c r="O582" s="9">
        <v>0.33789999999999998</v>
      </c>
      <c r="P582" s="9">
        <v>1.1676</v>
      </c>
      <c r="Q582" s="9">
        <v>17.782800000000002</v>
      </c>
      <c r="R582" s="9"/>
      <c r="S582" s="11"/>
    </row>
    <row r="583" spans="1:19" ht="15.75">
      <c r="A583" s="13">
        <v>59261</v>
      </c>
      <c r="B583" s="8">
        <f>17.463 * CHOOSE(CONTROL!$C$15, $D$11, 100%, $F$11)</f>
        <v>17.463000000000001</v>
      </c>
      <c r="C583" s="8">
        <f>17.4682 * CHOOSE(CONTROL!$C$15, $D$11, 100%, $F$11)</f>
        <v>17.4682</v>
      </c>
      <c r="D583" s="8">
        <f>17.4543 * CHOOSE( CONTROL!$C$15, $D$11, 100%, $F$11)</f>
        <v>17.4543</v>
      </c>
      <c r="E583" s="12">
        <f>17.4588 * CHOOSE( CONTROL!$C$15, $D$11, 100%, $F$11)</f>
        <v>17.4588</v>
      </c>
      <c r="F583" s="4">
        <f>18.1119 * CHOOSE(CONTROL!$C$15, $D$11, 100%, $F$11)</f>
        <v>18.111899999999999</v>
      </c>
      <c r="G583" s="8">
        <f>17.0437 * CHOOSE( CONTROL!$C$15, $D$11, 100%, $F$11)</f>
        <v>17.043700000000001</v>
      </c>
      <c r="H583" s="4">
        <f>17.9247 * CHOOSE(CONTROL!$C$15, $D$11, 100%, $F$11)</f>
        <v>17.924700000000001</v>
      </c>
      <c r="I583" s="8">
        <f>16.8601 * CHOOSE(CONTROL!$C$15, $D$11, 100%, $F$11)</f>
        <v>16.860099999999999</v>
      </c>
      <c r="J583" s="4">
        <f>16.739 * CHOOSE(CONTROL!$C$15, $D$11, 100%, $F$11)</f>
        <v>16.739000000000001</v>
      </c>
      <c r="K583" s="4"/>
      <c r="L583" s="9">
        <v>29.306000000000001</v>
      </c>
      <c r="M583" s="9">
        <v>12.063700000000001</v>
      </c>
      <c r="N583" s="9">
        <v>4.9444999999999997</v>
      </c>
      <c r="O583" s="9">
        <v>0.37409999999999999</v>
      </c>
      <c r="P583" s="9">
        <v>1.2927</v>
      </c>
      <c r="Q583" s="9">
        <v>19.688099999999999</v>
      </c>
      <c r="R583" s="9"/>
      <c r="S583" s="11"/>
    </row>
    <row r="584" spans="1:19" ht="15.75">
      <c r="A584" s="13">
        <v>59291</v>
      </c>
      <c r="B584" s="8">
        <f>17.7287 * CHOOSE(CONTROL!$C$15, $D$11, 100%, $F$11)</f>
        <v>17.7287</v>
      </c>
      <c r="C584" s="8">
        <f>17.7333 * CHOOSE(CONTROL!$C$15, $D$11, 100%, $F$11)</f>
        <v>17.7333</v>
      </c>
      <c r="D584" s="8">
        <f>17.7596 * CHOOSE( CONTROL!$C$15, $D$11, 100%, $F$11)</f>
        <v>17.759599999999999</v>
      </c>
      <c r="E584" s="12">
        <f>17.7504 * CHOOSE( CONTROL!$C$15, $D$11, 100%, $F$11)</f>
        <v>17.750399999999999</v>
      </c>
      <c r="F584" s="4">
        <f>18.4279 * CHOOSE(CONTROL!$C$15, $D$11, 100%, $F$11)</f>
        <v>18.427900000000001</v>
      </c>
      <c r="G584" s="8">
        <f>17.3025 * CHOOSE( CONTROL!$C$15, $D$11, 100%, $F$11)</f>
        <v>17.302499999999998</v>
      </c>
      <c r="H584" s="4">
        <f>18.2334 * CHOOSE(CONTROL!$C$15, $D$11, 100%, $F$11)</f>
        <v>18.2334</v>
      </c>
      <c r="I584" s="8">
        <f>17.1065 * CHOOSE(CONTROL!$C$15, $D$11, 100%, $F$11)</f>
        <v>17.1065</v>
      </c>
      <c r="J584" s="4">
        <f>16.9934 * CHOOSE(CONTROL!$C$15, $D$11, 100%, $F$11)</f>
        <v>16.993400000000001</v>
      </c>
      <c r="K584" s="4"/>
      <c r="L584" s="9">
        <v>30.092199999999998</v>
      </c>
      <c r="M584" s="9">
        <v>11.6745</v>
      </c>
      <c r="N584" s="9">
        <v>4.7850000000000001</v>
      </c>
      <c r="O584" s="9">
        <v>0.36199999999999999</v>
      </c>
      <c r="P584" s="9">
        <v>1.1791</v>
      </c>
      <c r="Q584" s="9">
        <v>19.053000000000001</v>
      </c>
      <c r="R584" s="9"/>
      <c r="S584" s="11"/>
    </row>
    <row r="585" spans="1:19" ht="15.75">
      <c r="A585" s="13">
        <v>59322</v>
      </c>
      <c r="B585" s="8">
        <f>CHOOSE( CONTROL!$C$32, 18.2065, 18.2017) * CHOOSE(CONTROL!$C$15, $D$11, 100%, $F$11)</f>
        <v>18.206499999999998</v>
      </c>
      <c r="C585" s="8">
        <f>CHOOSE( CONTROL!$C$32, 18.2146, 18.2098) * CHOOSE(CONTROL!$C$15, $D$11, 100%, $F$11)</f>
        <v>18.214600000000001</v>
      </c>
      <c r="D585" s="8">
        <f>CHOOSE( CONTROL!$C$32, 18.2359, 18.2311) * CHOOSE( CONTROL!$C$15, $D$11, 100%, $F$11)</f>
        <v>18.235900000000001</v>
      </c>
      <c r="E585" s="12">
        <f>CHOOSE( CONTROL!$C$32, 18.2269, 18.2221) * CHOOSE( CONTROL!$C$15, $D$11, 100%, $F$11)</f>
        <v>18.226900000000001</v>
      </c>
      <c r="F585" s="4">
        <f>CHOOSE( CONTROL!$C$32, 18.9044, 18.8995) * CHOOSE(CONTROL!$C$15, $D$11, 100%, $F$11)</f>
        <v>18.904399999999999</v>
      </c>
      <c r="G585" s="8">
        <f>CHOOSE( CONTROL!$C$32, 17.7689, 17.7642) * CHOOSE( CONTROL!$C$15, $D$11, 100%, $F$11)</f>
        <v>17.768899999999999</v>
      </c>
      <c r="H585" s="4">
        <f>CHOOSE( CONTROL!$C$32, 18.6987, 18.694) * CHOOSE(CONTROL!$C$15, $D$11, 100%, $F$11)</f>
        <v>18.698699999999999</v>
      </c>
      <c r="I585" s="8">
        <f>CHOOSE( CONTROL!$C$32, 17.5641, 17.5595) * CHOOSE(CONTROL!$C$15, $D$11, 100%, $F$11)</f>
        <v>17.5641</v>
      </c>
      <c r="J585" s="4">
        <f>CHOOSE( CONTROL!$C$32, 17.4509, 17.4462) * CHOOSE(CONTROL!$C$15, $D$11, 100%, $F$11)</f>
        <v>17.450900000000001</v>
      </c>
      <c r="K585" s="4"/>
      <c r="L585" s="9">
        <v>30.7165</v>
      </c>
      <c r="M585" s="9">
        <v>12.063700000000001</v>
      </c>
      <c r="N585" s="9">
        <v>4.9444999999999997</v>
      </c>
      <c r="O585" s="9">
        <v>0.37409999999999999</v>
      </c>
      <c r="P585" s="9">
        <v>1.2183999999999999</v>
      </c>
      <c r="Q585" s="9">
        <v>19.688099999999999</v>
      </c>
      <c r="R585" s="9"/>
      <c r="S585" s="11"/>
    </row>
    <row r="586" spans="1:19" ht="15.75">
      <c r="A586" s="13">
        <v>59352</v>
      </c>
      <c r="B586" s="8">
        <f>CHOOSE( CONTROL!$C$32, 17.9144, 17.9096) * CHOOSE(CONTROL!$C$15, $D$11, 100%, $F$11)</f>
        <v>17.914400000000001</v>
      </c>
      <c r="C586" s="8">
        <f>CHOOSE( CONTROL!$C$32, 17.9225, 17.9176) * CHOOSE(CONTROL!$C$15, $D$11, 100%, $F$11)</f>
        <v>17.922499999999999</v>
      </c>
      <c r="D586" s="8">
        <f>CHOOSE( CONTROL!$C$32, 17.944, 17.9392) * CHOOSE( CONTROL!$C$15, $D$11, 100%, $F$11)</f>
        <v>17.943999999999999</v>
      </c>
      <c r="E586" s="12">
        <f>CHOOSE( CONTROL!$C$32, 17.935, 17.9302) * CHOOSE( CONTROL!$C$15, $D$11, 100%, $F$11)</f>
        <v>17.934999999999999</v>
      </c>
      <c r="F586" s="4">
        <f>CHOOSE( CONTROL!$C$32, 18.6122, 18.6074) * CHOOSE(CONTROL!$C$15, $D$11, 100%, $F$11)</f>
        <v>18.612200000000001</v>
      </c>
      <c r="G586" s="8">
        <f>CHOOSE( CONTROL!$C$32, 17.4838, 17.4791) * CHOOSE( CONTROL!$C$15, $D$11, 100%, $F$11)</f>
        <v>17.483799999999999</v>
      </c>
      <c r="H586" s="4">
        <f>CHOOSE( CONTROL!$C$32, 18.4134, 18.4087) * CHOOSE(CONTROL!$C$15, $D$11, 100%, $F$11)</f>
        <v>18.413399999999999</v>
      </c>
      <c r="I586" s="8">
        <f>CHOOSE( CONTROL!$C$32, 17.2844, 17.2798) * CHOOSE(CONTROL!$C$15, $D$11, 100%, $F$11)</f>
        <v>17.284400000000002</v>
      </c>
      <c r="J586" s="4">
        <f>CHOOSE( CONTROL!$C$32, 17.1704, 17.1657) * CHOOSE(CONTROL!$C$15, $D$11, 100%, $F$11)</f>
        <v>17.170400000000001</v>
      </c>
      <c r="K586" s="4"/>
      <c r="L586" s="9">
        <v>29.7257</v>
      </c>
      <c r="M586" s="9">
        <v>11.6745</v>
      </c>
      <c r="N586" s="9">
        <v>4.7850000000000001</v>
      </c>
      <c r="O586" s="9">
        <v>0.36199999999999999</v>
      </c>
      <c r="P586" s="9">
        <v>1.1791</v>
      </c>
      <c r="Q586" s="9">
        <v>19.053000000000001</v>
      </c>
      <c r="R586" s="9"/>
      <c r="S586" s="11"/>
    </row>
    <row r="587" spans="1:19" ht="15.75">
      <c r="A587" s="13">
        <v>59383</v>
      </c>
      <c r="B587" s="8">
        <f>CHOOSE( CONTROL!$C$32, 18.6837, 18.6789) * CHOOSE(CONTROL!$C$15, $D$11, 100%, $F$11)</f>
        <v>18.683700000000002</v>
      </c>
      <c r="C587" s="8">
        <f>CHOOSE( CONTROL!$C$32, 18.6918, 18.687) * CHOOSE(CONTROL!$C$15, $D$11, 100%, $F$11)</f>
        <v>18.691800000000001</v>
      </c>
      <c r="D587" s="8">
        <f>CHOOSE( CONTROL!$C$32, 18.7136, 18.7087) * CHOOSE( CONTROL!$C$15, $D$11, 100%, $F$11)</f>
        <v>18.7136</v>
      </c>
      <c r="E587" s="12">
        <f>CHOOSE( CONTROL!$C$32, 18.7045, 18.6996) * CHOOSE( CONTROL!$C$15, $D$11, 100%, $F$11)</f>
        <v>18.704499999999999</v>
      </c>
      <c r="F587" s="4">
        <f>CHOOSE( CONTROL!$C$32, 19.3815, 19.3767) * CHOOSE(CONTROL!$C$15, $D$11, 100%, $F$11)</f>
        <v>19.381499999999999</v>
      </c>
      <c r="G587" s="8">
        <f>CHOOSE( CONTROL!$C$32, 18.2356, 18.2309) * CHOOSE( CONTROL!$C$15, $D$11, 100%, $F$11)</f>
        <v>18.235600000000002</v>
      </c>
      <c r="H587" s="4">
        <f>CHOOSE( CONTROL!$C$32, 19.1648, 19.1601) * CHOOSE(CONTROL!$C$15, $D$11, 100%, $F$11)</f>
        <v>19.1648</v>
      </c>
      <c r="I587" s="8">
        <f>CHOOSE( CONTROL!$C$32, 18.0245, 18.0199) * CHOOSE(CONTROL!$C$15, $D$11, 100%, $F$11)</f>
        <v>18.0245</v>
      </c>
      <c r="J587" s="4">
        <f>CHOOSE( CONTROL!$C$32, 17.909, 17.9044) * CHOOSE(CONTROL!$C$15, $D$11, 100%, $F$11)</f>
        <v>17.908999999999999</v>
      </c>
      <c r="K587" s="4"/>
      <c r="L587" s="9">
        <v>30.7165</v>
      </c>
      <c r="M587" s="9">
        <v>12.063700000000001</v>
      </c>
      <c r="N587" s="9">
        <v>4.9444999999999997</v>
      </c>
      <c r="O587" s="9">
        <v>0.37409999999999999</v>
      </c>
      <c r="P587" s="9">
        <v>1.2183999999999999</v>
      </c>
      <c r="Q587" s="9">
        <v>19.688099999999999</v>
      </c>
      <c r="R587" s="9"/>
      <c r="S587" s="11"/>
    </row>
    <row r="588" spans="1:19" ht="15.75">
      <c r="A588" s="13">
        <v>59414</v>
      </c>
      <c r="B588" s="8">
        <f>CHOOSE( CONTROL!$C$32, 17.2442, 17.2394) * CHOOSE(CONTROL!$C$15, $D$11, 100%, $F$11)</f>
        <v>17.244199999999999</v>
      </c>
      <c r="C588" s="8">
        <f>CHOOSE( CONTROL!$C$32, 17.2523, 17.2475) * CHOOSE(CONTROL!$C$15, $D$11, 100%, $F$11)</f>
        <v>17.252300000000002</v>
      </c>
      <c r="D588" s="8">
        <f>CHOOSE( CONTROL!$C$32, 17.2741, 17.2693) * CHOOSE( CONTROL!$C$15, $D$11, 100%, $F$11)</f>
        <v>17.274100000000001</v>
      </c>
      <c r="E588" s="12">
        <f>CHOOSE( CONTROL!$C$32, 17.265, 17.2602) * CHOOSE( CONTROL!$C$15, $D$11, 100%, $F$11)</f>
        <v>17.265000000000001</v>
      </c>
      <c r="F588" s="4">
        <f>CHOOSE( CONTROL!$C$32, 17.942, 17.9372) * CHOOSE(CONTROL!$C$15, $D$11, 100%, $F$11)</f>
        <v>17.942</v>
      </c>
      <c r="G588" s="8">
        <f>CHOOSE( CONTROL!$C$32, 16.8297, 16.825) * CHOOSE( CONTROL!$C$15, $D$11, 100%, $F$11)</f>
        <v>16.829699999999999</v>
      </c>
      <c r="H588" s="4">
        <f>CHOOSE( CONTROL!$C$32, 17.7588, 17.7541) * CHOOSE(CONTROL!$C$15, $D$11, 100%, $F$11)</f>
        <v>17.758800000000001</v>
      </c>
      <c r="I588" s="8">
        <f>CHOOSE( CONTROL!$C$32, 16.642, 16.6374) * CHOOSE(CONTROL!$C$15, $D$11, 100%, $F$11)</f>
        <v>16.641999999999999</v>
      </c>
      <c r="J588" s="4">
        <f>CHOOSE( CONTROL!$C$32, 16.5269, 16.5223) * CHOOSE(CONTROL!$C$15, $D$11, 100%, $F$11)</f>
        <v>16.526900000000001</v>
      </c>
      <c r="K588" s="4"/>
      <c r="L588" s="9">
        <v>30.7165</v>
      </c>
      <c r="M588" s="9">
        <v>12.063700000000001</v>
      </c>
      <c r="N588" s="9">
        <v>4.9444999999999997</v>
      </c>
      <c r="O588" s="9">
        <v>0.37409999999999999</v>
      </c>
      <c r="P588" s="9">
        <v>1.2183999999999999</v>
      </c>
      <c r="Q588" s="9">
        <v>19.688099999999999</v>
      </c>
      <c r="R588" s="9"/>
      <c r="S588" s="11"/>
    </row>
    <row r="589" spans="1:19" ht="15.75">
      <c r="A589" s="13">
        <v>59444</v>
      </c>
      <c r="B589" s="8">
        <f>CHOOSE( CONTROL!$C$32, 16.8837, 16.8789) * CHOOSE(CONTROL!$C$15, $D$11, 100%, $F$11)</f>
        <v>16.883700000000001</v>
      </c>
      <c r="C589" s="8">
        <f>CHOOSE( CONTROL!$C$32, 16.8918, 16.887) * CHOOSE(CONTROL!$C$15, $D$11, 100%, $F$11)</f>
        <v>16.8918</v>
      </c>
      <c r="D589" s="8">
        <f>CHOOSE( CONTROL!$C$32, 16.9136, 16.9088) * CHOOSE( CONTROL!$C$15, $D$11, 100%, $F$11)</f>
        <v>16.913599999999999</v>
      </c>
      <c r="E589" s="12">
        <f>CHOOSE( CONTROL!$C$32, 16.9045, 16.8997) * CHOOSE( CONTROL!$C$15, $D$11, 100%, $F$11)</f>
        <v>16.904499999999999</v>
      </c>
      <c r="F589" s="4">
        <f>CHOOSE( CONTROL!$C$32, 17.5815, 17.5767) * CHOOSE(CONTROL!$C$15, $D$11, 100%, $F$11)</f>
        <v>17.581499999999998</v>
      </c>
      <c r="G589" s="8">
        <f>CHOOSE( CONTROL!$C$32, 16.4776, 16.4729) * CHOOSE( CONTROL!$C$15, $D$11, 100%, $F$11)</f>
        <v>16.477599999999999</v>
      </c>
      <c r="H589" s="4">
        <f>CHOOSE( CONTROL!$C$32, 17.4067, 17.402) * CHOOSE(CONTROL!$C$15, $D$11, 100%, $F$11)</f>
        <v>17.406700000000001</v>
      </c>
      <c r="I589" s="8">
        <f>CHOOSE( CONTROL!$C$32, 16.2957, 16.2911) * CHOOSE(CONTROL!$C$15, $D$11, 100%, $F$11)</f>
        <v>16.2957</v>
      </c>
      <c r="J589" s="4">
        <f>CHOOSE( CONTROL!$C$32, 16.1809, 16.1762) * CHOOSE(CONTROL!$C$15, $D$11, 100%, $F$11)</f>
        <v>16.180900000000001</v>
      </c>
      <c r="K589" s="4"/>
      <c r="L589" s="9">
        <v>29.7257</v>
      </c>
      <c r="M589" s="9">
        <v>11.6745</v>
      </c>
      <c r="N589" s="9">
        <v>4.7850000000000001</v>
      </c>
      <c r="O589" s="9">
        <v>0.36199999999999999</v>
      </c>
      <c r="P589" s="9">
        <v>1.1791</v>
      </c>
      <c r="Q589" s="9">
        <v>19.053000000000001</v>
      </c>
      <c r="R589" s="9"/>
      <c r="S589" s="11"/>
    </row>
    <row r="590" spans="1:19" ht="15.75">
      <c r="A590" s="13">
        <v>59475</v>
      </c>
      <c r="B590" s="8">
        <f>17.6257 * CHOOSE(CONTROL!$C$15, $D$11, 100%, $F$11)</f>
        <v>17.625699999999998</v>
      </c>
      <c r="C590" s="8">
        <f>17.6311 * CHOOSE(CONTROL!$C$15, $D$11, 100%, $F$11)</f>
        <v>17.6311</v>
      </c>
      <c r="D590" s="8">
        <f>17.6575 * CHOOSE( CONTROL!$C$15, $D$11, 100%, $F$11)</f>
        <v>17.657499999999999</v>
      </c>
      <c r="E590" s="12">
        <f>17.6482 * CHOOSE( CONTROL!$C$15, $D$11, 100%, $F$11)</f>
        <v>17.648199999999999</v>
      </c>
      <c r="F590" s="4">
        <f>18.3252 * CHOOSE(CONTROL!$C$15, $D$11, 100%, $F$11)</f>
        <v>18.325199999999999</v>
      </c>
      <c r="G590" s="8">
        <f>17.2031 * CHOOSE( CONTROL!$C$15, $D$11, 100%, $F$11)</f>
        <v>17.203099999999999</v>
      </c>
      <c r="H590" s="4">
        <f>18.133 * CHOOSE(CONTROL!$C$15, $D$11, 100%, $F$11)</f>
        <v>18.132999999999999</v>
      </c>
      <c r="I590" s="8">
        <f>17.0108 * CHOOSE(CONTROL!$C$15, $D$11, 100%, $F$11)</f>
        <v>17.0108</v>
      </c>
      <c r="J590" s="4">
        <f>16.8948 * CHOOSE(CONTROL!$C$15, $D$11, 100%, $F$11)</f>
        <v>16.8948</v>
      </c>
      <c r="K590" s="4"/>
      <c r="L590" s="9">
        <v>31.095300000000002</v>
      </c>
      <c r="M590" s="9">
        <v>12.063700000000001</v>
      </c>
      <c r="N590" s="9">
        <v>4.9444999999999997</v>
      </c>
      <c r="O590" s="9">
        <v>0.37409999999999999</v>
      </c>
      <c r="P590" s="9">
        <v>1.2183999999999999</v>
      </c>
      <c r="Q590" s="9">
        <v>19.688099999999999</v>
      </c>
      <c r="R590" s="9"/>
      <c r="S590" s="11"/>
    </row>
    <row r="591" spans="1:19" ht="15.75">
      <c r="A591" s="13">
        <v>59505</v>
      </c>
      <c r="B591" s="8">
        <f>19.0068 * CHOOSE(CONTROL!$C$15, $D$11, 100%, $F$11)</f>
        <v>19.006799999999998</v>
      </c>
      <c r="C591" s="8">
        <f>19.012 * CHOOSE(CONTROL!$C$15, $D$11, 100%, $F$11)</f>
        <v>19.012</v>
      </c>
      <c r="D591" s="8">
        <f>19.0012 * CHOOSE( CONTROL!$C$15, $D$11, 100%, $F$11)</f>
        <v>19.001200000000001</v>
      </c>
      <c r="E591" s="12">
        <f>19.0046 * CHOOSE( CONTROL!$C$15, $D$11, 100%, $F$11)</f>
        <v>19.0046</v>
      </c>
      <c r="F591" s="4">
        <f>19.6557 * CHOOSE(CONTROL!$C$15, $D$11, 100%, $F$11)</f>
        <v>19.6557</v>
      </c>
      <c r="G591" s="8">
        <f>18.557 * CHOOSE( CONTROL!$C$15, $D$11, 100%, $F$11)</f>
        <v>18.556999999999999</v>
      </c>
      <c r="H591" s="4">
        <f>19.4325 * CHOOSE(CONTROL!$C$15, $D$11, 100%, $F$11)</f>
        <v>19.432500000000001</v>
      </c>
      <c r="I591" s="8">
        <f>18.3634 * CHOOSE(CONTROL!$C$15, $D$11, 100%, $F$11)</f>
        <v>18.363399999999999</v>
      </c>
      <c r="J591" s="4">
        <f>18.2212 * CHOOSE(CONTROL!$C$15, $D$11, 100%, $F$11)</f>
        <v>18.2212</v>
      </c>
      <c r="K591" s="4"/>
      <c r="L591" s="9">
        <v>28.360600000000002</v>
      </c>
      <c r="M591" s="9">
        <v>11.6745</v>
      </c>
      <c r="N591" s="9">
        <v>4.7850000000000001</v>
      </c>
      <c r="O591" s="9">
        <v>0.36199999999999999</v>
      </c>
      <c r="P591" s="9">
        <v>1.2509999999999999</v>
      </c>
      <c r="Q591" s="9">
        <v>19.053000000000001</v>
      </c>
      <c r="R591" s="9"/>
      <c r="S591" s="11"/>
    </row>
    <row r="592" spans="1:19" ht="15.75">
      <c r="A592" s="13">
        <v>59536</v>
      </c>
      <c r="B592" s="8">
        <f>18.9722 * CHOOSE(CONTROL!$C$15, $D$11, 100%, $F$11)</f>
        <v>18.972200000000001</v>
      </c>
      <c r="C592" s="8">
        <f>18.9774 * CHOOSE(CONTROL!$C$15, $D$11, 100%, $F$11)</f>
        <v>18.977399999999999</v>
      </c>
      <c r="D592" s="8">
        <f>18.968 * CHOOSE( CONTROL!$C$15, $D$11, 100%, $F$11)</f>
        <v>18.968</v>
      </c>
      <c r="E592" s="12">
        <f>18.9709 * CHOOSE( CONTROL!$C$15, $D$11, 100%, $F$11)</f>
        <v>18.9709</v>
      </c>
      <c r="F592" s="4">
        <f>19.6212 * CHOOSE(CONTROL!$C$15, $D$11, 100%, $F$11)</f>
        <v>19.621200000000002</v>
      </c>
      <c r="G592" s="8">
        <f>18.5243 * CHOOSE( CONTROL!$C$15, $D$11, 100%, $F$11)</f>
        <v>18.5243</v>
      </c>
      <c r="H592" s="4">
        <f>19.3988 * CHOOSE(CONTROL!$C$15, $D$11, 100%, $F$11)</f>
        <v>19.398800000000001</v>
      </c>
      <c r="I592" s="8">
        <f>18.3346 * CHOOSE(CONTROL!$C$15, $D$11, 100%, $F$11)</f>
        <v>18.334599999999998</v>
      </c>
      <c r="J592" s="4">
        <f>18.1881 * CHOOSE(CONTROL!$C$15, $D$11, 100%, $F$11)</f>
        <v>18.188099999999999</v>
      </c>
      <c r="K592" s="4"/>
      <c r="L592" s="9">
        <v>29.306000000000001</v>
      </c>
      <c r="M592" s="9">
        <v>12.063700000000001</v>
      </c>
      <c r="N592" s="9">
        <v>4.9444999999999997</v>
      </c>
      <c r="O592" s="9">
        <v>0.37409999999999999</v>
      </c>
      <c r="P592" s="9">
        <v>1.2927</v>
      </c>
      <c r="Q592" s="9">
        <v>19.688099999999999</v>
      </c>
      <c r="R592" s="9"/>
      <c r="S592" s="11"/>
    </row>
    <row r="593" spans="1:19" ht="15.75">
      <c r="A593" s="13">
        <v>59567</v>
      </c>
      <c r="B593" s="8">
        <f>19.6963 * CHOOSE(CONTROL!$C$15, $D$11, 100%, $F$11)</f>
        <v>19.696300000000001</v>
      </c>
      <c r="C593" s="8">
        <f>19.7015 * CHOOSE(CONTROL!$C$15, $D$11, 100%, $F$11)</f>
        <v>19.701499999999999</v>
      </c>
      <c r="D593" s="8">
        <f>19.6879 * CHOOSE( CONTROL!$C$15, $D$11, 100%, $F$11)</f>
        <v>19.687899999999999</v>
      </c>
      <c r="E593" s="12">
        <f>19.6923 * CHOOSE( CONTROL!$C$15, $D$11, 100%, $F$11)</f>
        <v>19.692299999999999</v>
      </c>
      <c r="F593" s="4">
        <f>20.3452 * CHOOSE(CONTROL!$C$15, $D$11, 100%, $F$11)</f>
        <v>20.345199999999998</v>
      </c>
      <c r="G593" s="8">
        <f>19.2252 * CHOOSE( CONTROL!$C$15, $D$11, 100%, $F$11)</f>
        <v>19.225200000000001</v>
      </c>
      <c r="H593" s="4">
        <f>20.106 * CHOOSE(CONTROL!$C$15, $D$11, 100%, $F$11)</f>
        <v>20.106000000000002</v>
      </c>
      <c r="I593" s="8">
        <f>19.0063 * CHOOSE(CONTROL!$C$15, $D$11, 100%, $F$11)</f>
        <v>19.0063</v>
      </c>
      <c r="J593" s="4">
        <f>18.8832 * CHOOSE(CONTROL!$C$15, $D$11, 100%, $F$11)</f>
        <v>18.883199999999999</v>
      </c>
      <c r="K593" s="4"/>
      <c r="L593" s="9">
        <v>29.306000000000001</v>
      </c>
      <c r="M593" s="9">
        <v>12.063700000000001</v>
      </c>
      <c r="N593" s="9">
        <v>4.9444999999999997</v>
      </c>
      <c r="O593" s="9">
        <v>0.37409999999999999</v>
      </c>
      <c r="P593" s="9">
        <v>1.2927</v>
      </c>
      <c r="Q593" s="9">
        <v>19.688099999999999</v>
      </c>
      <c r="R593" s="9"/>
      <c r="S593" s="11"/>
    </row>
    <row r="594" spans="1:19" ht="15.75">
      <c r="A594" s="13">
        <v>59595</v>
      </c>
      <c r="B594" s="8">
        <f>18.4248 * CHOOSE(CONTROL!$C$15, $D$11, 100%, $F$11)</f>
        <v>18.424800000000001</v>
      </c>
      <c r="C594" s="8">
        <f>18.43 * CHOOSE(CONTROL!$C$15, $D$11, 100%, $F$11)</f>
        <v>18.43</v>
      </c>
      <c r="D594" s="8">
        <f>18.4164 * CHOOSE( CONTROL!$C$15, $D$11, 100%, $F$11)</f>
        <v>18.416399999999999</v>
      </c>
      <c r="E594" s="12">
        <f>18.4208 * CHOOSE( CONTROL!$C$15, $D$11, 100%, $F$11)</f>
        <v>18.4208</v>
      </c>
      <c r="F594" s="4">
        <f>19.0737 * CHOOSE(CONTROL!$C$15, $D$11, 100%, $F$11)</f>
        <v>19.073699999999999</v>
      </c>
      <c r="G594" s="8">
        <f>17.9833 * CHOOSE( CONTROL!$C$15, $D$11, 100%, $F$11)</f>
        <v>17.9833</v>
      </c>
      <c r="H594" s="4">
        <f>18.8641 * CHOOSE(CONTROL!$C$15, $D$11, 100%, $F$11)</f>
        <v>18.864100000000001</v>
      </c>
      <c r="I594" s="8">
        <f>17.785 * CHOOSE(CONTROL!$C$15, $D$11, 100%, $F$11)</f>
        <v>17.785</v>
      </c>
      <c r="J594" s="4">
        <f>17.6624 * CHOOSE(CONTROL!$C$15, $D$11, 100%, $F$11)</f>
        <v>17.662400000000002</v>
      </c>
      <c r="K594" s="4"/>
      <c r="L594" s="9">
        <v>26.469899999999999</v>
      </c>
      <c r="M594" s="9">
        <v>10.8962</v>
      </c>
      <c r="N594" s="9">
        <v>4.4660000000000002</v>
      </c>
      <c r="O594" s="9">
        <v>0.33789999999999998</v>
      </c>
      <c r="P594" s="9">
        <v>1.1676</v>
      </c>
      <c r="Q594" s="9">
        <v>17.782800000000002</v>
      </c>
      <c r="R594" s="9"/>
      <c r="S594" s="11"/>
    </row>
    <row r="595" spans="1:19" ht="15.75">
      <c r="A595" s="13">
        <v>59626</v>
      </c>
      <c r="B595" s="8">
        <f>18.0332 * CHOOSE(CONTROL!$C$15, $D$11, 100%, $F$11)</f>
        <v>18.033200000000001</v>
      </c>
      <c r="C595" s="8">
        <f>18.0383 * CHOOSE(CONTROL!$C$15, $D$11, 100%, $F$11)</f>
        <v>18.0383</v>
      </c>
      <c r="D595" s="8">
        <f>18.0245 * CHOOSE( CONTROL!$C$15, $D$11, 100%, $F$11)</f>
        <v>18.0245</v>
      </c>
      <c r="E595" s="12">
        <f>18.029 * CHOOSE( CONTROL!$C$15, $D$11, 100%, $F$11)</f>
        <v>18.029</v>
      </c>
      <c r="F595" s="4">
        <f>18.6821 * CHOOSE(CONTROL!$C$15, $D$11, 100%, $F$11)</f>
        <v>18.682099999999998</v>
      </c>
      <c r="G595" s="8">
        <f>17.6006 * CHOOSE( CONTROL!$C$15, $D$11, 100%, $F$11)</f>
        <v>17.6006</v>
      </c>
      <c r="H595" s="4">
        <f>18.4816 * CHOOSE(CONTROL!$C$15, $D$11, 100%, $F$11)</f>
        <v>18.4816</v>
      </c>
      <c r="I595" s="8">
        <f>17.4078 * CHOOSE(CONTROL!$C$15, $D$11, 100%, $F$11)</f>
        <v>17.407800000000002</v>
      </c>
      <c r="J595" s="4">
        <f>17.2865 * CHOOSE(CONTROL!$C$15, $D$11, 100%, $F$11)</f>
        <v>17.2865</v>
      </c>
      <c r="K595" s="4"/>
      <c r="L595" s="9">
        <v>29.306000000000001</v>
      </c>
      <c r="M595" s="9">
        <v>12.063700000000001</v>
      </c>
      <c r="N595" s="9">
        <v>4.9444999999999997</v>
      </c>
      <c r="O595" s="9">
        <v>0.37409999999999999</v>
      </c>
      <c r="P595" s="9">
        <v>1.2927</v>
      </c>
      <c r="Q595" s="9">
        <v>19.688099999999999</v>
      </c>
      <c r="R595" s="9"/>
      <c r="S595" s="11"/>
    </row>
    <row r="596" spans="1:19" ht="15.75">
      <c r="A596" s="13">
        <v>59656</v>
      </c>
      <c r="B596" s="8">
        <f>18.3076 * CHOOSE(CONTROL!$C$15, $D$11, 100%, $F$11)</f>
        <v>18.307600000000001</v>
      </c>
      <c r="C596" s="8">
        <f>18.3122 * CHOOSE(CONTROL!$C$15, $D$11, 100%, $F$11)</f>
        <v>18.312200000000001</v>
      </c>
      <c r="D596" s="8">
        <f>18.3385 * CHOOSE( CONTROL!$C$15, $D$11, 100%, $F$11)</f>
        <v>18.3385</v>
      </c>
      <c r="E596" s="12">
        <f>18.3293 * CHOOSE( CONTROL!$C$15, $D$11, 100%, $F$11)</f>
        <v>18.3293</v>
      </c>
      <c r="F596" s="4">
        <f>19.0068 * CHOOSE(CONTROL!$C$15, $D$11, 100%, $F$11)</f>
        <v>19.006799999999998</v>
      </c>
      <c r="G596" s="8">
        <f>17.8679 * CHOOSE( CONTROL!$C$15, $D$11, 100%, $F$11)</f>
        <v>17.867899999999999</v>
      </c>
      <c r="H596" s="4">
        <f>18.7987 * CHOOSE(CONTROL!$C$15, $D$11, 100%, $F$11)</f>
        <v>18.7987</v>
      </c>
      <c r="I596" s="8">
        <f>17.6625 * CHOOSE(CONTROL!$C$15, $D$11, 100%, $F$11)</f>
        <v>17.662500000000001</v>
      </c>
      <c r="J596" s="4">
        <f>17.5492 * CHOOSE(CONTROL!$C$15, $D$11, 100%, $F$11)</f>
        <v>17.549199999999999</v>
      </c>
      <c r="K596" s="4"/>
      <c r="L596" s="9">
        <v>30.092199999999998</v>
      </c>
      <c r="M596" s="9">
        <v>11.6745</v>
      </c>
      <c r="N596" s="9">
        <v>4.7850000000000001</v>
      </c>
      <c r="O596" s="9">
        <v>0.36199999999999999</v>
      </c>
      <c r="P596" s="9">
        <v>1.1791</v>
      </c>
      <c r="Q596" s="9">
        <v>19.053000000000001</v>
      </c>
      <c r="R596" s="9"/>
      <c r="S596" s="11"/>
    </row>
    <row r="597" spans="1:19" ht="15.75">
      <c r="A597" s="13">
        <v>59687</v>
      </c>
      <c r="B597" s="8">
        <f>CHOOSE( CONTROL!$C$32, 18.8008, 18.796) * CHOOSE(CONTROL!$C$15, $D$11, 100%, $F$11)</f>
        <v>18.800799999999999</v>
      </c>
      <c r="C597" s="8">
        <f>CHOOSE( CONTROL!$C$32, 18.8089, 18.8041) * CHOOSE(CONTROL!$C$15, $D$11, 100%, $F$11)</f>
        <v>18.808900000000001</v>
      </c>
      <c r="D597" s="8">
        <f>CHOOSE( CONTROL!$C$32, 18.8302, 18.8254) * CHOOSE( CONTROL!$C$15, $D$11, 100%, $F$11)</f>
        <v>18.830200000000001</v>
      </c>
      <c r="E597" s="12">
        <f>CHOOSE( CONTROL!$C$32, 18.8212, 18.8164) * CHOOSE( CONTROL!$C$15, $D$11, 100%, $F$11)</f>
        <v>18.821200000000001</v>
      </c>
      <c r="F597" s="4">
        <f>CHOOSE( CONTROL!$C$32, 19.4986, 19.4938) * CHOOSE(CONTROL!$C$15, $D$11, 100%, $F$11)</f>
        <v>19.4986</v>
      </c>
      <c r="G597" s="8">
        <f>CHOOSE( CONTROL!$C$32, 18.3493, 18.3446) * CHOOSE( CONTROL!$C$15, $D$11, 100%, $F$11)</f>
        <v>18.349299999999999</v>
      </c>
      <c r="H597" s="4">
        <f>CHOOSE( CONTROL!$C$32, 19.2791, 19.2744) * CHOOSE(CONTROL!$C$15, $D$11, 100%, $F$11)</f>
        <v>19.2791</v>
      </c>
      <c r="I597" s="8">
        <f>CHOOSE( CONTROL!$C$32, 18.135, 18.1303) * CHOOSE(CONTROL!$C$15, $D$11, 100%, $F$11)</f>
        <v>18.135000000000002</v>
      </c>
      <c r="J597" s="4">
        <f>CHOOSE( CONTROL!$C$32, 18.0214, 18.0168) * CHOOSE(CONTROL!$C$15, $D$11, 100%, $F$11)</f>
        <v>18.0214</v>
      </c>
      <c r="K597" s="4"/>
      <c r="L597" s="9">
        <v>30.7165</v>
      </c>
      <c r="M597" s="9">
        <v>12.063700000000001</v>
      </c>
      <c r="N597" s="9">
        <v>4.9444999999999997</v>
      </c>
      <c r="O597" s="9">
        <v>0.37409999999999999</v>
      </c>
      <c r="P597" s="9">
        <v>1.2183999999999999</v>
      </c>
      <c r="Q597" s="9">
        <v>19.688099999999999</v>
      </c>
      <c r="R597" s="9"/>
      <c r="S597" s="11"/>
    </row>
    <row r="598" spans="1:19" ht="15.75">
      <c r="A598" s="13">
        <v>59717</v>
      </c>
      <c r="B598" s="8">
        <f>CHOOSE( CONTROL!$C$32, 18.4991, 18.4943) * CHOOSE(CONTROL!$C$15, $D$11, 100%, $F$11)</f>
        <v>18.499099999999999</v>
      </c>
      <c r="C598" s="8">
        <f>CHOOSE( CONTROL!$C$32, 18.5072, 18.5024) * CHOOSE(CONTROL!$C$15, $D$11, 100%, $F$11)</f>
        <v>18.507200000000001</v>
      </c>
      <c r="D598" s="8">
        <f>CHOOSE( CONTROL!$C$32, 18.5287, 18.5239) * CHOOSE( CONTROL!$C$15, $D$11, 100%, $F$11)</f>
        <v>18.528700000000001</v>
      </c>
      <c r="E598" s="12">
        <f>CHOOSE( CONTROL!$C$32, 18.5197, 18.5149) * CHOOSE( CONTROL!$C$15, $D$11, 100%, $F$11)</f>
        <v>18.5197</v>
      </c>
      <c r="F598" s="4">
        <f>CHOOSE( CONTROL!$C$32, 19.1969, 19.1921) * CHOOSE(CONTROL!$C$15, $D$11, 100%, $F$11)</f>
        <v>19.196899999999999</v>
      </c>
      <c r="G598" s="8">
        <f>CHOOSE( CONTROL!$C$32, 18.0549, 18.0502) * CHOOSE( CONTROL!$C$15, $D$11, 100%, $F$11)</f>
        <v>18.0549</v>
      </c>
      <c r="H598" s="4">
        <f>CHOOSE( CONTROL!$C$32, 18.9845, 18.9797) * CHOOSE(CONTROL!$C$15, $D$11, 100%, $F$11)</f>
        <v>18.984500000000001</v>
      </c>
      <c r="I598" s="8">
        <f>CHOOSE( CONTROL!$C$32, 17.8461, 17.8414) * CHOOSE(CONTROL!$C$15, $D$11, 100%, $F$11)</f>
        <v>17.8461</v>
      </c>
      <c r="J598" s="4">
        <f>CHOOSE( CONTROL!$C$32, 17.7318, 17.7271) * CHOOSE(CONTROL!$C$15, $D$11, 100%, $F$11)</f>
        <v>17.7318</v>
      </c>
      <c r="K598" s="4"/>
      <c r="L598" s="9">
        <v>29.7257</v>
      </c>
      <c r="M598" s="9">
        <v>11.6745</v>
      </c>
      <c r="N598" s="9">
        <v>4.7850000000000001</v>
      </c>
      <c r="O598" s="9">
        <v>0.36199999999999999</v>
      </c>
      <c r="P598" s="9">
        <v>1.1791</v>
      </c>
      <c r="Q598" s="9">
        <v>19.053000000000001</v>
      </c>
      <c r="R598" s="9"/>
      <c r="S598" s="11"/>
    </row>
    <row r="599" spans="1:19" ht="15.75">
      <c r="A599" s="13">
        <v>59748</v>
      </c>
      <c r="B599" s="8">
        <f>CHOOSE( CONTROL!$C$32, 19.2936, 19.2888) * CHOOSE(CONTROL!$C$15, $D$11, 100%, $F$11)</f>
        <v>19.293600000000001</v>
      </c>
      <c r="C599" s="8">
        <f>CHOOSE( CONTROL!$C$32, 19.3017, 19.2969) * CHOOSE(CONTROL!$C$15, $D$11, 100%, $F$11)</f>
        <v>19.3017</v>
      </c>
      <c r="D599" s="8">
        <f>CHOOSE( CONTROL!$C$32, 19.3234, 19.3186) * CHOOSE( CONTROL!$C$15, $D$11, 100%, $F$11)</f>
        <v>19.323399999999999</v>
      </c>
      <c r="E599" s="12">
        <f>CHOOSE( CONTROL!$C$32, 19.3143, 19.3095) * CHOOSE( CONTROL!$C$15, $D$11, 100%, $F$11)</f>
        <v>19.314299999999999</v>
      </c>
      <c r="F599" s="4">
        <f>CHOOSE( CONTROL!$C$32, 19.9914, 19.9866) * CHOOSE(CONTROL!$C$15, $D$11, 100%, $F$11)</f>
        <v>19.991399999999999</v>
      </c>
      <c r="G599" s="8">
        <f>CHOOSE( CONTROL!$C$32, 18.8313, 18.8265) * CHOOSE( CONTROL!$C$15, $D$11, 100%, $F$11)</f>
        <v>18.831299999999999</v>
      </c>
      <c r="H599" s="4">
        <f>CHOOSE( CONTROL!$C$32, 19.7605, 19.7557) * CHOOSE(CONTROL!$C$15, $D$11, 100%, $F$11)</f>
        <v>19.7605</v>
      </c>
      <c r="I599" s="8">
        <f>CHOOSE( CONTROL!$C$32, 18.6104, 18.6057) * CHOOSE(CONTROL!$C$15, $D$11, 100%, $F$11)</f>
        <v>18.610399999999998</v>
      </c>
      <c r="J599" s="4">
        <f>CHOOSE( CONTROL!$C$32, 18.4946, 18.4899) * CHOOSE(CONTROL!$C$15, $D$11, 100%, $F$11)</f>
        <v>18.494599999999998</v>
      </c>
      <c r="K599" s="4"/>
      <c r="L599" s="9">
        <v>30.7165</v>
      </c>
      <c r="M599" s="9">
        <v>12.063700000000001</v>
      </c>
      <c r="N599" s="9">
        <v>4.9444999999999997</v>
      </c>
      <c r="O599" s="9">
        <v>0.37409999999999999</v>
      </c>
      <c r="P599" s="9">
        <v>1.2183999999999999</v>
      </c>
      <c r="Q599" s="9">
        <v>19.688099999999999</v>
      </c>
      <c r="R599" s="9"/>
      <c r="S599" s="11"/>
    </row>
    <row r="600" spans="1:19" ht="15.75">
      <c r="A600" s="13">
        <v>59779</v>
      </c>
      <c r="B600" s="8">
        <f>CHOOSE( CONTROL!$C$32, 17.807, 17.8022) * CHOOSE(CONTROL!$C$15, $D$11, 100%, $F$11)</f>
        <v>17.806999999999999</v>
      </c>
      <c r="C600" s="8">
        <f>CHOOSE( CONTROL!$C$32, 17.8151, 17.8103) * CHOOSE(CONTROL!$C$15, $D$11, 100%, $F$11)</f>
        <v>17.815100000000001</v>
      </c>
      <c r="D600" s="8">
        <f>CHOOSE( CONTROL!$C$32, 17.8369, 17.8321) * CHOOSE( CONTROL!$C$15, $D$11, 100%, $F$11)</f>
        <v>17.8369</v>
      </c>
      <c r="E600" s="12">
        <f>CHOOSE( CONTROL!$C$32, 17.8278, 17.823) * CHOOSE( CONTROL!$C$15, $D$11, 100%, $F$11)</f>
        <v>17.8278</v>
      </c>
      <c r="F600" s="4">
        <f>CHOOSE( CONTROL!$C$32, 18.5048, 18.5) * CHOOSE(CONTROL!$C$15, $D$11, 100%, $F$11)</f>
        <v>18.504799999999999</v>
      </c>
      <c r="G600" s="8">
        <f>CHOOSE( CONTROL!$C$32, 17.3794, 17.3747) * CHOOSE( CONTROL!$C$15, $D$11, 100%, $F$11)</f>
        <v>17.3794</v>
      </c>
      <c r="H600" s="4">
        <f>CHOOSE( CONTROL!$C$32, 18.3085, 18.3038) * CHOOSE(CONTROL!$C$15, $D$11, 100%, $F$11)</f>
        <v>18.308499999999999</v>
      </c>
      <c r="I600" s="8">
        <f>CHOOSE( CONTROL!$C$32, 17.1827, 17.178) * CHOOSE(CONTROL!$C$15, $D$11, 100%, $F$11)</f>
        <v>17.182700000000001</v>
      </c>
      <c r="J600" s="4">
        <f>CHOOSE( CONTROL!$C$32, 17.0673, 17.0626) * CHOOSE(CONTROL!$C$15, $D$11, 100%, $F$11)</f>
        <v>17.067299999999999</v>
      </c>
      <c r="K600" s="4"/>
      <c r="L600" s="9">
        <v>30.7165</v>
      </c>
      <c r="M600" s="9">
        <v>12.063700000000001</v>
      </c>
      <c r="N600" s="9">
        <v>4.9444999999999997</v>
      </c>
      <c r="O600" s="9">
        <v>0.37409999999999999</v>
      </c>
      <c r="P600" s="9">
        <v>1.2183999999999999</v>
      </c>
      <c r="Q600" s="9">
        <v>19.688099999999999</v>
      </c>
      <c r="R600" s="9"/>
      <c r="S600" s="11"/>
    </row>
    <row r="601" spans="1:19" ht="15.75">
      <c r="A601" s="13">
        <v>59809</v>
      </c>
      <c r="B601" s="8">
        <f>CHOOSE( CONTROL!$C$32, 17.4347, 17.4299) * CHOOSE(CONTROL!$C$15, $D$11, 100%, $F$11)</f>
        <v>17.434699999999999</v>
      </c>
      <c r="C601" s="8">
        <f>CHOOSE( CONTROL!$C$32, 17.4428, 17.438) * CHOOSE(CONTROL!$C$15, $D$11, 100%, $F$11)</f>
        <v>17.442799999999998</v>
      </c>
      <c r="D601" s="8">
        <f>CHOOSE( CONTROL!$C$32, 17.4646, 17.4598) * CHOOSE( CONTROL!$C$15, $D$11, 100%, $F$11)</f>
        <v>17.464600000000001</v>
      </c>
      <c r="E601" s="12">
        <f>CHOOSE( CONTROL!$C$32, 17.4555, 17.4507) * CHOOSE( CONTROL!$C$15, $D$11, 100%, $F$11)</f>
        <v>17.455500000000001</v>
      </c>
      <c r="F601" s="4">
        <f>CHOOSE( CONTROL!$C$32, 18.1326, 18.1277) * CHOOSE(CONTROL!$C$15, $D$11, 100%, $F$11)</f>
        <v>18.1326</v>
      </c>
      <c r="G601" s="8">
        <f>CHOOSE( CONTROL!$C$32, 17.0158, 17.011) * CHOOSE( CONTROL!$C$15, $D$11, 100%, $F$11)</f>
        <v>17.015799999999999</v>
      </c>
      <c r="H601" s="4">
        <f>CHOOSE( CONTROL!$C$32, 17.9449, 17.9402) * CHOOSE(CONTROL!$C$15, $D$11, 100%, $F$11)</f>
        <v>17.944900000000001</v>
      </c>
      <c r="I601" s="8">
        <f>CHOOSE( CONTROL!$C$32, 16.825, 16.8203) * CHOOSE(CONTROL!$C$15, $D$11, 100%, $F$11)</f>
        <v>16.824999999999999</v>
      </c>
      <c r="J601" s="4">
        <f>CHOOSE( CONTROL!$C$32, 16.7099, 16.7052) * CHOOSE(CONTROL!$C$15, $D$11, 100%, $F$11)</f>
        <v>16.709900000000001</v>
      </c>
      <c r="K601" s="4"/>
      <c r="L601" s="9">
        <v>29.7257</v>
      </c>
      <c r="M601" s="9">
        <v>11.6745</v>
      </c>
      <c r="N601" s="9">
        <v>4.7850000000000001</v>
      </c>
      <c r="O601" s="9">
        <v>0.36199999999999999</v>
      </c>
      <c r="P601" s="9">
        <v>1.1791</v>
      </c>
      <c r="Q601" s="9">
        <v>19.053000000000001</v>
      </c>
      <c r="R601" s="9"/>
      <c r="S601" s="11"/>
    </row>
    <row r="602" spans="1:19" ht="15.75">
      <c r="A602" s="13">
        <v>59840</v>
      </c>
      <c r="B602" s="8">
        <f>18.2011 * CHOOSE(CONTROL!$C$15, $D$11, 100%, $F$11)</f>
        <v>18.2011</v>
      </c>
      <c r="C602" s="8">
        <f>18.2066 * CHOOSE(CONTROL!$C$15, $D$11, 100%, $F$11)</f>
        <v>18.206600000000002</v>
      </c>
      <c r="D602" s="8">
        <f>18.233 * CHOOSE( CONTROL!$C$15, $D$11, 100%, $F$11)</f>
        <v>18.233000000000001</v>
      </c>
      <c r="E602" s="12">
        <f>18.2237 * CHOOSE( CONTROL!$C$15, $D$11, 100%, $F$11)</f>
        <v>18.223700000000001</v>
      </c>
      <c r="F602" s="4">
        <f>18.9007 * CHOOSE(CONTROL!$C$15, $D$11, 100%, $F$11)</f>
        <v>18.900700000000001</v>
      </c>
      <c r="G602" s="8">
        <f>17.7652 * CHOOSE( CONTROL!$C$15, $D$11, 100%, $F$11)</f>
        <v>17.7652</v>
      </c>
      <c r="H602" s="4">
        <f>18.6951 * CHOOSE(CONTROL!$C$15, $D$11, 100%, $F$11)</f>
        <v>18.6951</v>
      </c>
      <c r="I602" s="8">
        <f>17.5636 * CHOOSE(CONTROL!$C$15, $D$11, 100%, $F$11)</f>
        <v>17.563600000000001</v>
      </c>
      <c r="J602" s="4">
        <f>17.4473 * CHOOSE(CONTROL!$C$15, $D$11, 100%, $F$11)</f>
        <v>17.447299999999998</v>
      </c>
      <c r="K602" s="4"/>
      <c r="L602" s="9">
        <v>31.095300000000002</v>
      </c>
      <c r="M602" s="9">
        <v>12.063700000000001</v>
      </c>
      <c r="N602" s="9">
        <v>4.9444999999999997</v>
      </c>
      <c r="O602" s="9">
        <v>0.37409999999999999</v>
      </c>
      <c r="P602" s="9">
        <v>1.2183999999999999</v>
      </c>
      <c r="Q602" s="9">
        <v>19.688099999999999</v>
      </c>
      <c r="R602" s="9"/>
      <c r="S602" s="11"/>
    </row>
    <row r="603" spans="1:19" ht="15.75">
      <c r="A603" s="13">
        <v>59870</v>
      </c>
      <c r="B603" s="8">
        <f>19.6274 * CHOOSE(CONTROL!$C$15, $D$11, 100%, $F$11)</f>
        <v>19.627400000000002</v>
      </c>
      <c r="C603" s="8">
        <f>19.6326 * CHOOSE(CONTROL!$C$15, $D$11, 100%, $F$11)</f>
        <v>19.6326</v>
      </c>
      <c r="D603" s="8">
        <f>19.6219 * CHOOSE( CONTROL!$C$15, $D$11, 100%, $F$11)</f>
        <v>19.6219</v>
      </c>
      <c r="E603" s="12">
        <f>19.6253 * CHOOSE( CONTROL!$C$15, $D$11, 100%, $F$11)</f>
        <v>19.625299999999999</v>
      </c>
      <c r="F603" s="4">
        <f>20.2763 * CHOOSE(CONTROL!$C$15, $D$11, 100%, $F$11)</f>
        <v>20.276299999999999</v>
      </c>
      <c r="G603" s="8">
        <f>19.1632 * CHOOSE( CONTROL!$C$15, $D$11, 100%, $F$11)</f>
        <v>19.1632</v>
      </c>
      <c r="H603" s="4">
        <f>20.0387 * CHOOSE(CONTROL!$C$15, $D$11, 100%, $F$11)</f>
        <v>20.038699999999999</v>
      </c>
      <c r="I603" s="8">
        <f>18.9596 * CHOOSE(CONTROL!$C$15, $D$11, 100%, $F$11)</f>
        <v>18.959599999999998</v>
      </c>
      <c r="J603" s="4">
        <f>18.8171 * CHOOSE(CONTROL!$C$15, $D$11, 100%, $F$11)</f>
        <v>18.8171</v>
      </c>
      <c r="K603" s="4"/>
      <c r="L603" s="9">
        <v>28.360600000000002</v>
      </c>
      <c r="M603" s="9">
        <v>11.6745</v>
      </c>
      <c r="N603" s="9">
        <v>4.7850000000000001</v>
      </c>
      <c r="O603" s="9">
        <v>0.36199999999999999</v>
      </c>
      <c r="P603" s="9">
        <v>1.2509999999999999</v>
      </c>
      <c r="Q603" s="9">
        <v>19.053000000000001</v>
      </c>
      <c r="R603" s="9"/>
      <c r="S603" s="11"/>
    </row>
    <row r="604" spans="1:19" ht="15.75">
      <c r="A604" s="13">
        <v>59901</v>
      </c>
      <c r="B604" s="8">
        <f>19.5918 * CHOOSE(CONTROL!$C$15, $D$11, 100%, $F$11)</f>
        <v>19.591799999999999</v>
      </c>
      <c r="C604" s="8">
        <f>19.597 * CHOOSE(CONTROL!$C$15, $D$11, 100%, $F$11)</f>
        <v>19.597000000000001</v>
      </c>
      <c r="D604" s="8">
        <f>19.5876 * CHOOSE( CONTROL!$C$15, $D$11, 100%, $F$11)</f>
        <v>19.587599999999998</v>
      </c>
      <c r="E604" s="12">
        <f>19.5905 * CHOOSE( CONTROL!$C$15, $D$11, 100%, $F$11)</f>
        <v>19.590499999999999</v>
      </c>
      <c r="F604" s="4">
        <f>20.2407 * CHOOSE(CONTROL!$C$15, $D$11, 100%, $F$11)</f>
        <v>20.2407</v>
      </c>
      <c r="G604" s="8">
        <f>19.1294 * CHOOSE( CONTROL!$C$15, $D$11, 100%, $F$11)</f>
        <v>19.1294</v>
      </c>
      <c r="H604" s="4">
        <f>20.0039 * CHOOSE(CONTROL!$C$15, $D$11, 100%, $F$11)</f>
        <v>20.003900000000002</v>
      </c>
      <c r="I604" s="8">
        <f>18.9297 * CHOOSE(CONTROL!$C$15, $D$11, 100%, $F$11)</f>
        <v>18.9297</v>
      </c>
      <c r="J604" s="4">
        <f>18.7829 * CHOOSE(CONTROL!$C$15, $D$11, 100%, $F$11)</f>
        <v>18.782900000000001</v>
      </c>
      <c r="K604" s="4"/>
      <c r="L604" s="9">
        <v>29.306000000000001</v>
      </c>
      <c r="M604" s="9">
        <v>12.063700000000001</v>
      </c>
      <c r="N604" s="9">
        <v>4.9444999999999997</v>
      </c>
      <c r="O604" s="9">
        <v>0.37409999999999999</v>
      </c>
      <c r="P604" s="9">
        <v>1.2927</v>
      </c>
      <c r="Q604" s="9">
        <v>19.688099999999999</v>
      </c>
      <c r="R604" s="9"/>
      <c r="S604" s="11"/>
    </row>
    <row r="605" spans="1:19" ht="15.75">
      <c r="A605" s="13">
        <v>59932</v>
      </c>
      <c r="B605" s="8">
        <f>20.3395 * CHOOSE(CONTROL!$C$15, $D$11, 100%, $F$11)</f>
        <v>20.339500000000001</v>
      </c>
      <c r="C605" s="8">
        <f>20.3447 * CHOOSE(CONTROL!$C$15, $D$11, 100%, $F$11)</f>
        <v>20.3447</v>
      </c>
      <c r="D605" s="8">
        <f>20.3312 * CHOOSE( CONTROL!$C$15, $D$11, 100%, $F$11)</f>
        <v>20.331199999999999</v>
      </c>
      <c r="E605" s="12">
        <f>20.3356 * CHOOSE( CONTROL!$C$15, $D$11, 100%, $F$11)</f>
        <v>20.335599999999999</v>
      </c>
      <c r="F605" s="4">
        <f>20.9884 * CHOOSE(CONTROL!$C$15, $D$11, 100%, $F$11)</f>
        <v>20.988399999999999</v>
      </c>
      <c r="G605" s="8">
        <f>19.8534 * CHOOSE( CONTROL!$C$15, $D$11, 100%, $F$11)</f>
        <v>19.853400000000001</v>
      </c>
      <c r="H605" s="4">
        <f>20.7342 * CHOOSE(CONTROL!$C$15, $D$11, 100%, $F$11)</f>
        <v>20.734200000000001</v>
      </c>
      <c r="I605" s="8">
        <f>19.6242 * CHOOSE(CONTROL!$C$15, $D$11, 100%, $F$11)</f>
        <v>19.624199999999998</v>
      </c>
      <c r="J605" s="4">
        <f>19.5008 * CHOOSE(CONTROL!$C$15, $D$11, 100%, $F$11)</f>
        <v>19.500800000000002</v>
      </c>
      <c r="K605" s="4"/>
      <c r="L605" s="9">
        <v>29.306000000000001</v>
      </c>
      <c r="M605" s="9">
        <v>12.063700000000001</v>
      </c>
      <c r="N605" s="9">
        <v>4.9444999999999997</v>
      </c>
      <c r="O605" s="9">
        <v>0.37409999999999999</v>
      </c>
      <c r="P605" s="9">
        <v>1.2927</v>
      </c>
      <c r="Q605" s="9">
        <v>19.688099999999999</v>
      </c>
      <c r="R605" s="9"/>
      <c r="S605" s="11"/>
    </row>
    <row r="606" spans="1:19" ht="15.75">
      <c r="A606" s="13">
        <v>59961</v>
      </c>
      <c r="B606" s="8">
        <f>19.0264 * CHOOSE(CONTROL!$C$15, $D$11, 100%, $F$11)</f>
        <v>19.026399999999999</v>
      </c>
      <c r="C606" s="8">
        <f>19.0316 * CHOOSE(CONTROL!$C$15, $D$11, 100%, $F$11)</f>
        <v>19.031600000000001</v>
      </c>
      <c r="D606" s="8">
        <f>19.0181 * CHOOSE( CONTROL!$C$15, $D$11, 100%, $F$11)</f>
        <v>19.0181</v>
      </c>
      <c r="E606" s="12">
        <f>19.0225 * CHOOSE( CONTROL!$C$15, $D$11, 100%, $F$11)</f>
        <v>19.022500000000001</v>
      </c>
      <c r="F606" s="4">
        <f>19.6753 * CHOOSE(CONTROL!$C$15, $D$11, 100%, $F$11)</f>
        <v>19.6753</v>
      </c>
      <c r="G606" s="8">
        <f>18.5709 * CHOOSE( CONTROL!$C$15, $D$11, 100%, $F$11)</f>
        <v>18.570900000000002</v>
      </c>
      <c r="H606" s="4">
        <f>19.4517 * CHOOSE(CONTROL!$C$15, $D$11, 100%, $F$11)</f>
        <v>19.451699999999999</v>
      </c>
      <c r="I606" s="8">
        <f>18.3629 * CHOOSE(CONTROL!$C$15, $D$11, 100%, $F$11)</f>
        <v>18.3629</v>
      </c>
      <c r="J606" s="4">
        <f>18.2401 * CHOOSE(CONTROL!$C$15, $D$11, 100%, $F$11)</f>
        <v>18.240100000000002</v>
      </c>
      <c r="K606" s="4"/>
      <c r="L606" s="9">
        <v>27.415299999999998</v>
      </c>
      <c r="M606" s="9">
        <v>11.285299999999999</v>
      </c>
      <c r="N606" s="9">
        <v>4.6254999999999997</v>
      </c>
      <c r="O606" s="9">
        <v>0.34989999999999999</v>
      </c>
      <c r="P606" s="9">
        <v>1.2093</v>
      </c>
      <c r="Q606" s="9">
        <v>18.417899999999999</v>
      </c>
      <c r="R606" s="9"/>
      <c r="S606" s="11"/>
    </row>
    <row r="607" spans="1:19" ht="15.75">
      <c r="A607" s="13">
        <v>59992</v>
      </c>
      <c r="B607" s="8">
        <f>18.622 * CHOOSE(CONTROL!$C$15, $D$11, 100%, $F$11)</f>
        <v>18.622</v>
      </c>
      <c r="C607" s="8">
        <f>18.6272 * CHOOSE(CONTROL!$C$15, $D$11, 100%, $F$11)</f>
        <v>18.627199999999998</v>
      </c>
      <c r="D607" s="8">
        <f>18.6133 * CHOOSE( CONTROL!$C$15, $D$11, 100%, $F$11)</f>
        <v>18.613299999999999</v>
      </c>
      <c r="E607" s="12">
        <f>18.6178 * CHOOSE( CONTROL!$C$15, $D$11, 100%, $F$11)</f>
        <v>18.617799999999999</v>
      </c>
      <c r="F607" s="4">
        <f>19.2709 * CHOOSE(CONTROL!$C$15, $D$11, 100%, $F$11)</f>
        <v>19.270900000000001</v>
      </c>
      <c r="G607" s="8">
        <f>18.1757 * CHOOSE( CONTROL!$C$15, $D$11, 100%, $F$11)</f>
        <v>18.175699999999999</v>
      </c>
      <c r="H607" s="4">
        <f>19.0567 * CHOOSE(CONTROL!$C$15, $D$11, 100%, $F$11)</f>
        <v>19.056699999999999</v>
      </c>
      <c r="I607" s="8">
        <f>17.9734 * CHOOSE(CONTROL!$C$15, $D$11, 100%, $F$11)</f>
        <v>17.973400000000002</v>
      </c>
      <c r="J607" s="4">
        <f>17.8518 * CHOOSE(CONTROL!$C$15, $D$11, 100%, $F$11)</f>
        <v>17.851800000000001</v>
      </c>
      <c r="K607" s="4"/>
      <c r="L607" s="9">
        <v>29.306000000000001</v>
      </c>
      <c r="M607" s="9">
        <v>12.063700000000001</v>
      </c>
      <c r="N607" s="9">
        <v>4.9444999999999997</v>
      </c>
      <c r="O607" s="9">
        <v>0.37409999999999999</v>
      </c>
      <c r="P607" s="9">
        <v>1.2927</v>
      </c>
      <c r="Q607" s="9">
        <v>19.688099999999999</v>
      </c>
      <c r="R607" s="9"/>
      <c r="S607" s="11"/>
    </row>
    <row r="608" spans="1:19" ht="15.75">
      <c r="A608" s="13">
        <v>60022</v>
      </c>
      <c r="B608" s="8">
        <f>18.9054 * CHOOSE(CONTROL!$C$15, $D$11, 100%, $F$11)</f>
        <v>18.9054</v>
      </c>
      <c r="C608" s="8">
        <f>18.91 * CHOOSE(CONTROL!$C$15, $D$11, 100%, $F$11)</f>
        <v>18.91</v>
      </c>
      <c r="D608" s="8">
        <f>18.9363 * CHOOSE( CONTROL!$C$15, $D$11, 100%, $F$11)</f>
        <v>18.936299999999999</v>
      </c>
      <c r="E608" s="12">
        <f>18.9271 * CHOOSE( CONTROL!$C$15, $D$11, 100%, $F$11)</f>
        <v>18.927099999999999</v>
      </c>
      <c r="F608" s="4">
        <f>19.6045 * CHOOSE(CONTROL!$C$15, $D$11, 100%, $F$11)</f>
        <v>19.604500000000002</v>
      </c>
      <c r="G608" s="8">
        <f>18.4518 * CHOOSE( CONTROL!$C$15, $D$11, 100%, $F$11)</f>
        <v>18.451799999999999</v>
      </c>
      <c r="H608" s="4">
        <f>19.3826 * CHOOSE(CONTROL!$C$15, $D$11, 100%, $F$11)</f>
        <v>19.3826</v>
      </c>
      <c r="I608" s="8">
        <f>18.2367 * CHOOSE(CONTROL!$C$15, $D$11, 100%, $F$11)</f>
        <v>18.236699999999999</v>
      </c>
      <c r="J608" s="4">
        <f>18.1231 * CHOOSE(CONTROL!$C$15, $D$11, 100%, $F$11)</f>
        <v>18.123100000000001</v>
      </c>
      <c r="K608" s="4"/>
      <c r="L608" s="9">
        <v>30.092199999999998</v>
      </c>
      <c r="M608" s="9">
        <v>11.6745</v>
      </c>
      <c r="N608" s="9">
        <v>4.7850000000000001</v>
      </c>
      <c r="O608" s="9">
        <v>0.36199999999999999</v>
      </c>
      <c r="P608" s="9">
        <v>1.1791</v>
      </c>
      <c r="Q608" s="9">
        <v>19.053000000000001</v>
      </c>
      <c r="R608" s="9"/>
      <c r="S608" s="11"/>
    </row>
    <row r="609" spans="1:19" ht="15.75">
      <c r="A609" s="13">
        <v>60053</v>
      </c>
      <c r="B609" s="8">
        <f>CHOOSE( CONTROL!$C$32, 19.4145, 19.4097) * CHOOSE(CONTROL!$C$15, $D$11, 100%, $F$11)</f>
        <v>19.4145</v>
      </c>
      <c r="C609" s="8">
        <f>CHOOSE( CONTROL!$C$32, 19.4226, 19.4178) * CHOOSE(CONTROL!$C$15, $D$11, 100%, $F$11)</f>
        <v>19.422599999999999</v>
      </c>
      <c r="D609" s="8">
        <f>CHOOSE( CONTROL!$C$32, 19.4439, 19.4391) * CHOOSE( CONTROL!$C$15, $D$11, 100%, $F$11)</f>
        <v>19.443899999999999</v>
      </c>
      <c r="E609" s="12">
        <f>CHOOSE( CONTROL!$C$32, 19.4349, 19.4301) * CHOOSE( CONTROL!$C$15, $D$11, 100%, $F$11)</f>
        <v>19.434899999999999</v>
      </c>
      <c r="F609" s="4">
        <f>CHOOSE( CONTROL!$C$32, 20.1123, 20.1075) * CHOOSE(CONTROL!$C$15, $D$11, 100%, $F$11)</f>
        <v>20.112300000000001</v>
      </c>
      <c r="G609" s="8">
        <f>CHOOSE( CONTROL!$C$32, 18.9487, 18.944) * CHOOSE( CONTROL!$C$15, $D$11, 100%, $F$11)</f>
        <v>18.948699999999999</v>
      </c>
      <c r="H609" s="4">
        <f>CHOOSE( CONTROL!$C$32, 19.8786, 19.8738) * CHOOSE(CONTROL!$C$15, $D$11, 100%, $F$11)</f>
        <v>19.878599999999999</v>
      </c>
      <c r="I609" s="8">
        <f>CHOOSE( CONTROL!$C$32, 18.7245, 18.7198) * CHOOSE(CONTROL!$C$15, $D$11, 100%, $F$11)</f>
        <v>18.724499999999999</v>
      </c>
      <c r="J609" s="4">
        <f>CHOOSE( CONTROL!$C$32, 18.6107, 18.606) * CHOOSE(CONTROL!$C$15, $D$11, 100%, $F$11)</f>
        <v>18.610700000000001</v>
      </c>
      <c r="K609" s="4"/>
      <c r="L609" s="9">
        <v>30.7165</v>
      </c>
      <c r="M609" s="9">
        <v>12.063700000000001</v>
      </c>
      <c r="N609" s="9">
        <v>4.9444999999999997</v>
      </c>
      <c r="O609" s="9">
        <v>0.37409999999999999</v>
      </c>
      <c r="P609" s="9">
        <v>1.2183999999999999</v>
      </c>
      <c r="Q609" s="9">
        <v>19.688099999999999</v>
      </c>
      <c r="R609" s="9"/>
      <c r="S609" s="11"/>
    </row>
    <row r="610" spans="1:19" ht="15.75">
      <c r="A610" s="13">
        <v>60083</v>
      </c>
      <c r="B610" s="8">
        <f>CHOOSE( CONTROL!$C$32, 19.1029, 19.0981) * CHOOSE(CONTROL!$C$15, $D$11, 100%, $F$11)</f>
        <v>19.102900000000002</v>
      </c>
      <c r="C610" s="8">
        <f>CHOOSE( CONTROL!$C$32, 19.111, 19.1062) * CHOOSE(CONTROL!$C$15, $D$11, 100%, $F$11)</f>
        <v>19.111000000000001</v>
      </c>
      <c r="D610" s="8">
        <f>CHOOSE( CONTROL!$C$32, 19.1325, 19.1277) * CHOOSE( CONTROL!$C$15, $D$11, 100%, $F$11)</f>
        <v>19.1325</v>
      </c>
      <c r="E610" s="12">
        <f>CHOOSE( CONTROL!$C$32, 19.1235, 19.1187) * CHOOSE( CONTROL!$C$15, $D$11, 100%, $F$11)</f>
        <v>19.1235</v>
      </c>
      <c r="F610" s="4">
        <f>CHOOSE( CONTROL!$C$32, 19.8008, 19.7959) * CHOOSE(CONTROL!$C$15, $D$11, 100%, $F$11)</f>
        <v>19.800799999999999</v>
      </c>
      <c r="G610" s="8">
        <f>CHOOSE( CONTROL!$C$32, 18.6447, 18.64) * CHOOSE( CONTROL!$C$15, $D$11, 100%, $F$11)</f>
        <v>18.6447</v>
      </c>
      <c r="H610" s="4">
        <f>CHOOSE( CONTROL!$C$32, 19.5742, 19.5695) * CHOOSE(CONTROL!$C$15, $D$11, 100%, $F$11)</f>
        <v>19.574200000000001</v>
      </c>
      <c r="I610" s="8">
        <f>CHOOSE( CONTROL!$C$32, 18.4261, 18.4215) * CHOOSE(CONTROL!$C$15, $D$11, 100%, $F$11)</f>
        <v>18.426100000000002</v>
      </c>
      <c r="J610" s="4">
        <f>CHOOSE( CONTROL!$C$32, 18.3115, 18.3069) * CHOOSE(CONTROL!$C$15, $D$11, 100%, $F$11)</f>
        <v>18.311499999999999</v>
      </c>
      <c r="K610" s="4"/>
      <c r="L610" s="9">
        <v>29.7257</v>
      </c>
      <c r="M610" s="9">
        <v>11.6745</v>
      </c>
      <c r="N610" s="9">
        <v>4.7850000000000001</v>
      </c>
      <c r="O610" s="9">
        <v>0.36199999999999999</v>
      </c>
      <c r="P610" s="9">
        <v>1.1791</v>
      </c>
      <c r="Q610" s="9">
        <v>19.053000000000001</v>
      </c>
      <c r="R610" s="9"/>
      <c r="S610" s="11"/>
    </row>
    <row r="611" spans="1:19" ht="15.75">
      <c r="A611" s="13">
        <v>60114</v>
      </c>
      <c r="B611" s="8">
        <f>CHOOSE( CONTROL!$C$32, 19.9234, 19.9186) * CHOOSE(CONTROL!$C$15, $D$11, 100%, $F$11)</f>
        <v>19.923400000000001</v>
      </c>
      <c r="C611" s="8">
        <f>CHOOSE( CONTROL!$C$32, 19.9315, 19.9267) * CHOOSE(CONTROL!$C$15, $D$11, 100%, $F$11)</f>
        <v>19.9315</v>
      </c>
      <c r="D611" s="8">
        <f>CHOOSE( CONTROL!$C$32, 19.9533, 19.9484) * CHOOSE( CONTROL!$C$15, $D$11, 100%, $F$11)</f>
        <v>19.953299999999999</v>
      </c>
      <c r="E611" s="12">
        <f>CHOOSE( CONTROL!$C$32, 19.9442, 19.9393) * CHOOSE( CONTROL!$C$15, $D$11, 100%, $F$11)</f>
        <v>19.944199999999999</v>
      </c>
      <c r="F611" s="4">
        <f>CHOOSE( CONTROL!$C$32, 20.6212, 20.6164) * CHOOSE(CONTROL!$C$15, $D$11, 100%, $F$11)</f>
        <v>20.621200000000002</v>
      </c>
      <c r="G611" s="8">
        <f>CHOOSE( CONTROL!$C$32, 19.4464, 19.4417) * CHOOSE( CONTROL!$C$15, $D$11, 100%, $F$11)</f>
        <v>19.446400000000001</v>
      </c>
      <c r="H611" s="4">
        <f>CHOOSE( CONTROL!$C$32, 20.3756, 20.3709) * CHOOSE(CONTROL!$C$15, $D$11, 100%, $F$11)</f>
        <v>20.375599999999999</v>
      </c>
      <c r="I611" s="8">
        <f>CHOOSE( CONTROL!$C$32, 19.2154, 19.2107) * CHOOSE(CONTROL!$C$15, $D$11, 100%, $F$11)</f>
        <v>19.215399999999999</v>
      </c>
      <c r="J611" s="4">
        <f>CHOOSE( CONTROL!$C$32, 19.0993, 19.0946) * CHOOSE(CONTROL!$C$15, $D$11, 100%, $F$11)</f>
        <v>19.099299999999999</v>
      </c>
      <c r="K611" s="4"/>
      <c r="L611" s="9">
        <v>30.7165</v>
      </c>
      <c r="M611" s="9">
        <v>12.063700000000001</v>
      </c>
      <c r="N611" s="9">
        <v>4.9444999999999997</v>
      </c>
      <c r="O611" s="9">
        <v>0.37409999999999999</v>
      </c>
      <c r="P611" s="9">
        <v>1.2183999999999999</v>
      </c>
      <c r="Q611" s="9">
        <v>19.688099999999999</v>
      </c>
      <c r="R611" s="9"/>
      <c r="S611" s="11"/>
    </row>
    <row r="612" spans="1:19" ht="15.75">
      <c r="A612" s="13">
        <v>60145</v>
      </c>
      <c r="B612" s="8">
        <f>CHOOSE( CONTROL!$C$32, 18.3882, 18.3834) * CHOOSE(CONTROL!$C$15, $D$11, 100%, $F$11)</f>
        <v>18.388200000000001</v>
      </c>
      <c r="C612" s="8">
        <f>CHOOSE( CONTROL!$C$32, 18.3963, 18.3915) * CHOOSE(CONTROL!$C$15, $D$11, 100%, $F$11)</f>
        <v>18.3963</v>
      </c>
      <c r="D612" s="8">
        <f>CHOOSE( CONTROL!$C$32, 18.4181, 18.4133) * CHOOSE( CONTROL!$C$15, $D$11, 100%, $F$11)</f>
        <v>18.418099999999999</v>
      </c>
      <c r="E612" s="12">
        <f>CHOOSE( CONTROL!$C$32, 18.409, 18.4042) * CHOOSE( CONTROL!$C$15, $D$11, 100%, $F$11)</f>
        <v>18.408999999999999</v>
      </c>
      <c r="F612" s="4">
        <f>CHOOSE( CONTROL!$C$32, 19.086, 19.0812) * CHOOSE(CONTROL!$C$15, $D$11, 100%, $F$11)</f>
        <v>19.085999999999999</v>
      </c>
      <c r="G612" s="8">
        <f>CHOOSE( CONTROL!$C$32, 17.947, 17.9423) * CHOOSE( CONTROL!$C$15, $D$11, 100%, $F$11)</f>
        <v>17.946999999999999</v>
      </c>
      <c r="H612" s="4">
        <f>CHOOSE( CONTROL!$C$32, 18.8762, 18.8714) * CHOOSE(CONTROL!$C$15, $D$11, 100%, $F$11)</f>
        <v>18.876200000000001</v>
      </c>
      <c r="I612" s="8">
        <f>CHOOSE( CONTROL!$C$32, 17.7409, 17.7363) * CHOOSE(CONTROL!$C$15, $D$11, 100%, $F$11)</f>
        <v>17.7409</v>
      </c>
      <c r="J612" s="4">
        <f>CHOOSE( CONTROL!$C$32, 17.6253, 17.6207) * CHOOSE(CONTROL!$C$15, $D$11, 100%, $F$11)</f>
        <v>17.625299999999999</v>
      </c>
      <c r="K612" s="4"/>
      <c r="L612" s="9">
        <v>30.7165</v>
      </c>
      <c r="M612" s="9">
        <v>12.063700000000001</v>
      </c>
      <c r="N612" s="9">
        <v>4.9444999999999997</v>
      </c>
      <c r="O612" s="9">
        <v>0.37409999999999999</v>
      </c>
      <c r="P612" s="9">
        <v>1.2183999999999999</v>
      </c>
      <c r="Q612" s="9">
        <v>19.688099999999999</v>
      </c>
      <c r="R612" s="9"/>
      <c r="S612" s="11"/>
    </row>
    <row r="613" spans="1:19" ht="15.75">
      <c r="A613" s="13">
        <v>60175</v>
      </c>
      <c r="B613" s="8">
        <f>CHOOSE( CONTROL!$C$32, 18.0038, 17.9989) * CHOOSE(CONTROL!$C$15, $D$11, 100%, $F$11)</f>
        <v>18.003799999999998</v>
      </c>
      <c r="C613" s="8">
        <f>CHOOSE( CONTROL!$C$32, 18.0119, 18.007) * CHOOSE(CONTROL!$C$15, $D$11, 100%, $F$11)</f>
        <v>18.011900000000001</v>
      </c>
      <c r="D613" s="8">
        <f>CHOOSE( CONTROL!$C$32, 18.0336, 18.0288) * CHOOSE( CONTROL!$C$15, $D$11, 100%, $F$11)</f>
        <v>18.0336</v>
      </c>
      <c r="E613" s="12">
        <f>CHOOSE( CONTROL!$C$32, 18.0245, 18.0197) * CHOOSE( CONTROL!$C$15, $D$11, 100%, $F$11)</f>
        <v>18.0245</v>
      </c>
      <c r="F613" s="4">
        <f>CHOOSE( CONTROL!$C$32, 18.7016, 18.6968) * CHOOSE(CONTROL!$C$15, $D$11, 100%, $F$11)</f>
        <v>18.701599999999999</v>
      </c>
      <c r="G613" s="8">
        <f>CHOOSE( CONTROL!$C$32, 17.5715, 17.5668) * CHOOSE( CONTROL!$C$15, $D$11, 100%, $F$11)</f>
        <v>17.5715</v>
      </c>
      <c r="H613" s="4">
        <f>CHOOSE( CONTROL!$C$32, 18.5007, 18.496) * CHOOSE(CONTROL!$C$15, $D$11, 100%, $F$11)</f>
        <v>18.500699999999998</v>
      </c>
      <c r="I613" s="8">
        <f>CHOOSE( CONTROL!$C$32, 17.3716, 17.3669) * CHOOSE(CONTROL!$C$15, $D$11, 100%, $F$11)</f>
        <v>17.371600000000001</v>
      </c>
      <c r="J613" s="4">
        <f>CHOOSE( CONTROL!$C$32, 17.2562, 17.2516) * CHOOSE(CONTROL!$C$15, $D$11, 100%, $F$11)</f>
        <v>17.2562</v>
      </c>
      <c r="K613" s="4"/>
      <c r="L613" s="9">
        <v>29.7257</v>
      </c>
      <c r="M613" s="9">
        <v>11.6745</v>
      </c>
      <c r="N613" s="9">
        <v>4.7850000000000001</v>
      </c>
      <c r="O613" s="9">
        <v>0.36199999999999999</v>
      </c>
      <c r="P613" s="9">
        <v>1.1791</v>
      </c>
      <c r="Q613" s="9">
        <v>19.053000000000001</v>
      </c>
      <c r="R613" s="9"/>
      <c r="S613" s="11"/>
    </row>
    <row r="614" spans="1:19" ht="15.75">
      <c r="A614" s="13">
        <v>60206</v>
      </c>
      <c r="B614" s="8">
        <f>18.7954 * CHOOSE(CONTROL!$C$15, $D$11, 100%, $F$11)</f>
        <v>18.795400000000001</v>
      </c>
      <c r="C614" s="8">
        <f>18.8009 * CHOOSE(CONTROL!$C$15, $D$11, 100%, $F$11)</f>
        <v>18.800899999999999</v>
      </c>
      <c r="D614" s="8">
        <f>18.8273 * CHOOSE( CONTROL!$C$15, $D$11, 100%, $F$11)</f>
        <v>18.827300000000001</v>
      </c>
      <c r="E614" s="12">
        <f>18.818 * CHOOSE( CONTROL!$C$15, $D$11, 100%, $F$11)</f>
        <v>18.818000000000001</v>
      </c>
      <c r="F614" s="4">
        <f>19.495 * CHOOSE(CONTROL!$C$15, $D$11, 100%, $F$11)</f>
        <v>19.495000000000001</v>
      </c>
      <c r="G614" s="8">
        <f>18.3457 * CHOOSE( CONTROL!$C$15, $D$11, 100%, $F$11)</f>
        <v>18.345700000000001</v>
      </c>
      <c r="H614" s="4">
        <f>19.2756 * CHOOSE(CONTROL!$C$15, $D$11, 100%, $F$11)</f>
        <v>19.275600000000001</v>
      </c>
      <c r="I614" s="8">
        <f>18.1344 * CHOOSE(CONTROL!$C$15, $D$11, 100%, $F$11)</f>
        <v>18.134399999999999</v>
      </c>
      <c r="J614" s="4">
        <f>18.0179 * CHOOSE(CONTROL!$C$15, $D$11, 100%, $F$11)</f>
        <v>18.017900000000001</v>
      </c>
      <c r="K614" s="4"/>
      <c r="L614" s="9">
        <v>31.095300000000002</v>
      </c>
      <c r="M614" s="9">
        <v>12.063700000000001</v>
      </c>
      <c r="N614" s="9">
        <v>4.9444999999999997</v>
      </c>
      <c r="O614" s="9">
        <v>0.37409999999999999</v>
      </c>
      <c r="P614" s="9">
        <v>1.2183999999999999</v>
      </c>
      <c r="Q614" s="9">
        <v>19.688099999999999</v>
      </c>
      <c r="R614" s="9"/>
      <c r="S614" s="11"/>
    </row>
    <row r="615" spans="1:19" ht="15.75">
      <c r="A615" s="13">
        <v>60236</v>
      </c>
      <c r="B615" s="8">
        <f>20.2684 * CHOOSE(CONTROL!$C$15, $D$11, 100%, $F$11)</f>
        <v>20.2684</v>
      </c>
      <c r="C615" s="8">
        <f>20.2736 * CHOOSE(CONTROL!$C$15, $D$11, 100%, $F$11)</f>
        <v>20.273599999999998</v>
      </c>
      <c r="D615" s="8">
        <f>20.2628 * CHOOSE( CONTROL!$C$15, $D$11, 100%, $F$11)</f>
        <v>20.262799999999999</v>
      </c>
      <c r="E615" s="12">
        <f>20.2662 * CHOOSE( CONTROL!$C$15, $D$11, 100%, $F$11)</f>
        <v>20.266200000000001</v>
      </c>
      <c r="F615" s="4">
        <f>20.9173 * CHOOSE(CONTROL!$C$15, $D$11, 100%, $F$11)</f>
        <v>20.917300000000001</v>
      </c>
      <c r="G615" s="8">
        <f>19.7893 * CHOOSE( CONTROL!$C$15, $D$11, 100%, $F$11)</f>
        <v>19.789300000000001</v>
      </c>
      <c r="H615" s="4">
        <f>20.6648 * CHOOSE(CONTROL!$C$15, $D$11, 100%, $F$11)</f>
        <v>20.6648</v>
      </c>
      <c r="I615" s="8">
        <f>19.5753 * CHOOSE(CONTROL!$C$15, $D$11, 100%, $F$11)</f>
        <v>19.575299999999999</v>
      </c>
      <c r="J615" s="4">
        <f>19.4325 * CHOOSE(CONTROL!$C$15, $D$11, 100%, $F$11)</f>
        <v>19.432500000000001</v>
      </c>
      <c r="K615" s="4"/>
      <c r="L615" s="9">
        <v>28.360600000000002</v>
      </c>
      <c r="M615" s="9">
        <v>11.6745</v>
      </c>
      <c r="N615" s="9">
        <v>4.7850000000000001</v>
      </c>
      <c r="O615" s="9">
        <v>0.36199999999999999</v>
      </c>
      <c r="P615" s="9">
        <v>1.2509999999999999</v>
      </c>
      <c r="Q615" s="9">
        <v>19.053000000000001</v>
      </c>
      <c r="R615" s="9"/>
      <c r="S615" s="11"/>
    </row>
    <row r="616" spans="1:19" ht="15.75">
      <c r="A616" s="13">
        <v>60267</v>
      </c>
      <c r="B616" s="8">
        <f>20.2316 * CHOOSE(CONTROL!$C$15, $D$11, 100%, $F$11)</f>
        <v>20.2316</v>
      </c>
      <c r="C616" s="8">
        <f>20.2368 * CHOOSE(CONTROL!$C$15, $D$11, 100%, $F$11)</f>
        <v>20.236799999999999</v>
      </c>
      <c r="D616" s="8">
        <f>20.2274 * CHOOSE( CONTROL!$C$15, $D$11, 100%, $F$11)</f>
        <v>20.227399999999999</v>
      </c>
      <c r="E616" s="12">
        <f>20.2303 * CHOOSE( CONTROL!$C$15, $D$11, 100%, $F$11)</f>
        <v>20.2303</v>
      </c>
      <c r="F616" s="4">
        <f>20.8805 * CHOOSE(CONTROL!$C$15, $D$11, 100%, $F$11)</f>
        <v>20.880500000000001</v>
      </c>
      <c r="G616" s="8">
        <f>19.7543 * CHOOSE( CONTROL!$C$15, $D$11, 100%, $F$11)</f>
        <v>19.754300000000001</v>
      </c>
      <c r="H616" s="4">
        <f>20.6288 * CHOOSE(CONTROL!$C$15, $D$11, 100%, $F$11)</f>
        <v>20.628799999999998</v>
      </c>
      <c r="I616" s="8">
        <f>19.5443 * CHOOSE(CONTROL!$C$15, $D$11, 100%, $F$11)</f>
        <v>19.5443</v>
      </c>
      <c r="J616" s="4">
        <f>19.3972 * CHOOSE(CONTROL!$C$15, $D$11, 100%, $F$11)</f>
        <v>19.397200000000002</v>
      </c>
      <c r="K616" s="4"/>
      <c r="L616" s="9">
        <v>29.306000000000001</v>
      </c>
      <c r="M616" s="9">
        <v>12.063700000000001</v>
      </c>
      <c r="N616" s="9">
        <v>4.9444999999999997</v>
      </c>
      <c r="O616" s="9">
        <v>0.37409999999999999</v>
      </c>
      <c r="P616" s="9">
        <v>1.2927</v>
      </c>
      <c r="Q616" s="9">
        <v>19.688099999999999</v>
      </c>
      <c r="R616" s="9"/>
      <c r="S616" s="11"/>
    </row>
    <row r="617" spans="1:19" ht="15.75">
      <c r="A617" s="13">
        <v>60298</v>
      </c>
      <c r="B617" s="8">
        <f>21.0037 * CHOOSE(CONTROL!$C$15, $D$11, 100%, $F$11)</f>
        <v>21.003699999999998</v>
      </c>
      <c r="C617" s="8">
        <f>21.0089 * CHOOSE(CONTROL!$C$15, $D$11, 100%, $F$11)</f>
        <v>21.008900000000001</v>
      </c>
      <c r="D617" s="8">
        <f>20.9954 * CHOOSE( CONTROL!$C$15, $D$11, 100%, $F$11)</f>
        <v>20.9954</v>
      </c>
      <c r="E617" s="12">
        <f>20.9998 * CHOOSE( CONTROL!$C$15, $D$11, 100%, $F$11)</f>
        <v>20.9998</v>
      </c>
      <c r="F617" s="4">
        <f>21.6526 * CHOOSE(CONTROL!$C$15, $D$11, 100%, $F$11)</f>
        <v>21.6526</v>
      </c>
      <c r="G617" s="8">
        <f>20.5022 * CHOOSE( CONTROL!$C$15, $D$11, 100%, $F$11)</f>
        <v>20.502199999999998</v>
      </c>
      <c r="H617" s="4">
        <f>21.383 * CHOOSE(CONTROL!$C$15, $D$11, 100%, $F$11)</f>
        <v>21.382999999999999</v>
      </c>
      <c r="I617" s="8">
        <f>20.2623 * CHOOSE(CONTROL!$C$15, $D$11, 100%, $F$11)</f>
        <v>20.2623</v>
      </c>
      <c r="J617" s="4">
        <f>20.1385 * CHOOSE(CONTROL!$C$15, $D$11, 100%, $F$11)</f>
        <v>20.138500000000001</v>
      </c>
      <c r="K617" s="4"/>
      <c r="L617" s="9">
        <v>29.306000000000001</v>
      </c>
      <c r="M617" s="9">
        <v>12.063700000000001</v>
      </c>
      <c r="N617" s="9">
        <v>4.9444999999999997</v>
      </c>
      <c r="O617" s="9">
        <v>0.37409999999999999</v>
      </c>
      <c r="P617" s="9">
        <v>1.2927</v>
      </c>
      <c r="Q617" s="9">
        <v>19.688099999999999</v>
      </c>
      <c r="R617" s="9"/>
      <c r="S617" s="11"/>
    </row>
    <row r="618" spans="1:19" ht="15.75">
      <c r="A618" s="13">
        <v>60326</v>
      </c>
      <c r="B618" s="8">
        <f>19.6477 * CHOOSE(CONTROL!$C$15, $D$11, 100%, $F$11)</f>
        <v>19.6477</v>
      </c>
      <c r="C618" s="8">
        <f>19.6529 * CHOOSE(CONTROL!$C$15, $D$11, 100%, $F$11)</f>
        <v>19.652899999999999</v>
      </c>
      <c r="D618" s="8">
        <f>19.6394 * CHOOSE( CONTROL!$C$15, $D$11, 100%, $F$11)</f>
        <v>19.639399999999998</v>
      </c>
      <c r="E618" s="12">
        <f>19.6438 * CHOOSE( CONTROL!$C$15, $D$11, 100%, $F$11)</f>
        <v>19.643799999999999</v>
      </c>
      <c r="F618" s="4">
        <f>20.2966 * CHOOSE(CONTROL!$C$15, $D$11, 100%, $F$11)</f>
        <v>20.296600000000002</v>
      </c>
      <c r="G618" s="8">
        <f>19.1778 * CHOOSE( CONTROL!$C$15, $D$11, 100%, $F$11)</f>
        <v>19.177800000000001</v>
      </c>
      <c r="H618" s="4">
        <f>20.0585 * CHOOSE(CONTROL!$C$15, $D$11, 100%, $F$11)</f>
        <v>20.058499999999999</v>
      </c>
      <c r="I618" s="8">
        <f>18.9597 * CHOOSE(CONTROL!$C$15, $D$11, 100%, $F$11)</f>
        <v>18.959700000000002</v>
      </c>
      <c r="J618" s="4">
        <f>18.8366 * CHOOSE(CONTROL!$C$15, $D$11, 100%, $F$11)</f>
        <v>18.836600000000001</v>
      </c>
      <c r="K618" s="4"/>
      <c r="L618" s="9">
        <v>26.469899999999999</v>
      </c>
      <c r="M618" s="9">
        <v>10.8962</v>
      </c>
      <c r="N618" s="9">
        <v>4.4660000000000002</v>
      </c>
      <c r="O618" s="9">
        <v>0.33789999999999998</v>
      </c>
      <c r="P618" s="9">
        <v>1.1676</v>
      </c>
      <c r="Q618" s="9">
        <v>17.782800000000002</v>
      </c>
      <c r="R618" s="9"/>
      <c r="S618" s="11"/>
    </row>
    <row r="619" spans="1:19" ht="15.75">
      <c r="A619" s="13">
        <v>60357</v>
      </c>
      <c r="B619" s="8">
        <f>19.2301 * CHOOSE(CONTROL!$C$15, $D$11, 100%, $F$11)</f>
        <v>19.2301</v>
      </c>
      <c r="C619" s="8">
        <f>19.2353 * CHOOSE(CONTROL!$C$15, $D$11, 100%, $F$11)</f>
        <v>19.235299999999999</v>
      </c>
      <c r="D619" s="8">
        <f>19.2214 * CHOOSE( CONTROL!$C$15, $D$11, 100%, $F$11)</f>
        <v>19.221399999999999</v>
      </c>
      <c r="E619" s="12">
        <f>19.2259 * CHOOSE( CONTROL!$C$15, $D$11, 100%, $F$11)</f>
        <v>19.225899999999999</v>
      </c>
      <c r="F619" s="4">
        <f>19.879 * CHOOSE(CONTROL!$C$15, $D$11, 100%, $F$11)</f>
        <v>19.879000000000001</v>
      </c>
      <c r="G619" s="8">
        <f>18.7696 * CHOOSE( CONTROL!$C$15, $D$11, 100%, $F$11)</f>
        <v>18.769600000000001</v>
      </c>
      <c r="H619" s="4">
        <f>19.6506 * CHOOSE(CONTROL!$C$15, $D$11, 100%, $F$11)</f>
        <v>19.650600000000001</v>
      </c>
      <c r="I619" s="8">
        <f>18.5575 * CHOOSE(CONTROL!$C$15, $D$11, 100%, $F$11)</f>
        <v>18.557500000000001</v>
      </c>
      <c r="J619" s="4">
        <f>18.4356 * CHOOSE(CONTROL!$C$15, $D$11, 100%, $F$11)</f>
        <v>18.435600000000001</v>
      </c>
      <c r="K619" s="4"/>
      <c r="L619" s="9">
        <v>29.306000000000001</v>
      </c>
      <c r="M619" s="9">
        <v>12.063700000000001</v>
      </c>
      <c r="N619" s="9">
        <v>4.9444999999999997</v>
      </c>
      <c r="O619" s="9">
        <v>0.37409999999999999</v>
      </c>
      <c r="P619" s="9">
        <v>1.2927</v>
      </c>
      <c r="Q619" s="9">
        <v>19.688099999999999</v>
      </c>
      <c r="R619" s="9"/>
      <c r="S619" s="11"/>
    </row>
    <row r="620" spans="1:19" ht="15.75">
      <c r="A620" s="13">
        <v>60387</v>
      </c>
      <c r="B620" s="8">
        <f>19.5227 * CHOOSE(CONTROL!$C$15, $D$11, 100%, $F$11)</f>
        <v>19.5227</v>
      </c>
      <c r="C620" s="8">
        <f>19.5273 * CHOOSE(CONTROL!$C$15, $D$11, 100%, $F$11)</f>
        <v>19.5273</v>
      </c>
      <c r="D620" s="8">
        <f>19.5536 * CHOOSE( CONTROL!$C$15, $D$11, 100%, $F$11)</f>
        <v>19.553599999999999</v>
      </c>
      <c r="E620" s="12">
        <f>19.5444 * CHOOSE( CONTROL!$C$15, $D$11, 100%, $F$11)</f>
        <v>19.5444</v>
      </c>
      <c r="F620" s="4">
        <f>20.2219 * CHOOSE(CONTROL!$C$15, $D$11, 100%, $F$11)</f>
        <v>20.221900000000002</v>
      </c>
      <c r="G620" s="8">
        <f>19.0547 * CHOOSE( CONTROL!$C$15, $D$11, 100%, $F$11)</f>
        <v>19.0547</v>
      </c>
      <c r="H620" s="4">
        <f>19.9855 * CHOOSE(CONTROL!$C$15, $D$11, 100%, $F$11)</f>
        <v>19.985499999999998</v>
      </c>
      <c r="I620" s="8">
        <f>18.8297 * CHOOSE(CONTROL!$C$15, $D$11, 100%, $F$11)</f>
        <v>18.829699999999999</v>
      </c>
      <c r="J620" s="4">
        <f>18.7158 * CHOOSE(CONTROL!$C$15, $D$11, 100%, $F$11)</f>
        <v>18.715800000000002</v>
      </c>
      <c r="K620" s="4"/>
      <c r="L620" s="9">
        <v>30.092199999999998</v>
      </c>
      <c r="M620" s="9">
        <v>11.6745</v>
      </c>
      <c r="N620" s="9">
        <v>4.7850000000000001</v>
      </c>
      <c r="O620" s="9">
        <v>0.36199999999999999</v>
      </c>
      <c r="P620" s="9">
        <v>1.1791</v>
      </c>
      <c r="Q620" s="9">
        <v>19.053000000000001</v>
      </c>
      <c r="R620" s="9"/>
      <c r="S620" s="11"/>
    </row>
    <row r="621" spans="1:19" ht="15.75">
      <c r="A621" s="13">
        <v>60418</v>
      </c>
      <c r="B621" s="8">
        <f>CHOOSE( CONTROL!$C$32, 20.0483, 20.0435) * CHOOSE(CONTROL!$C$15, $D$11, 100%, $F$11)</f>
        <v>20.048300000000001</v>
      </c>
      <c r="C621" s="8">
        <f>CHOOSE( CONTROL!$C$32, 20.0564, 20.0515) * CHOOSE(CONTROL!$C$15, $D$11, 100%, $F$11)</f>
        <v>20.0564</v>
      </c>
      <c r="D621" s="8">
        <f>CHOOSE( CONTROL!$C$32, 20.0777, 20.0729) * CHOOSE( CONTROL!$C$15, $D$11, 100%, $F$11)</f>
        <v>20.0777</v>
      </c>
      <c r="E621" s="12">
        <f>CHOOSE( CONTROL!$C$32, 20.0687, 20.0639) * CHOOSE( CONTROL!$C$15, $D$11, 100%, $F$11)</f>
        <v>20.0687</v>
      </c>
      <c r="F621" s="4">
        <f>CHOOSE( CONTROL!$C$32, 20.7461, 20.7413) * CHOOSE(CONTROL!$C$15, $D$11, 100%, $F$11)</f>
        <v>20.746099999999998</v>
      </c>
      <c r="G621" s="8">
        <f>CHOOSE( CONTROL!$C$32, 19.5677, 19.563) * CHOOSE( CONTROL!$C$15, $D$11, 100%, $F$11)</f>
        <v>19.567699999999999</v>
      </c>
      <c r="H621" s="4">
        <f>CHOOSE( CONTROL!$C$32, 20.4976, 20.4928) * CHOOSE(CONTROL!$C$15, $D$11, 100%, $F$11)</f>
        <v>20.497599999999998</v>
      </c>
      <c r="I621" s="8">
        <f>CHOOSE( CONTROL!$C$32, 19.3333, 19.3286) * CHOOSE(CONTROL!$C$15, $D$11, 100%, $F$11)</f>
        <v>19.333300000000001</v>
      </c>
      <c r="J621" s="4">
        <f>CHOOSE( CONTROL!$C$32, 19.2191, 19.2145) * CHOOSE(CONTROL!$C$15, $D$11, 100%, $F$11)</f>
        <v>19.219100000000001</v>
      </c>
      <c r="K621" s="4"/>
      <c r="L621" s="9">
        <v>30.7165</v>
      </c>
      <c r="M621" s="9">
        <v>12.063700000000001</v>
      </c>
      <c r="N621" s="9">
        <v>4.9444999999999997</v>
      </c>
      <c r="O621" s="9">
        <v>0.37409999999999999</v>
      </c>
      <c r="P621" s="9">
        <v>1.2183999999999999</v>
      </c>
      <c r="Q621" s="9">
        <v>19.688099999999999</v>
      </c>
      <c r="R621" s="9"/>
      <c r="S621" s="11"/>
    </row>
    <row r="622" spans="1:19" ht="15.75">
      <c r="A622" s="13">
        <v>60448</v>
      </c>
      <c r="B622" s="8">
        <f>CHOOSE( CONTROL!$C$32, 19.7265, 19.7217) * CHOOSE(CONTROL!$C$15, $D$11, 100%, $F$11)</f>
        <v>19.726500000000001</v>
      </c>
      <c r="C622" s="8">
        <f>CHOOSE( CONTROL!$C$32, 19.7346, 19.7298) * CHOOSE(CONTROL!$C$15, $D$11, 100%, $F$11)</f>
        <v>19.7346</v>
      </c>
      <c r="D622" s="8">
        <f>CHOOSE( CONTROL!$C$32, 19.7561, 19.7513) * CHOOSE( CONTROL!$C$15, $D$11, 100%, $F$11)</f>
        <v>19.7561</v>
      </c>
      <c r="E622" s="12">
        <f>CHOOSE( CONTROL!$C$32, 19.7471, 19.7423) * CHOOSE( CONTROL!$C$15, $D$11, 100%, $F$11)</f>
        <v>19.7471</v>
      </c>
      <c r="F622" s="4">
        <f>CHOOSE( CONTROL!$C$32, 20.4243, 20.4195) * CHOOSE(CONTROL!$C$15, $D$11, 100%, $F$11)</f>
        <v>20.424299999999999</v>
      </c>
      <c r="G622" s="8">
        <f>CHOOSE( CONTROL!$C$32, 19.2537, 19.249) * CHOOSE( CONTROL!$C$15, $D$11, 100%, $F$11)</f>
        <v>19.253699999999998</v>
      </c>
      <c r="H622" s="4">
        <f>CHOOSE( CONTROL!$C$32, 20.1833, 20.1786) * CHOOSE(CONTROL!$C$15, $D$11, 100%, $F$11)</f>
        <v>20.183299999999999</v>
      </c>
      <c r="I622" s="8">
        <f>CHOOSE( CONTROL!$C$32, 19.0251, 19.0205) * CHOOSE(CONTROL!$C$15, $D$11, 100%, $F$11)</f>
        <v>19.025099999999998</v>
      </c>
      <c r="J622" s="4">
        <f>CHOOSE( CONTROL!$C$32, 18.9102, 18.9056) * CHOOSE(CONTROL!$C$15, $D$11, 100%, $F$11)</f>
        <v>18.9102</v>
      </c>
      <c r="K622" s="4"/>
      <c r="L622" s="9">
        <v>29.7257</v>
      </c>
      <c r="M622" s="9">
        <v>11.6745</v>
      </c>
      <c r="N622" s="9">
        <v>4.7850000000000001</v>
      </c>
      <c r="O622" s="9">
        <v>0.36199999999999999</v>
      </c>
      <c r="P622" s="9">
        <v>1.1791</v>
      </c>
      <c r="Q622" s="9">
        <v>19.053000000000001</v>
      </c>
      <c r="R622" s="9"/>
      <c r="S622" s="11"/>
    </row>
    <row r="623" spans="1:19" ht="15.75">
      <c r="A623" s="13">
        <v>60479</v>
      </c>
      <c r="B623" s="8">
        <f>CHOOSE( CONTROL!$C$32, 20.5738, 20.569) * CHOOSE(CONTROL!$C$15, $D$11, 100%, $F$11)</f>
        <v>20.573799999999999</v>
      </c>
      <c r="C623" s="8">
        <f>CHOOSE( CONTROL!$C$32, 20.5819, 20.5771) * CHOOSE(CONTROL!$C$15, $D$11, 100%, $F$11)</f>
        <v>20.581900000000001</v>
      </c>
      <c r="D623" s="8">
        <f>CHOOSE( CONTROL!$C$32, 20.6037, 20.5988) * CHOOSE( CONTROL!$C$15, $D$11, 100%, $F$11)</f>
        <v>20.6037</v>
      </c>
      <c r="E623" s="12">
        <f>CHOOSE( CONTROL!$C$32, 20.5946, 20.5897) * CHOOSE( CONTROL!$C$15, $D$11, 100%, $F$11)</f>
        <v>20.5946</v>
      </c>
      <c r="F623" s="4">
        <f>CHOOSE( CONTROL!$C$32, 21.2717, 21.2668) * CHOOSE(CONTROL!$C$15, $D$11, 100%, $F$11)</f>
        <v>21.271699999999999</v>
      </c>
      <c r="G623" s="8">
        <f>CHOOSE( CONTROL!$C$32, 20.0817, 20.0769) * CHOOSE( CONTROL!$C$15, $D$11, 100%, $F$11)</f>
        <v>20.081700000000001</v>
      </c>
      <c r="H623" s="4">
        <f>CHOOSE( CONTROL!$C$32, 21.0109, 21.0062) * CHOOSE(CONTROL!$C$15, $D$11, 100%, $F$11)</f>
        <v>21.010899999999999</v>
      </c>
      <c r="I623" s="8">
        <f>CHOOSE( CONTROL!$C$32, 19.8401, 19.8355) * CHOOSE(CONTROL!$C$15, $D$11, 100%, $F$11)</f>
        <v>19.8401</v>
      </c>
      <c r="J623" s="4">
        <f>CHOOSE( CONTROL!$C$32, 19.7237, 19.7191) * CHOOSE(CONTROL!$C$15, $D$11, 100%, $F$11)</f>
        <v>19.723700000000001</v>
      </c>
      <c r="K623" s="4"/>
      <c r="L623" s="9">
        <v>30.7165</v>
      </c>
      <c r="M623" s="9">
        <v>12.063700000000001</v>
      </c>
      <c r="N623" s="9">
        <v>4.9444999999999997</v>
      </c>
      <c r="O623" s="9">
        <v>0.37409999999999999</v>
      </c>
      <c r="P623" s="9">
        <v>1.2183999999999999</v>
      </c>
      <c r="Q623" s="9">
        <v>19.688099999999999</v>
      </c>
      <c r="R623" s="9"/>
      <c r="S623" s="11"/>
    </row>
    <row r="624" spans="1:19" ht="15.75">
      <c r="A624" s="13">
        <v>60510</v>
      </c>
      <c r="B624" s="8">
        <f>CHOOSE( CONTROL!$C$32, 18.9884, 18.9836) * CHOOSE(CONTROL!$C$15, $D$11, 100%, $F$11)</f>
        <v>18.988399999999999</v>
      </c>
      <c r="C624" s="8">
        <f>CHOOSE( CONTROL!$C$32, 18.9965, 18.9917) * CHOOSE(CONTROL!$C$15, $D$11, 100%, $F$11)</f>
        <v>18.996500000000001</v>
      </c>
      <c r="D624" s="8">
        <f>CHOOSE( CONTROL!$C$32, 19.0183, 19.0135) * CHOOSE( CONTROL!$C$15, $D$11, 100%, $F$11)</f>
        <v>19.0183</v>
      </c>
      <c r="E624" s="12">
        <f>CHOOSE( CONTROL!$C$32, 19.0092, 19.0044) * CHOOSE( CONTROL!$C$15, $D$11, 100%, $F$11)</f>
        <v>19.0092</v>
      </c>
      <c r="F624" s="4">
        <f>CHOOSE( CONTROL!$C$32, 19.6862, 19.6814) * CHOOSE(CONTROL!$C$15, $D$11, 100%, $F$11)</f>
        <v>19.686199999999999</v>
      </c>
      <c r="G624" s="8">
        <f>CHOOSE( CONTROL!$C$32, 18.5333, 18.5285) * CHOOSE( CONTROL!$C$15, $D$11, 100%, $F$11)</f>
        <v>18.533300000000001</v>
      </c>
      <c r="H624" s="4">
        <f>CHOOSE( CONTROL!$C$32, 19.4624, 19.4577) * CHOOSE(CONTROL!$C$15, $D$11, 100%, $F$11)</f>
        <v>19.462399999999999</v>
      </c>
      <c r="I624" s="8">
        <f>CHOOSE( CONTROL!$C$32, 18.3175, 18.3129) * CHOOSE(CONTROL!$C$15, $D$11, 100%, $F$11)</f>
        <v>18.317499999999999</v>
      </c>
      <c r="J624" s="4">
        <f>CHOOSE( CONTROL!$C$32, 18.2016, 18.1969) * CHOOSE(CONTROL!$C$15, $D$11, 100%, $F$11)</f>
        <v>18.201599999999999</v>
      </c>
      <c r="K624" s="4"/>
      <c r="L624" s="9">
        <v>30.7165</v>
      </c>
      <c r="M624" s="9">
        <v>12.063700000000001</v>
      </c>
      <c r="N624" s="9">
        <v>4.9444999999999997</v>
      </c>
      <c r="O624" s="9">
        <v>0.37409999999999999</v>
      </c>
      <c r="P624" s="9">
        <v>1.2183999999999999</v>
      </c>
      <c r="Q624" s="9">
        <v>19.688099999999999</v>
      </c>
      <c r="R624" s="9"/>
      <c r="S624" s="11"/>
    </row>
    <row r="625" spans="1:19" ht="15.75">
      <c r="A625" s="13">
        <v>60540</v>
      </c>
      <c r="B625" s="8">
        <f>CHOOSE( CONTROL!$C$32, 18.5914, 18.5866) * CHOOSE(CONTROL!$C$15, $D$11, 100%, $F$11)</f>
        <v>18.5914</v>
      </c>
      <c r="C625" s="8">
        <f>CHOOSE( CONTROL!$C$32, 18.5995, 18.5947) * CHOOSE(CONTROL!$C$15, $D$11, 100%, $F$11)</f>
        <v>18.599499999999999</v>
      </c>
      <c r="D625" s="8">
        <f>CHOOSE( CONTROL!$C$32, 18.6213, 18.6164) * CHOOSE( CONTROL!$C$15, $D$11, 100%, $F$11)</f>
        <v>18.621300000000002</v>
      </c>
      <c r="E625" s="12">
        <f>CHOOSE( CONTROL!$C$32, 18.6122, 18.6073) * CHOOSE( CONTROL!$C$15, $D$11, 100%, $F$11)</f>
        <v>18.612200000000001</v>
      </c>
      <c r="F625" s="4">
        <f>CHOOSE( CONTROL!$C$32, 19.2892, 19.2844) * CHOOSE(CONTROL!$C$15, $D$11, 100%, $F$11)</f>
        <v>19.289200000000001</v>
      </c>
      <c r="G625" s="8">
        <f>CHOOSE( CONTROL!$C$32, 18.1455, 18.1408) * CHOOSE( CONTROL!$C$15, $D$11, 100%, $F$11)</f>
        <v>18.145499999999998</v>
      </c>
      <c r="H625" s="4">
        <f>CHOOSE( CONTROL!$C$32, 19.0746, 19.0699) * CHOOSE(CONTROL!$C$15, $D$11, 100%, $F$11)</f>
        <v>19.0746</v>
      </c>
      <c r="I625" s="8">
        <f>CHOOSE( CONTROL!$C$32, 17.9361, 17.9314) * CHOOSE(CONTROL!$C$15, $D$11, 100%, $F$11)</f>
        <v>17.9361</v>
      </c>
      <c r="J625" s="4">
        <f>CHOOSE( CONTROL!$C$32, 17.8204, 17.8158) * CHOOSE(CONTROL!$C$15, $D$11, 100%, $F$11)</f>
        <v>17.820399999999999</v>
      </c>
      <c r="K625" s="4"/>
      <c r="L625" s="9">
        <v>29.7257</v>
      </c>
      <c r="M625" s="9">
        <v>11.6745</v>
      </c>
      <c r="N625" s="9">
        <v>4.7850000000000001</v>
      </c>
      <c r="O625" s="9">
        <v>0.36199999999999999</v>
      </c>
      <c r="P625" s="9">
        <v>1.1791</v>
      </c>
      <c r="Q625" s="9">
        <v>19.053000000000001</v>
      </c>
      <c r="R625" s="9"/>
      <c r="S625" s="11"/>
    </row>
    <row r="626" spans="1:19" ht="15.75">
      <c r="A626" s="13">
        <v>60571</v>
      </c>
      <c r="B626" s="8">
        <f>19.4092 * CHOOSE(CONTROL!$C$15, $D$11, 100%, $F$11)</f>
        <v>19.409199999999998</v>
      </c>
      <c r="C626" s="8">
        <f>19.4146 * CHOOSE(CONTROL!$C$15, $D$11, 100%, $F$11)</f>
        <v>19.4146</v>
      </c>
      <c r="D626" s="8">
        <f>19.4411 * CHOOSE( CONTROL!$C$15, $D$11, 100%, $F$11)</f>
        <v>19.441099999999999</v>
      </c>
      <c r="E626" s="12">
        <f>19.4318 * CHOOSE( CONTROL!$C$15, $D$11, 100%, $F$11)</f>
        <v>19.431799999999999</v>
      </c>
      <c r="F626" s="4">
        <f>20.1087 * CHOOSE(CONTROL!$C$15, $D$11, 100%, $F$11)</f>
        <v>20.108699999999999</v>
      </c>
      <c r="G626" s="8">
        <f>18.9451 * CHOOSE( CONTROL!$C$15, $D$11, 100%, $F$11)</f>
        <v>18.9451</v>
      </c>
      <c r="H626" s="4">
        <f>19.875 * CHOOSE(CONTROL!$C$15, $D$11, 100%, $F$11)</f>
        <v>19.875</v>
      </c>
      <c r="I626" s="8">
        <f>18.724 * CHOOSE(CONTROL!$C$15, $D$11, 100%, $F$11)</f>
        <v>18.724</v>
      </c>
      <c r="J626" s="4">
        <f>18.6072 * CHOOSE(CONTROL!$C$15, $D$11, 100%, $F$11)</f>
        <v>18.607199999999999</v>
      </c>
      <c r="K626" s="4"/>
      <c r="L626" s="9">
        <v>31.095300000000002</v>
      </c>
      <c r="M626" s="9">
        <v>12.063700000000001</v>
      </c>
      <c r="N626" s="9">
        <v>4.9444999999999997</v>
      </c>
      <c r="O626" s="9">
        <v>0.37409999999999999</v>
      </c>
      <c r="P626" s="9">
        <v>1.2183999999999999</v>
      </c>
      <c r="Q626" s="9">
        <v>19.688099999999999</v>
      </c>
      <c r="R626" s="9"/>
      <c r="S626" s="11"/>
    </row>
    <row r="627" spans="1:19" ht="15.75">
      <c r="A627" s="13">
        <v>60601</v>
      </c>
      <c r="B627" s="8">
        <f>20.9303 * CHOOSE(CONTROL!$C$15, $D$11, 100%, $F$11)</f>
        <v>20.930299999999999</v>
      </c>
      <c r="C627" s="8">
        <f>20.9355 * CHOOSE(CONTROL!$C$15, $D$11, 100%, $F$11)</f>
        <v>20.935500000000001</v>
      </c>
      <c r="D627" s="8">
        <f>20.9248 * CHOOSE( CONTROL!$C$15, $D$11, 100%, $F$11)</f>
        <v>20.924800000000001</v>
      </c>
      <c r="E627" s="12">
        <f>20.9282 * CHOOSE( CONTROL!$C$15, $D$11, 100%, $F$11)</f>
        <v>20.9282</v>
      </c>
      <c r="F627" s="4">
        <f>21.5792 * CHOOSE(CONTROL!$C$15, $D$11, 100%, $F$11)</f>
        <v>21.5792</v>
      </c>
      <c r="G627" s="8">
        <f>20.4358 * CHOOSE( CONTROL!$C$15, $D$11, 100%, $F$11)</f>
        <v>20.4358</v>
      </c>
      <c r="H627" s="4">
        <f>21.3113 * CHOOSE(CONTROL!$C$15, $D$11, 100%, $F$11)</f>
        <v>21.311299999999999</v>
      </c>
      <c r="I627" s="8">
        <f>20.2111 * CHOOSE(CONTROL!$C$15, $D$11, 100%, $F$11)</f>
        <v>20.211099999999998</v>
      </c>
      <c r="J627" s="4">
        <f>20.068 * CHOOSE(CONTROL!$C$15, $D$11, 100%, $F$11)</f>
        <v>20.068000000000001</v>
      </c>
      <c r="K627" s="4"/>
      <c r="L627" s="9">
        <v>28.360600000000002</v>
      </c>
      <c r="M627" s="9">
        <v>11.6745</v>
      </c>
      <c r="N627" s="9">
        <v>4.7850000000000001</v>
      </c>
      <c r="O627" s="9">
        <v>0.36199999999999999</v>
      </c>
      <c r="P627" s="9">
        <v>1.2509999999999999</v>
      </c>
      <c r="Q627" s="9">
        <v>19.053000000000001</v>
      </c>
      <c r="R627" s="9"/>
      <c r="S627" s="11"/>
    </row>
    <row r="628" spans="1:19" ht="15.75">
      <c r="A628" s="13">
        <v>60632</v>
      </c>
      <c r="B628" s="8">
        <f>20.8923 * CHOOSE(CONTROL!$C$15, $D$11, 100%, $F$11)</f>
        <v>20.892299999999999</v>
      </c>
      <c r="C628" s="8">
        <f>20.8975 * CHOOSE(CONTROL!$C$15, $D$11, 100%, $F$11)</f>
        <v>20.897500000000001</v>
      </c>
      <c r="D628" s="8">
        <f>20.8881 * CHOOSE( CONTROL!$C$15, $D$11, 100%, $F$11)</f>
        <v>20.888100000000001</v>
      </c>
      <c r="E628" s="12">
        <f>20.891 * CHOOSE( CONTROL!$C$15, $D$11, 100%, $F$11)</f>
        <v>20.890999999999998</v>
      </c>
      <c r="F628" s="4">
        <f>21.5412 * CHOOSE(CONTROL!$C$15, $D$11, 100%, $F$11)</f>
        <v>21.5412</v>
      </c>
      <c r="G628" s="8">
        <f>20.3996 * CHOOSE( CONTROL!$C$15, $D$11, 100%, $F$11)</f>
        <v>20.3996</v>
      </c>
      <c r="H628" s="4">
        <f>21.2741 * CHOOSE(CONTROL!$C$15, $D$11, 100%, $F$11)</f>
        <v>21.274100000000001</v>
      </c>
      <c r="I628" s="8">
        <f>20.1789 * CHOOSE(CONTROL!$C$15, $D$11, 100%, $F$11)</f>
        <v>20.178899999999999</v>
      </c>
      <c r="J628" s="4">
        <f>20.0315 * CHOOSE(CONTROL!$C$15, $D$11, 100%, $F$11)</f>
        <v>20.031500000000001</v>
      </c>
      <c r="K628" s="4"/>
      <c r="L628" s="9">
        <v>29.306000000000001</v>
      </c>
      <c r="M628" s="9">
        <v>12.063700000000001</v>
      </c>
      <c r="N628" s="9">
        <v>4.9444999999999997</v>
      </c>
      <c r="O628" s="9">
        <v>0.37409999999999999</v>
      </c>
      <c r="P628" s="9">
        <v>1.2927</v>
      </c>
      <c r="Q628" s="9">
        <v>19.688099999999999</v>
      </c>
      <c r="R628" s="9"/>
      <c r="S628" s="11"/>
    </row>
    <row r="629" spans="1:19" ht="15.75">
      <c r="A629" s="13">
        <v>60663</v>
      </c>
      <c r="B629" s="8">
        <f>21.6897 * CHOOSE(CONTROL!$C$15, $D$11, 100%, $F$11)</f>
        <v>21.689699999999998</v>
      </c>
      <c r="C629" s="8">
        <f>21.6949 * CHOOSE(CONTROL!$C$15, $D$11, 100%, $F$11)</f>
        <v>21.694900000000001</v>
      </c>
      <c r="D629" s="8">
        <f>21.6814 * CHOOSE( CONTROL!$C$15, $D$11, 100%, $F$11)</f>
        <v>21.6814</v>
      </c>
      <c r="E629" s="12">
        <f>21.6858 * CHOOSE( CONTROL!$C$15, $D$11, 100%, $F$11)</f>
        <v>21.6858</v>
      </c>
      <c r="F629" s="4">
        <f>22.3386 * CHOOSE(CONTROL!$C$15, $D$11, 100%, $F$11)</f>
        <v>22.3386</v>
      </c>
      <c r="G629" s="8">
        <f>21.1722 * CHOOSE( CONTROL!$C$15, $D$11, 100%, $F$11)</f>
        <v>21.1722</v>
      </c>
      <c r="H629" s="4">
        <f>22.053 * CHOOSE(CONTROL!$C$15, $D$11, 100%, $F$11)</f>
        <v>22.053000000000001</v>
      </c>
      <c r="I629" s="8">
        <f>20.9212 * CHOOSE(CONTROL!$C$15, $D$11, 100%, $F$11)</f>
        <v>20.921199999999999</v>
      </c>
      <c r="J629" s="4">
        <f>20.7971 * CHOOSE(CONTROL!$C$15, $D$11, 100%, $F$11)</f>
        <v>20.7971</v>
      </c>
      <c r="K629" s="4"/>
      <c r="L629" s="9">
        <v>29.306000000000001</v>
      </c>
      <c r="M629" s="9">
        <v>12.063700000000001</v>
      </c>
      <c r="N629" s="9">
        <v>4.9444999999999997</v>
      </c>
      <c r="O629" s="9">
        <v>0.37409999999999999</v>
      </c>
      <c r="P629" s="9">
        <v>1.2927</v>
      </c>
      <c r="Q629" s="9">
        <v>19.688099999999999</v>
      </c>
      <c r="R629" s="9"/>
      <c r="S629" s="11"/>
    </row>
    <row r="630" spans="1:19" ht="15.75">
      <c r="A630" s="13">
        <v>60691</v>
      </c>
      <c r="B630" s="8">
        <f>20.2893 * CHOOSE(CONTROL!$C$15, $D$11, 100%, $F$11)</f>
        <v>20.289300000000001</v>
      </c>
      <c r="C630" s="8">
        <f>20.2945 * CHOOSE(CONTROL!$C$15, $D$11, 100%, $F$11)</f>
        <v>20.294499999999999</v>
      </c>
      <c r="D630" s="8">
        <f>20.281 * CHOOSE( CONTROL!$C$15, $D$11, 100%, $F$11)</f>
        <v>20.280999999999999</v>
      </c>
      <c r="E630" s="12">
        <f>20.2854 * CHOOSE( CONTROL!$C$15, $D$11, 100%, $F$11)</f>
        <v>20.285399999999999</v>
      </c>
      <c r="F630" s="4">
        <f>20.9382 * CHOOSE(CONTROL!$C$15, $D$11, 100%, $F$11)</f>
        <v>20.938199999999998</v>
      </c>
      <c r="G630" s="8">
        <f>19.8045 * CHOOSE( CONTROL!$C$15, $D$11, 100%, $F$11)</f>
        <v>19.804500000000001</v>
      </c>
      <c r="H630" s="4">
        <f>20.6852 * CHOOSE(CONTROL!$C$15, $D$11, 100%, $F$11)</f>
        <v>20.685199999999998</v>
      </c>
      <c r="I630" s="8">
        <f>19.576 * CHOOSE(CONTROL!$C$15, $D$11, 100%, $F$11)</f>
        <v>19.576000000000001</v>
      </c>
      <c r="J630" s="4">
        <f>19.4526 * CHOOSE(CONTROL!$C$15, $D$11, 100%, $F$11)</f>
        <v>19.4526</v>
      </c>
      <c r="K630" s="4"/>
      <c r="L630" s="9">
        <v>26.469899999999999</v>
      </c>
      <c r="M630" s="9">
        <v>10.8962</v>
      </c>
      <c r="N630" s="9">
        <v>4.4660000000000002</v>
      </c>
      <c r="O630" s="9">
        <v>0.33789999999999998</v>
      </c>
      <c r="P630" s="9">
        <v>1.1676</v>
      </c>
      <c r="Q630" s="9">
        <v>17.782800000000002</v>
      </c>
      <c r="R630" s="9"/>
      <c r="S630" s="11"/>
    </row>
    <row r="631" spans="1:19" ht="15.75">
      <c r="A631" s="13">
        <v>60722</v>
      </c>
      <c r="B631" s="8">
        <f>19.858 * CHOOSE(CONTROL!$C$15, $D$11, 100%, $F$11)</f>
        <v>19.858000000000001</v>
      </c>
      <c r="C631" s="8">
        <f>19.8632 * CHOOSE(CONTROL!$C$15, $D$11, 100%, $F$11)</f>
        <v>19.863199999999999</v>
      </c>
      <c r="D631" s="8">
        <f>19.8494 * CHOOSE( CONTROL!$C$15, $D$11, 100%, $F$11)</f>
        <v>19.849399999999999</v>
      </c>
      <c r="E631" s="12">
        <f>19.8539 * CHOOSE( CONTROL!$C$15, $D$11, 100%, $F$11)</f>
        <v>19.853899999999999</v>
      </c>
      <c r="F631" s="4">
        <f>20.5069 * CHOOSE(CONTROL!$C$15, $D$11, 100%, $F$11)</f>
        <v>20.506900000000002</v>
      </c>
      <c r="G631" s="8">
        <f>19.383 * CHOOSE( CONTROL!$C$15, $D$11, 100%, $F$11)</f>
        <v>19.382999999999999</v>
      </c>
      <c r="H631" s="4">
        <f>20.264 * CHOOSE(CONTROL!$C$15, $D$11, 100%, $F$11)</f>
        <v>20.263999999999999</v>
      </c>
      <c r="I631" s="8">
        <f>19.1607 * CHOOSE(CONTROL!$C$15, $D$11, 100%, $F$11)</f>
        <v>19.160699999999999</v>
      </c>
      <c r="J631" s="4">
        <f>19.0385 * CHOOSE(CONTROL!$C$15, $D$11, 100%, $F$11)</f>
        <v>19.038499999999999</v>
      </c>
      <c r="K631" s="4"/>
      <c r="L631" s="9">
        <v>29.306000000000001</v>
      </c>
      <c r="M631" s="9">
        <v>12.063700000000001</v>
      </c>
      <c r="N631" s="9">
        <v>4.9444999999999997</v>
      </c>
      <c r="O631" s="9">
        <v>0.37409999999999999</v>
      </c>
      <c r="P631" s="9">
        <v>1.2927</v>
      </c>
      <c r="Q631" s="9">
        <v>19.688099999999999</v>
      </c>
      <c r="R631" s="9"/>
      <c r="S631" s="11"/>
    </row>
    <row r="632" spans="1:19" ht="15.75">
      <c r="A632" s="13">
        <v>60752</v>
      </c>
      <c r="B632" s="8">
        <f>20.1602 * CHOOSE(CONTROL!$C$15, $D$11, 100%, $F$11)</f>
        <v>20.1602</v>
      </c>
      <c r="C632" s="8">
        <f>20.1648 * CHOOSE(CONTROL!$C$15, $D$11, 100%, $F$11)</f>
        <v>20.1648</v>
      </c>
      <c r="D632" s="8">
        <f>20.1911 * CHOOSE( CONTROL!$C$15, $D$11, 100%, $F$11)</f>
        <v>20.191099999999999</v>
      </c>
      <c r="E632" s="12">
        <f>20.1819 * CHOOSE( CONTROL!$C$15, $D$11, 100%, $F$11)</f>
        <v>20.181899999999999</v>
      </c>
      <c r="F632" s="4">
        <f>20.8594 * CHOOSE(CONTROL!$C$15, $D$11, 100%, $F$11)</f>
        <v>20.859400000000001</v>
      </c>
      <c r="G632" s="8">
        <f>19.6774 * CHOOSE( CONTROL!$C$15, $D$11, 100%, $F$11)</f>
        <v>19.677399999999999</v>
      </c>
      <c r="H632" s="4">
        <f>20.6082 * CHOOSE(CONTROL!$C$15, $D$11, 100%, $F$11)</f>
        <v>20.6082</v>
      </c>
      <c r="I632" s="8">
        <f>19.4421 * CHOOSE(CONTROL!$C$15, $D$11, 100%, $F$11)</f>
        <v>19.4421</v>
      </c>
      <c r="J632" s="4">
        <f>19.3279 * CHOOSE(CONTROL!$C$15, $D$11, 100%, $F$11)</f>
        <v>19.3279</v>
      </c>
      <c r="K632" s="4"/>
      <c r="L632" s="9">
        <v>30.092199999999998</v>
      </c>
      <c r="M632" s="9">
        <v>11.6745</v>
      </c>
      <c r="N632" s="9">
        <v>4.7850000000000001</v>
      </c>
      <c r="O632" s="9">
        <v>0.36199999999999999</v>
      </c>
      <c r="P632" s="9">
        <v>1.1791</v>
      </c>
      <c r="Q632" s="9">
        <v>19.053000000000001</v>
      </c>
      <c r="R632" s="9"/>
      <c r="S632" s="11"/>
    </row>
    <row r="633" spans="1:19" ht="15.75">
      <c r="A633" s="13">
        <v>60783</v>
      </c>
      <c r="B633" s="8">
        <f>CHOOSE( CONTROL!$C$32, 20.7028, 20.698) * CHOOSE(CONTROL!$C$15, $D$11, 100%, $F$11)</f>
        <v>20.7028</v>
      </c>
      <c r="C633" s="8">
        <f>CHOOSE( CONTROL!$C$32, 20.7109, 20.706) * CHOOSE(CONTROL!$C$15, $D$11, 100%, $F$11)</f>
        <v>20.710899999999999</v>
      </c>
      <c r="D633" s="8">
        <f>CHOOSE( CONTROL!$C$32, 20.7322, 20.7274) * CHOOSE( CONTROL!$C$15, $D$11, 100%, $F$11)</f>
        <v>20.732199999999999</v>
      </c>
      <c r="E633" s="12">
        <f>CHOOSE( CONTROL!$C$32, 20.7232, 20.7184) * CHOOSE( CONTROL!$C$15, $D$11, 100%, $F$11)</f>
        <v>20.723199999999999</v>
      </c>
      <c r="F633" s="4">
        <f>CHOOSE( CONTROL!$C$32, 21.4006, 21.3958) * CHOOSE(CONTROL!$C$15, $D$11, 100%, $F$11)</f>
        <v>21.400600000000001</v>
      </c>
      <c r="G633" s="8">
        <f>CHOOSE( CONTROL!$C$32, 20.207, 20.2022) * CHOOSE( CONTROL!$C$15, $D$11, 100%, $F$11)</f>
        <v>20.207000000000001</v>
      </c>
      <c r="H633" s="4">
        <f>CHOOSE( CONTROL!$C$32, 21.1368, 21.1321) * CHOOSE(CONTROL!$C$15, $D$11, 100%, $F$11)</f>
        <v>21.136800000000001</v>
      </c>
      <c r="I633" s="8">
        <f>CHOOSE( CONTROL!$C$32, 19.962, 19.9573) * CHOOSE(CONTROL!$C$15, $D$11, 100%, $F$11)</f>
        <v>19.962</v>
      </c>
      <c r="J633" s="4">
        <f>CHOOSE( CONTROL!$C$32, 19.8475, 19.8429) * CHOOSE(CONTROL!$C$15, $D$11, 100%, $F$11)</f>
        <v>19.8475</v>
      </c>
      <c r="K633" s="4"/>
      <c r="L633" s="9">
        <v>30.7165</v>
      </c>
      <c r="M633" s="9">
        <v>12.063700000000001</v>
      </c>
      <c r="N633" s="9">
        <v>4.9444999999999997</v>
      </c>
      <c r="O633" s="9">
        <v>0.37409999999999999</v>
      </c>
      <c r="P633" s="9">
        <v>1.2183999999999999</v>
      </c>
      <c r="Q633" s="9">
        <v>19.688099999999999</v>
      </c>
      <c r="R633" s="9"/>
      <c r="S633" s="11"/>
    </row>
    <row r="634" spans="1:19" ht="15.75">
      <c r="A634" s="13">
        <v>60813</v>
      </c>
      <c r="B634" s="8">
        <f>CHOOSE( CONTROL!$C$32, 20.3705, 20.3657) * CHOOSE(CONTROL!$C$15, $D$11, 100%, $F$11)</f>
        <v>20.3705</v>
      </c>
      <c r="C634" s="8">
        <f>CHOOSE( CONTROL!$C$32, 20.3786, 20.3738) * CHOOSE(CONTROL!$C$15, $D$11, 100%, $F$11)</f>
        <v>20.378599999999999</v>
      </c>
      <c r="D634" s="8">
        <f>CHOOSE( CONTROL!$C$32, 20.4001, 20.3953) * CHOOSE( CONTROL!$C$15, $D$11, 100%, $F$11)</f>
        <v>20.400099999999998</v>
      </c>
      <c r="E634" s="12">
        <f>CHOOSE( CONTROL!$C$32, 20.3911, 20.3863) * CHOOSE( CONTROL!$C$15, $D$11, 100%, $F$11)</f>
        <v>20.391100000000002</v>
      </c>
      <c r="F634" s="4">
        <f>CHOOSE( CONTROL!$C$32, 21.0683, 21.0635) * CHOOSE(CONTROL!$C$15, $D$11, 100%, $F$11)</f>
        <v>21.068300000000001</v>
      </c>
      <c r="G634" s="8">
        <f>CHOOSE( CONTROL!$C$32, 19.8827, 19.878) * CHOOSE( CONTROL!$C$15, $D$11, 100%, $F$11)</f>
        <v>19.8827</v>
      </c>
      <c r="H634" s="4">
        <f>CHOOSE( CONTROL!$C$32, 20.8123, 20.8075) * CHOOSE(CONTROL!$C$15, $D$11, 100%, $F$11)</f>
        <v>20.8123</v>
      </c>
      <c r="I634" s="8">
        <f>CHOOSE( CONTROL!$C$32, 19.6437, 19.639) * CHOOSE(CONTROL!$C$15, $D$11, 100%, $F$11)</f>
        <v>19.643699999999999</v>
      </c>
      <c r="J634" s="4">
        <f>CHOOSE( CONTROL!$C$32, 19.5285, 19.5239) * CHOOSE(CONTROL!$C$15, $D$11, 100%, $F$11)</f>
        <v>19.528500000000001</v>
      </c>
      <c r="K634" s="4"/>
      <c r="L634" s="9">
        <v>29.7257</v>
      </c>
      <c r="M634" s="9">
        <v>11.6745</v>
      </c>
      <c r="N634" s="9">
        <v>4.7850000000000001</v>
      </c>
      <c r="O634" s="9">
        <v>0.36199999999999999</v>
      </c>
      <c r="P634" s="9">
        <v>1.1791</v>
      </c>
      <c r="Q634" s="9">
        <v>19.053000000000001</v>
      </c>
      <c r="R634" s="9"/>
      <c r="S634" s="11"/>
    </row>
    <row r="635" spans="1:19" ht="15.75">
      <c r="A635" s="13">
        <v>60844</v>
      </c>
      <c r="B635" s="8">
        <f>CHOOSE( CONTROL!$C$32, 21.2455, 21.2407) * CHOOSE(CONTROL!$C$15, $D$11, 100%, $F$11)</f>
        <v>21.2455</v>
      </c>
      <c r="C635" s="8">
        <f>CHOOSE( CONTROL!$C$32, 21.2536, 21.2488) * CHOOSE(CONTROL!$C$15, $D$11, 100%, $F$11)</f>
        <v>21.253599999999999</v>
      </c>
      <c r="D635" s="8">
        <f>CHOOSE( CONTROL!$C$32, 21.2754, 21.2705) * CHOOSE( CONTROL!$C$15, $D$11, 100%, $F$11)</f>
        <v>21.275400000000001</v>
      </c>
      <c r="E635" s="12">
        <f>CHOOSE( CONTROL!$C$32, 21.2663, 21.2614) * CHOOSE( CONTROL!$C$15, $D$11, 100%, $F$11)</f>
        <v>21.266300000000001</v>
      </c>
      <c r="F635" s="4">
        <f>CHOOSE( CONTROL!$C$32, 21.9433, 21.9385) * CHOOSE(CONTROL!$C$15, $D$11, 100%, $F$11)</f>
        <v>21.943300000000001</v>
      </c>
      <c r="G635" s="8">
        <f>CHOOSE( CONTROL!$C$32, 20.7377, 20.733) * CHOOSE( CONTROL!$C$15, $D$11, 100%, $F$11)</f>
        <v>20.7377</v>
      </c>
      <c r="H635" s="4">
        <f>CHOOSE( CONTROL!$C$32, 21.6669, 21.6622) * CHOOSE(CONTROL!$C$15, $D$11, 100%, $F$11)</f>
        <v>21.666899999999998</v>
      </c>
      <c r="I635" s="8">
        <f>CHOOSE( CONTROL!$C$32, 20.4853, 20.4807) * CHOOSE(CONTROL!$C$15, $D$11, 100%, $F$11)</f>
        <v>20.485299999999999</v>
      </c>
      <c r="J635" s="4">
        <f>CHOOSE( CONTROL!$C$32, 20.3686, 20.364) * CHOOSE(CONTROL!$C$15, $D$11, 100%, $F$11)</f>
        <v>20.368600000000001</v>
      </c>
      <c r="K635" s="4"/>
      <c r="L635" s="9">
        <v>30.7165</v>
      </c>
      <c r="M635" s="9">
        <v>12.063700000000001</v>
      </c>
      <c r="N635" s="9">
        <v>4.9444999999999997</v>
      </c>
      <c r="O635" s="9">
        <v>0.37409999999999999</v>
      </c>
      <c r="P635" s="9">
        <v>1.2183999999999999</v>
      </c>
      <c r="Q635" s="9">
        <v>19.688099999999999</v>
      </c>
      <c r="R635" s="9"/>
      <c r="S635" s="11"/>
    </row>
    <row r="636" spans="1:19" ht="15.75">
      <c r="A636" s="13">
        <v>60875</v>
      </c>
      <c r="B636" s="8">
        <f>CHOOSE( CONTROL!$C$32, 19.6083, 19.6034) * CHOOSE(CONTROL!$C$15, $D$11, 100%, $F$11)</f>
        <v>19.6083</v>
      </c>
      <c r="C636" s="8">
        <f>CHOOSE( CONTROL!$C$32, 19.6163, 19.6115) * CHOOSE(CONTROL!$C$15, $D$11, 100%, $F$11)</f>
        <v>19.616299999999999</v>
      </c>
      <c r="D636" s="8">
        <f>CHOOSE( CONTROL!$C$32, 19.6381, 19.6333) * CHOOSE( CONTROL!$C$15, $D$11, 100%, $F$11)</f>
        <v>19.638100000000001</v>
      </c>
      <c r="E636" s="12">
        <f>CHOOSE( CONTROL!$C$32, 19.629, 19.6242) * CHOOSE( CONTROL!$C$15, $D$11, 100%, $F$11)</f>
        <v>19.629000000000001</v>
      </c>
      <c r="F636" s="4">
        <f>CHOOSE( CONTROL!$C$32, 20.3061, 20.3012) * CHOOSE(CONTROL!$C$15, $D$11, 100%, $F$11)</f>
        <v>20.306100000000001</v>
      </c>
      <c r="G636" s="8">
        <f>CHOOSE( CONTROL!$C$32, 19.1387, 19.1339) * CHOOSE( CONTROL!$C$15, $D$11, 100%, $F$11)</f>
        <v>19.1387</v>
      </c>
      <c r="H636" s="4">
        <f>CHOOSE( CONTROL!$C$32, 20.0678, 20.0631) * CHOOSE(CONTROL!$C$15, $D$11, 100%, $F$11)</f>
        <v>20.067799999999998</v>
      </c>
      <c r="I636" s="8">
        <f>CHOOSE( CONTROL!$C$32, 18.9129, 18.9083) * CHOOSE(CONTROL!$C$15, $D$11, 100%, $F$11)</f>
        <v>18.9129</v>
      </c>
      <c r="J636" s="4">
        <f>CHOOSE( CONTROL!$C$32, 18.7967, 18.792) * CHOOSE(CONTROL!$C$15, $D$11, 100%, $F$11)</f>
        <v>18.796700000000001</v>
      </c>
      <c r="K636" s="4"/>
      <c r="L636" s="9">
        <v>30.7165</v>
      </c>
      <c r="M636" s="9">
        <v>12.063700000000001</v>
      </c>
      <c r="N636" s="9">
        <v>4.9444999999999997</v>
      </c>
      <c r="O636" s="9">
        <v>0.37409999999999999</v>
      </c>
      <c r="P636" s="9">
        <v>1.2183999999999999</v>
      </c>
      <c r="Q636" s="9">
        <v>19.688099999999999</v>
      </c>
      <c r="R636" s="9"/>
      <c r="S636" s="11"/>
    </row>
    <row r="637" spans="1:19" ht="15.75">
      <c r="A637" s="13">
        <v>60905</v>
      </c>
      <c r="B637" s="8">
        <f>CHOOSE( CONTROL!$C$32, 19.1983, 19.1934) * CHOOSE(CONTROL!$C$15, $D$11, 100%, $F$11)</f>
        <v>19.1983</v>
      </c>
      <c r="C637" s="8">
        <f>CHOOSE( CONTROL!$C$32, 19.2064, 19.2015) * CHOOSE(CONTROL!$C$15, $D$11, 100%, $F$11)</f>
        <v>19.206399999999999</v>
      </c>
      <c r="D637" s="8">
        <f>CHOOSE( CONTROL!$C$32, 19.2281, 19.2233) * CHOOSE( CONTROL!$C$15, $D$11, 100%, $F$11)</f>
        <v>19.228100000000001</v>
      </c>
      <c r="E637" s="12">
        <f>CHOOSE( CONTROL!$C$32, 19.219, 19.2142) * CHOOSE( CONTROL!$C$15, $D$11, 100%, $F$11)</f>
        <v>19.219000000000001</v>
      </c>
      <c r="F637" s="4">
        <f>CHOOSE( CONTROL!$C$32, 19.8961, 19.8912) * CHOOSE(CONTROL!$C$15, $D$11, 100%, $F$11)</f>
        <v>19.896100000000001</v>
      </c>
      <c r="G637" s="8">
        <f>CHOOSE( CONTROL!$C$32, 18.7382, 18.7335) * CHOOSE( CONTROL!$C$15, $D$11, 100%, $F$11)</f>
        <v>18.738199999999999</v>
      </c>
      <c r="H637" s="4">
        <f>CHOOSE( CONTROL!$C$32, 19.6673, 19.6626) * CHOOSE(CONTROL!$C$15, $D$11, 100%, $F$11)</f>
        <v>19.667300000000001</v>
      </c>
      <c r="I637" s="8">
        <f>CHOOSE( CONTROL!$C$32, 18.519, 18.5143) * CHOOSE(CONTROL!$C$15, $D$11, 100%, $F$11)</f>
        <v>18.518999999999998</v>
      </c>
      <c r="J637" s="4">
        <f>CHOOSE( CONTROL!$C$32, 18.403, 18.3984) * CHOOSE(CONTROL!$C$15, $D$11, 100%, $F$11)</f>
        <v>18.402999999999999</v>
      </c>
      <c r="K637" s="4"/>
      <c r="L637" s="9">
        <v>29.7257</v>
      </c>
      <c r="M637" s="9">
        <v>11.6745</v>
      </c>
      <c r="N637" s="9">
        <v>4.7850000000000001</v>
      </c>
      <c r="O637" s="9">
        <v>0.36199999999999999</v>
      </c>
      <c r="P637" s="9">
        <v>1.1791</v>
      </c>
      <c r="Q637" s="9">
        <v>19.053000000000001</v>
      </c>
      <c r="R637" s="9"/>
      <c r="S637" s="11"/>
    </row>
    <row r="638" spans="1:19" ht="15.75">
      <c r="A638" s="13">
        <v>60936</v>
      </c>
      <c r="B638" s="8">
        <f>20.043 * CHOOSE(CONTROL!$C$15, $D$11, 100%, $F$11)</f>
        <v>20.042999999999999</v>
      </c>
      <c r="C638" s="8">
        <f>20.0484 * CHOOSE(CONTROL!$C$15, $D$11, 100%, $F$11)</f>
        <v>20.048400000000001</v>
      </c>
      <c r="D638" s="8">
        <f>20.0749 * CHOOSE( CONTROL!$C$15, $D$11, 100%, $F$11)</f>
        <v>20.0749</v>
      </c>
      <c r="E638" s="12">
        <f>20.0656 * CHOOSE( CONTROL!$C$15, $D$11, 100%, $F$11)</f>
        <v>20.0656</v>
      </c>
      <c r="F638" s="4">
        <f>20.7425 * CHOOSE(CONTROL!$C$15, $D$11, 100%, $F$11)</f>
        <v>20.7425</v>
      </c>
      <c r="G638" s="8">
        <f>19.5642 * CHOOSE( CONTROL!$C$15, $D$11, 100%, $F$11)</f>
        <v>19.5642</v>
      </c>
      <c r="H638" s="4">
        <f>20.4941 * CHOOSE(CONTROL!$C$15, $D$11, 100%, $F$11)</f>
        <v>20.4941</v>
      </c>
      <c r="I638" s="8">
        <f>19.3328 * CHOOSE(CONTROL!$C$15, $D$11, 100%, $F$11)</f>
        <v>19.332799999999999</v>
      </c>
      <c r="J638" s="4">
        <f>19.2157 * CHOOSE(CONTROL!$C$15, $D$11, 100%, $F$11)</f>
        <v>19.215699999999998</v>
      </c>
      <c r="K638" s="4"/>
      <c r="L638" s="9">
        <v>31.095300000000002</v>
      </c>
      <c r="M638" s="9">
        <v>12.063700000000001</v>
      </c>
      <c r="N638" s="9">
        <v>4.9444999999999997</v>
      </c>
      <c r="O638" s="9">
        <v>0.37409999999999999</v>
      </c>
      <c r="P638" s="9">
        <v>1.2183999999999999</v>
      </c>
      <c r="Q638" s="9">
        <v>19.688099999999999</v>
      </c>
      <c r="R638" s="9"/>
      <c r="S638" s="11"/>
    </row>
    <row r="639" spans="1:19" ht="15.75">
      <c r="A639" s="13">
        <v>60966</v>
      </c>
      <c r="B639" s="8">
        <f>21.6139 * CHOOSE(CONTROL!$C$15, $D$11, 100%, $F$11)</f>
        <v>21.613900000000001</v>
      </c>
      <c r="C639" s="8">
        <f>21.6191 * CHOOSE(CONTROL!$C$15, $D$11, 100%, $F$11)</f>
        <v>21.6191</v>
      </c>
      <c r="D639" s="8">
        <f>21.6083 * CHOOSE( CONTROL!$C$15, $D$11, 100%, $F$11)</f>
        <v>21.6083</v>
      </c>
      <c r="E639" s="12">
        <f>21.6117 * CHOOSE( CONTROL!$C$15, $D$11, 100%, $F$11)</f>
        <v>21.611699999999999</v>
      </c>
      <c r="F639" s="4">
        <f>22.2628 * CHOOSE(CONTROL!$C$15, $D$11, 100%, $F$11)</f>
        <v>22.262799999999999</v>
      </c>
      <c r="G639" s="8">
        <f>21.1034 * CHOOSE( CONTROL!$C$15, $D$11, 100%, $F$11)</f>
        <v>21.103400000000001</v>
      </c>
      <c r="H639" s="4">
        <f>21.9789 * CHOOSE(CONTROL!$C$15, $D$11, 100%, $F$11)</f>
        <v>21.978899999999999</v>
      </c>
      <c r="I639" s="8">
        <f>20.8678 * CHOOSE(CONTROL!$C$15, $D$11, 100%, $F$11)</f>
        <v>20.867799999999999</v>
      </c>
      <c r="J639" s="4">
        <f>20.7243 * CHOOSE(CONTROL!$C$15, $D$11, 100%, $F$11)</f>
        <v>20.724299999999999</v>
      </c>
      <c r="K639" s="4"/>
      <c r="L639" s="9">
        <v>28.360600000000002</v>
      </c>
      <c r="M639" s="9">
        <v>11.6745</v>
      </c>
      <c r="N639" s="9">
        <v>4.7850000000000001</v>
      </c>
      <c r="O639" s="9">
        <v>0.36199999999999999</v>
      </c>
      <c r="P639" s="9">
        <v>1.2509999999999999</v>
      </c>
      <c r="Q639" s="9">
        <v>19.053000000000001</v>
      </c>
      <c r="R639" s="9"/>
      <c r="S639" s="11"/>
    </row>
    <row r="640" spans="1:19" ht="15.75">
      <c r="A640" s="13">
        <v>60997</v>
      </c>
      <c r="B640" s="8">
        <f>21.5746 * CHOOSE(CONTROL!$C$15, $D$11, 100%, $F$11)</f>
        <v>21.5746</v>
      </c>
      <c r="C640" s="8">
        <f>21.5798 * CHOOSE(CONTROL!$C$15, $D$11, 100%, $F$11)</f>
        <v>21.579799999999999</v>
      </c>
      <c r="D640" s="8">
        <f>21.5704 * CHOOSE( CONTROL!$C$15, $D$11, 100%, $F$11)</f>
        <v>21.570399999999999</v>
      </c>
      <c r="E640" s="12">
        <f>21.5733 * CHOOSE( CONTROL!$C$15, $D$11, 100%, $F$11)</f>
        <v>21.5733</v>
      </c>
      <c r="F640" s="4">
        <f>22.2235 * CHOOSE(CONTROL!$C$15, $D$11, 100%, $F$11)</f>
        <v>22.223500000000001</v>
      </c>
      <c r="G640" s="8">
        <f>21.0661 * CHOOSE( CONTROL!$C$15, $D$11, 100%, $F$11)</f>
        <v>21.066099999999999</v>
      </c>
      <c r="H640" s="4">
        <f>21.9406 * CHOOSE(CONTROL!$C$15, $D$11, 100%, $F$11)</f>
        <v>21.9406</v>
      </c>
      <c r="I640" s="8">
        <f>20.8344 * CHOOSE(CONTROL!$C$15, $D$11, 100%, $F$11)</f>
        <v>20.834399999999999</v>
      </c>
      <c r="J640" s="4">
        <f>20.6866 * CHOOSE(CONTROL!$C$15, $D$11, 100%, $F$11)</f>
        <v>20.686599999999999</v>
      </c>
      <c r="K640" s="4"/>
      <c r="L640" s="9">
        <v>29.306000000000001</v>
      </c>
      <c r="M640" s="9">
        <v>12.063700000000001</v>
      </c>
      <c r="N640" s="9">
        <v>4.9444999999999997</v>
      </c>
      <c r="O640" s="9">
        <v>0.37409999999999999</v>
      </c>
      <c r="P640" s="9">
        <v>1.2927</v>
      </c>
      <c r="Q640" s="9">
        <v>19.688099999999999</v>
      </c>
      <c r="R640" s="9"/>
      <c r="S640" s="11"/>
    </row>
    <row r="641" spans="1:19" ht="15.75">
      <c r="A641" s="13">
        <v>61028</v>
      </c>
      <c r="B641" s="8">
        <f>22.3981 * CHOOSE(CONTROL!$C$15, $D$11, 100%, $F$11)</f>
        <v>22.398099999999999</v>
      </c>
      <c r="C641" s="8">
        <f>22.4033 * CHOOSE(CONTROL!$C$15, $D$11, 100%, $F$11)</f>
        <v>22.403300000000002</v>
      </c>
      <c r="D641" s="8">
        <f>22.3898 * CHOOSE( CONTROL!$C$15, $D$11, 100%, $F$11)</f>
        <v>22.389800000000001</v>
      </c>
      <c r="E641" s="12">
        <f>22.3942 * CHOOSE( CONTROL!$C$15, $D$11, 100%, $F$11)</f>
        <v>22.394200000000001</v>
      </c>
      <c r="F641" s="4">
        <f>23.047 * CHOOSE(CONTROL!$C$15, $D$11, 100%, $F$11)</f>
        <v>23.047000000000001</v>
      </c>
      <c r="G641" s="8">
        <f>21.8641 * CHOOSE( CONTROL!$C$15, $D$11, 100%, $F$11)</f>
        <v>21.864100000000001</v>
      </c>
      <c r="H641" s="4">
        <f>22.7449 * CHOOSE(CONTROL!$C$15, $D$11, 100%, $F$11)</f>
        <v>22.744900000000001</v>
      </c>
      <c r="I641" s="8">
        <f>21.6017 * CHOOSE(CONTROL!$C$15, $D$11, 100%, $F$11)</f>
        <v>21.601700000000001</v>
      </c>
      <c r="J641" s="4">
        <f>21.4773 * CHOOSE(CONTROL!$C$15, $D$11, 100%, $F$11)</f>
        <v>21.4773</v>
      </c>
      <c r="K641" s="4"/>
      <c r="L641" s="9">
        <v>29.306000000000001</v>
      </c>
      <c r="M641" s="9">
        <v>12.063700000000001</v>
      </c>
      <c r="N641" s="9">
        <v>4.9444999999999997</v>
      </c>
      <c r="O641" s="9">
        <v>0.37409999999999999</v>
      </c>
      <c r="P641" s="9">
        <v>1.2927</v>
      </c>
      <c r="Q641" s="9">
        <v>19.688099999999999</v>
      </c>
      <c r="R641" s="9"/>
      <c r="S641" s="11"/>
    </row>
    <row r="642" spans="1:19" ht="15.75">
      <c r="A642" s="13">
        <v>61056</v>
      </c>
      <c r="B642" s="8">
        <f>20.952 * CHOOSE(CONTROL!$C$15, $D$11, 100%, $F$11)</f>
        <v>20.952000000000002</v>
      </c>
      <c r="C642" s="8">
        <f>20.9571 * CHOOSE(CONTROL!$C$15, $D$11, 100%, $F$11)</f>
        <v>20.957100000000001</v>
      </c>
      <c r="D642" s="8">
        <f>20.9436 * CHOOSE( CONTROL!$C$15, $D$11, 100%, $F$11)</f>
        <v>20.9436</v>
      </c>
      <c r="E642" s="12">
        <f>20.948 * CHOOSE( CONTROL!$C$15, $D$11, 100%, $F$11)</f>
        <v>20.948</v>
      </c>
      <c r="F642" s="4">
        <f>21.6009 * CHOOSE(CONTROL!$C$15, $D$11, 100%, $F$11)</f>
        <v>21.600899999999999</v>
      </c>
      <c r="G642" s="8">
        <f>20.4516 * CHOOSE( CONTROL!$C$15, $D$11, 100%, $F$11)</f>
        <v>20.451599999999999</v>
      </c>
      <c r="H642" s="4">
        <f>21.3324 * CHOOSE(CONTROL!$C$15, $D$11, 100%, $F$11)</f>
        <v>21.3324</v>
      </c>
      <c r="I642" s="8">
        <f>20.2125 * CHOOSE(CONTROL!$C$15, $D$11, 100%, $F$11)</f>
        <v>20.212499999999999</v>
      </c>
      <c r="J642" s="4">
        <f>20.0888 * CHOOSE(CONTROL!$C$15, $D$11, 100%, $F$11)</f>
        <v>20.088799999999999</v>
      </c>
      <c r="K642" s="4"/>
      <c r="L642" s="9">
        <v>26.469899999999999</v>
      </c>
      <c r="M642" s="9">
        <v>10.8962</v>
      </c>
      <c r="N642" s="9">
        <v>4.4660000000000002</v>
      </c>
      <c r="O642" s="9">
        <v>0.33789999999999998</v>
      </c>
      <c r="P642" s="9">
        <v>1.1676</v>
      </c>
      <c r="Q642" s="9">
        <v>17.782800000000002</v>
      </c>
      <c r="R642" s="9"/>
      <c r="S642" s="11"/>
    </row>
    <row r="643" spans="1:19" ht="15.75">
      <c r="A643" s="13">
        <v>61087</v>
      </c>
      <c r="B643" s="8">
        <f>20.5065 * CHOOSE(CONTROL!$C$15, $D$11, 100%, $F$11)</f>
        <v>20.506499999999999</v>
      </c>
      <c r="C643" s="8">
        <f>20.5117 * CHOOSE(CONTROL!$C$15, $D$11, 100%, $F$11)</f>
        <v>20.511700000000001</v>
      </c>
      <c r="D643" s="8">
        <f>20.4979 * CHOOSE( CONTROL!$C$15, $D$11, 100%, $F$11)</f>
        <v>20.497900000000001</v>
      </c>
      <c r="E643" s="12">
        <f>20.5024 * CHOOSE( CONTROL!$C$15, $D$11, 100%, $F$11)</f>
        <v>20.502400000000002</v>
      </c>
      <c r="F643" s="4">
        <f>21.1554 * CHOOSE(CONTROL!$C$15, $D$11, 100%, $F$11)</f>
        <v>21.1554</v>
      </c>
      <c r="G643" s="8">
        <f>20.0164 * CHOOSE( CONTROL!$C$15, $D$11, 100%, $F$11)</f>
        <v>20.016400000000001</v>
      </c>
      <c r="H643" s="4">
        <f>20.8974 * CHOOSE(CONTROL!$C$15, $D$11, 100%, $F$11)</f>
        <v>20.897400000000001</v>
      </c>
      <c r="I643" s="8">
        <f>19.7837 * CHOOSE(CONTROL!$C$15, $D$11, 100%, $F$11)</f>
        <v>19.7837</v>
      </c>
      <c r="J643" s="4">
        <f>19.6611 * CHOOSE(CONTROL!$C$15, $D$11, 100%, $F$11)</f>
        <v>19.661100000000001</v>
      </c>
      <c r="K643" s="4"/>
      <c r="L643" s="9">
        <v>29.306000000000001</v>
      </c>
      <c r="M643" s="9">
        <v>12.063700000000001</v>
      </c>
      <c r="N643" s="9">
        <v>4.9444999999999997</v>
      </c>
      <c r="O643" s="9">
        <v>0.37409999999999999</v>
      </c>
      <c r="P643" s="9">
        <v>1.2927</v>
      </c>
      <c r="Q643" s="9">
        <v>19.688099999999999</v>
      </c>
      <c r="R643" s="9"/>
      <c r="S643" s="11"/>
    </row>
    <row r="644" spans="1:19" ht="15.75">
      <c r="A644" s="13">
        <v>61117</v>
      </c>
      <c r="B644" s="8">
        <f>20.8186 * CHOOSE(CONTROL!$C$15, $D$11, 100%, $F$11)</f>
        <v>20.8186</v>
      </c>
      <c r="C644" s="8">
        <f>20.8232 * CHOOSE(CONTROL!$C$15, $D$11, 100%, $F$11)</f>
        <v>20.8232</v>
      </c>
      <c r="D644" s="8">
        <f>20.8495 * CHOOSE( CONTROL!$C$15, $D$11, 100%, $F$11)</f>
        <v>20.849499999999999</v>
      </c>
      <c r="E644" s="12">
        <f>20.8403 * CHOOSE( CONTROL!$C$15, $D$11, 100%, $F$11)</f>
        <v>20.840299999999999</v>
      </c>
      <c r="F644" s="4">
        <f>21.5177 * CHOOSE(CONTROL!$C$15, $D$11, 100%, $F$11)</f>
        <v>21.517700000000001</v>
      </c>
      <c r="G644" s="8">
        <f>20.3204 * CHOOSE( CONTROL!$C$15, $D$11, 100%, $F$11)</f>
        <v>20.320399999999999</v>
      </c>
      <c r="H644" s="4">
        <f>21.2512 * CHOOSE(CONTROL!$C$15, $D$11, 100%, $F$11)</f>
        <v>21.251200000000001</v>
      </c>
      <c r="I644" s="8">
        <f>20.0745 * CHOOSE(CONTROL!$C$15, $D$11, 100%, $F$11)</f>
        <v>20.0745</v>
      </c>
      <c r="J644" s="4">
        <f>19.96 * CHOOSE(CONTROL!$C$15, $D$11, 100%, $F$11)</f>
        <v>19.96</v>
      </c>
      <c r="K644" s="4"/>
      <c r="L644" s="9">
        <v>30.092199999999998</v>
      </c>
      <c r="M644" s="9">
        <v>11.6745</v>
      </c>
      <c r="N644" s="9">
        <v>4.7850000000000001</v>
      </c>
      <c r="O644" s="9">
        <v>0.36199999999999999</v>
      </c>
      <c r="P644" s="9">
        <v>1.1791</v>
      </c>
      <c r="Q644" s="9">
        <v>19.053000000000001</v>
      </c>
      <c r="R644" s="9"/>
      <c r="S644" s="11"/>
    </row>
    <row r="645" spans="1:19" ht="15.75">
      <c r="A645" s="13">
        <v>61148</v>
      </c>
      <c r="B645" s="8">
        <f>CHOOSE( CONTROL!$C$32, 21.3787, 21.3739) * CHOOSE(CONTROL!$C$15, $D$11, 100%, $F$11)</f>
        <v>21.378699999999998</v>
      </c>
      <c r="C645" s="8">
        <f>CHOOSE( CONTROL!$C$32, 21.3868, 21.3819) * CHOOSE(CONTROL!$C$15, $D$11, 100%, $F$11)</f>
        <v>21.386800000000001</v>
      </c>
      <c r="D645" s="8">
        <f>CHOOSE( CONTROL!$C$32, 21.4081, 21.4033) * CHOOSE( CONTROL!$C$15, $D$11, 100%, $F$11)</f>
        <v>21.408100000000001</v>
      </c>
      <c r="E645" s="12">
        <f>CHOOSE( CONTROL!$C$32, 21.3991, 21.3943) * CHOOSE( CONTROL!$C$15, $D$11, 100%, $F$11)</f>
        <v>21.399100000000001</v>
      </c>
      <c r="F645" s="4">
        <f>CHOOSE( CONTROL!$C$32, 22.0765, 22.0717) * CHOOSE(CONTROL!$C$15, $D$11, 100%, $F$11)</f>
        <v>22.076499999999999</v>
      </c>
      <c r="G645" s="8">
        <f>CHOOSE( CONTROL!$C$32, 20.8671, 20.8624) * CHOOSE( CONTROL!$C$15, $D$11, 100%, $F$11)</f>
        <v>20.867100000000001</v>
      </c>
      <c r="H645" s="4">
        <f>CHOOSE( CONTROL!$C$32, 21.797, 21.7923) * CHOOSE(CONTROL!$C$15, $D$11, 100%, $F$11)</f>
        <v>21.797000000000001</v>
      </c>
      <c r="I645" s="8">
        <f>CHOOSE( CONTROL!$C$32, 20.6112, 20.6066) * CHOOSE(CONTROL!$C$15, $D$11, 100%, $F$11)</f>
        <v>20.6112</v>
      </c>
      <c r="J645" s="4">
        <f>CHOOSE( CONTROL!$C$32, 20.4965, 20.4918) * CHOOSE(CONTROL!$C$15, $D$11, 100%, $F$11)</f>
        <v>20.496500000000001</v>
      </c>
      <c r="K645" s="4"/>
      <c r="L645" s="9">
        <v>30.7165</v>
      </c>
      <c r="M645" s="9">
        <v>12.063700000000001</v>
      </c>
      <c r="N645" s="9">
        <v>4.9444999999999997</v>
      </c>
      <c r="O645" s="9">
        <v>0.37409999999999999</v>
      </c>
      <c r="P645" s="9">
        <v>1.2183999999999999</v>
      </c>
      <c r="Q645" s="9">
        <v>19.688099999999999</v>
      </c>
      <c r="R645" s="9"/>
      <c r="S645" s="11"/>
    </row>
    <row r="646" spans="1:19" ht="15.75">
      <c r="A646" s="13">
        <v>61178</v>
      </c>
      <c r="B646" s="8">
        <f>CHOOSE( CONTROL!$C$32, 21.0355, 21.0307) * CHOOSE(CONTROL!$C$15, $D$11, 100%, $F$11)</f>
        <v>21.035499999999999</v>
      </c>
      <c r="C646" s="8">
        <f>CHOOSE( CONTROL!$C$32, 21.0436, 21.0388) * CHOOSE(CONTROL!$C$15, $D$11, 100%, $F$11)</f>
        <v>21.043600000000001</v>
      </c>
      <c r="D646" s="8">
        <f>CHOOSE( CONTROL!$C$32, 21.0651, 21.0603) * CHOOSE( CONTROL!$C$15, $D$11, 100%, $F$11)</f>
        <v>21.065100000000001</v>
      </c>
      <c r="E646" s="12">
        <f>CHOOSE( CONTROL!$C$32, 21.0561, 21.0513) * CHOOSE( CONTROL!$C$15, $D$11, 100%, $F$11)</f>
        <v>21.056100000000001</v>
      </c>
      <c r="F646" s="4">
        <f>CHOOSE( CONTROL!$C$32, 21.7334, 21.7285) * CHOOSE(CONTROL!$C$15, $D$11, 100%, $F$11)</f>
        <v>21.7334</v>
      </c>
      <c r="G646" s="8">
        <f>CHOOSE( CONTROL!$C$32, 20.5323, 20.5275) * CHOOSE( CONTROL!$C$15, $D$11, 100%, $F$11)</f>
        <v>20.532299999999999</v>
      </c>
      <c r="H646" s="4">
        <f>CHOOSE( CONTROL!$C$32, 21.4618, 21.4571) * CHOOSE(CONTROL!$C$15, $D$11, 100%, $F$11)</f>
        <v>21.4618</v>
      </c>
      <c r="I646" s="8">
        <f>CHOOSE( CONTROL!$C$32, 20.2825, 20.2779) * CHOOSE(CONTROL!$C$15, $D$11, 100%, $F$11)</f>
        <v>20.282499999999999</v>
      </c>
      <c r="J646" s="4">
        <f>CHOOSE( CONTROL!$C$32, 20.167, 20.1624) * CHOOSE(CONTROL!$C$15, $D$11, 100%, $F$11)</f>
        <v>20.167000000000002</v>
      </c>
      <c r="K646" s="4"/>
      <c r="L646" s="9">
        <v>29.7257</v>
      </c>
      <c r="M646" s="9">
        <v>11.6745</v>
      </c>
      <c r="N646" s="9">
        <v>4.7850000000000001</v>
      </c>
      <c r="O646" s="9">
        <v>0.36199999999999999</v>
      </c>
      <c r="P646" s="9">
        <v>1.1791</v>
      </c>
      <c r="Q646" s="9">
        <v>19.053000000000001</v>
      </c>
      <c r="R646" s="9"/>
      <c r="S646" s="11"/>
    </row>
    <row r="647" spans="1:19" ht="15.75">
      <c r="A647" s="13">
        <v>61209</v>
      </c>
      <c r="B647" s="8">
        <f>CHOOSE( CONTROL!$C$32, 21.9392, 21.9344) * CHOOSE(CONTROL!$C$15, $D$11, 100%, $F$11)</f>
        <v>21.9392</v>
      </c>
      <c r="C647" s="8">
        <f>CHOOSE( CONTROL!$C$32, 21.9473, 21.9424) * CHOOSE(CONTROL!$C$15, $D$11, 100%, $F$11)</f>
        <v>21.947299999999998</v>
      </c>
      <c r="D647" s="8">
        <f>CHOOSE( CONTROL!$C$32, 21.969, 21.9642) * CHOOSE( CONTROL!$C$15, $D$11, 100%, $F$11)</f>
        <v>21.969000000000001</v>
      </c>
      <c r="E647" s="12">
        <f>CHOOSE( CONTROL!$C$32, 21.9599, 21.9551) * CHOOSE( CONTROL!$C$15, $D$11, 100%, $F$11)</f>
        <v>21.959900000000001</v>
      </c>
      <c r="F647" s="4">
        <f>CHOOSE( CONTROL!$C$32, 22.637, 22.6322) * CHOOSE(CONTROL!$C$15, $D$11, 100%, $F$11)</f>
        <v>22.637</v>
      </c>
      <c r="G647" s="8">
        <f>CHOOSE( CONTROL!$C$32, 21.4152, 21.4105) * CHOOSE( CONTROL!$C$15, $D$11, 100%, $F$11)</f>
        <v>21.415199999999999</v>
      </c>
      <c r="H647" s="4">
        <f>CHOOSE( CONTROL!$C$32, 22.3444, 22.3397) * CHOOSE(CONTROL!$C$15, $D$11, 100%, $F$11)</f>
        <v>22.3444</v>
      </c>
      <c r="I647" s="8">
        <f>CHOOSE( CONTROL!$C$32, 21.1517, 21.147) * CHOOSE(CONTROL!$C$15, $D$11, 100%, $F$11)</f>
        <v>21.151700000000002</v>
      </c>
      <c r="J647" s="4">
        <f>CHOOSE( CONTROL!$C$32, 21.0346, 21.03) * CHOOSE(CONTROL!$C$15, $D$11, 100%, $F$11)</f>
        <v>21.034600000000001</v>
      </c>
      <c r="K647" s="4"/>
      <c r="L647" s="9">
        <v>30.7165</v>
      </c>
      <c r="M647" s="9">
        <v>12.063700000000001</v>
      </c>
      <c r="N647" s="9">
        <v>4.9444999999999997</v>
      </c>
      <c r="O647" s="9">
        <v>0.37409999999999999</v>
      </c>
      <c r="P647" s="9">
        <v>1.2183999999999999</v>
      </c>
      <c r="Q647" s="9">
        <v>19.688099999999999</v>
      </c>
      <c r="R647" s="9"/>
      <c r="S647" s="11"/>
    </row>
    <row r="648" spans="1:19" ht="15.75">
      <c r="A648" s="13">
        <v>61240</v>
      </c>
      <c r="B648" s="8">
        <f>CHOOSE( CONTROL!$C$32, 20.2484, 20.2435) * CHOOSE(CONTROL!$C$15, $D$11, 100%, $F$11)</f>
        <v>20.2484</v>
      </c>
      <c r="C648" s="8">
        <f>CHOOSE( CONTROL!$C$32, 20.2565, 20.2516) * CHOOSE(CONTROL!$C$15, $D$11, 100%, $F$11)</f>
        <v>20.256499999999999</v>
      </c>
      <c r="D648" s="8">
        <f>CHOOSE( CONTROL!$C$32, 20.2783, 20.2734) * CHOOSE( CONTROL!$C$15, $D$11, 100%, $F$11)</f>
        <v>20.278300000000002</v>
      </c>
      <c r="E648" s="12">
        <f>CHOOSE( CONTROL!$C$32, 20.2692, 20.2643) * CHOOSE( CONTROL!$C$15, $D$11, 100%, $F$11)</f>
        <v>20.269200000000001</v>
      </c>
      <c r="F648" s="4">
        <f>CHOOSE( CONTROL!$C$32, 20.9462, 20.9413) * CHOOSE(CONTROL!$C$15, $D$11, 100%, $F$11)</f>
        <v>20.946200000000001</v>
      </c>
      <c r="G648" s="8">
        <f>CHOOSE( CONTROL!$C$32, 19.7639, 19.7591) * CHOOSE( CONTROL!$C$15, $D$11, 100%, $F$11)</f>
        <v>19.7639</v>
      </c>
      <c r="H648" s="4">
        <f>CHOOSE( CONTROL!$C$32, 20.693, 20.6883) * CHOOSE(CONTROL!$C$15, $D$11, 100%, $F$11)</f>
        <v>20.693000000000001</v>
      </c>
      <c r="I648" s="8">
        <f>CHOOSE( CONTROL!$C$32, 19.5278, 19.5231) * CHOOSE(CONTROL!$C$15, $D$11, 100%, $F$11)</f>
        <v>19.527799999999999</v>
      </c>
      <c r="J648" s="4">
        <f>CHOOSE( CONTROL!$C$32, 19.4112, 19.4066) * CHOOSE(CONTROL!$C$15, $D$11, 100%, $F$11)</f>
        <v>19.411200000000001</v>
      </c>
      <c r="K648" s="4"/>
      <c r="L648" s="9">
        <v>30.7165</v>
      </c>
      <c r="M648" s="9">
        <v>12.063700000000001</v>
      </c>
      <c r="N648" s="9">
        <v>4.9444999999999997</v>
      </c>
      <c r="O648" s="9">
        <v>0.37409999999999999</v>
      </c>
      <c r="P648" s="9">
        <v>1.2183999999999999</v>
      </c>
      <c r="Q648" s="9">
        <v>19.688099999999999</v>
      </c>
      <c r="R648" s="9"/>
      <c r="S648" s="11"/>
    </row>
    <row r="649" spans="1:19" ht="15.75">
      <c r="A649" s="13">
        <v>61270</v>
      </c>
      <c r="B649" s="8">
        <f>CHOOSE( CONTROL!$C$32, 19.825, 19.8201) * CHOOSE(CONTROL!$C$15, $D$11, 100%, $F$11)</f>
        <v>19.824999999999999</v>
      </c>
      <c r="C649" s="8">
        <f>CHOOSE( CONTROL!$C$32, 19.8331, 19.8282) * CHOOSE(CONTROL!$C$15, $D$11, 100%, $F$11)</f>
        <v>19.833100000000002</v>
      </c>
      <c r="D649" s="8">
        <f>CHOOSE( CONTROL!$C$32, 19.8548, 19.85) * CHOOSE( CONTROL!$C$15, $D$11, 100%, $F$11)</f>
        <v>19.854800000000001</v>
      </c>
      <c r="E649" s="12">
        <f>CHOOSE( CONTROL!$C$32, 19.8457, 19.8409) * CHOOSE( CONTROL!$C$15, $D$11, 100%, $F$11)</f>
        <v>19.845700000000001</v>
      </c>
      <c r="F649" s="4">
        <f>CHOOSE( CONTROL!$C$32, 20.5228, 20.5179) * CHOOSE(CONTROL!$C$15, $D$11, 100%, $F$11)</f>
        <v>20.5228</v>
      </c>
      <c r="G649" s="8">
        <f>CHOOSE( CONTROL!$C$32, 19.3503, 19.3456) * CHOOSE( CONTROL!$C$15, $D$11, 100%, $F$11)</f>
        <v>19.350300000000001</v>
      </c>
      <c r="H649" s="4">
        <f>CHOOSE( CONTROL!$C$32, 20.2794, 20.2747) * CHOOSE(CONTROL!$C$15, $D$11, 100%, $F$11)</f>
        <v>20.279399999999999</v>
      </c>
      <c r="I649" s="8">
        <f>CHOOSE( CONTROL!$C$32, 19.121, 19.1163) * CHOOSE(CONTROL!$C$15, $D$11, 100%, $F$11)</f>
        <v>19.120999999999999</v>
      </c>
      <c r="J649" s="4">
        <f>CHOOSE( CONTROL!$C$32, 19.0047, 19.0001) * CHOOSE(CONTROL!$C$15, $D$11, 100%, $F$11)</f>
        <v>19.0047</v>
      </c>
      <c r="K649" s="4"/>
      <c r="L649" s="9">
        <v>29.7257</v>
      </c>
      <c r="M649" s="9">
        <v>11.6745</v>
      </c>
      <c r="N649" s="9">
        <v>4.7850000000000001</v>
      </c>
      <c r="O649" s="9">
        <v>0.36199999999999999</v>
      </c>
      <c r="P649" s="9">
        <v>1.1791</v>
      </c>
      <c r="Q649" s="9">
        <v>19.053000000000001</v>
      </c>
      <c r="R649" s="9"/>
      <c r="S649" s="11"/>
    </row>
    <row r="650" spans="1:19" ht="15.75">
      <c r="A650" s="13">
        <v>61301</v>
      </c>
      <c r="B650" s="8">
        <f>20.6975 * CHOOSE(CONTROL!$C$15, $D$11, 100%, $F$11)</f>
        <v>20.697500000000002</v>
      </c>
      <c r="C650" s="8">
        <f>20.703 * CHOOSE(CONTROL!$C$15, $D$11, 100%, $F$11)</f>
        <v>20.702999999999999</v>
      </c>
      <c r="D650" s="8">
        <f>20.7294 * CHOOSE( CONTROL!$C$15, $D$11, 100%, $F$11)</f>
        <v>20.729399999999998</v>
      </c>
      <c r="E650" s="12">
        <f>20.7201 * CHOOSE( CONTROL!$C$15, $D$11, 100%, $F$11)</f>
        <v>20.720099999999999</v>
      </c>
      <c r="F650" s="4">
        <f>21.3971 * CHOOSE(CONTROL!$C$15, $D$11, 100%, $F$11)</f>
        <v>21.397099999999998</v>
      </c>
      <c r="G650" s="8">
        <f>20.2035 * CHOOSE( CONTROL!$C$15, $D$11, 100%, $F$11)</f>
        <v>20.203499999999998</v>
      </c>
      <c r="H650" s="4">
        <f>21.1334 * CHOOSE(CONTROL!$C$15, $D$11, 100%, $F$11)</f>
        <v>21.133400000000002</v>
      </c>
      <c r="I650" s="8">
        <f>19.9616 * CHOOSE(CONTROL!$C$15, $D$11, 100%, $F$11)</f>
        <v>19.961600000000001</v>
      </c>
      <c r="J650" s="4">
        <f>19.8441 * CHOOSE(CONTROL!$C$15, $D$11, 100%, $F$11)</f>
        <v>19.844100000000001</v>
      </c>
      <c r="K650" s="4"/>
      <c r="L650" s="9">
        <v>31.095300000000002</v>
      </c>
      <c r="M650" s="9">
        <v>12.063700000000001</v>
      </c>
      <c r="N650" s="9">
        <v>4.9444999999999997</v>
      </c>
      <c r="O650" s="9">
        <v>0.37409999999999999</v>
      </c>
      <c r="P650" s="9">
        <v>1.2183999999999999</v>
      </c>
      <c r="Q650" s="9">
        <v>19.688099999999999</v>
      </c>
      <c r="R650" s="9"/>
      <c r="S650" s="11"/>
    </row>
    <row r="651" spans="1:19" ht="15.75">
      <c r="A651" s="13">
        <v>61331</v>
      </c>
      <c r="B651" s="8">
        <f>22.3198 * CHOOSE(CONTROL!$C$15, $D$11, 100%, $F$11)</f>
        <v>22.319800000000001</v>
      </c>
      <c r="C651" s="8">
        <f>22.325 * CHOOSE(CONTROL!$C$15, $D$11, 100%, $F$11)</f>
        <v>22.324999999999999</v>
      </c>
      <c r="D651" s="8">
        <f>22.3143 * CHOOSE( CONTROL!$C$15, $D$11, 100%, $F$11)</f>
        <v>22.314299999999999</v>
      </c>
      <c r="E651" s="12">
        <f>22.3177 * CHOOSE( CONTROL!$C$15, $D$11, 100%, $F$11)</f>
        <v>22.317699999999999</v>
      </c>
      <c r="F651" s="4">
        <f>22.9687 * CHOOSE(CONTROL!$C$15, $D$11, 100%, $F$11)</f>
        <v>22.968699999999998</v>
      </c>
      <c r="G651" s="8">
        <f>21.7929 * CHOOSE( CONTROL!$C$15, $D$11, 100%, $F$11)</f>
        <v>21.792899999999999</v>
      </c>
      <c r="H651" s="4">
        <f>22.6684 * CHOOSE(CONTROL!$C$15, $D$11, 100%, $F$11)</f>
        <v>22.668399999999998</v>
      </c>
      <c r="I651" s="8">
        <f>21.5459 * CHOOSE(CONTROL!$C$15, $D$11, 100%, $F$11)</f>
        <v>21.5459</v>
      </c>
      <c r="J651" s="4">
        <f>21.4021 * CHOOSE(CONTROL!$C$15, $D$11, 100%, $F$11)</f>
        <v>21.402100000000001</v>
      </c>
      <c r="K651" s="4"/>
      <c r="L651" s="9">
        <v>28.360600000000002</v>
      </c>
      <c r="M651" s="9">
        <v>11.6745</v>
      </c>
      <c r="N651" s="9">
        <v>4.7850000000000001</v>
      </c>
      <c r="O651" s="9">
        <v>0.36199999999999999</v>
      </c>
      <c r="P651" s="9">
        <v>1.2509999999999999</v>
      </c>
      <c r="Q651" s="9">
        <v>19.053000000000001</v>
      </c>
      <c r="R651" s="9"/>
      <c r="S651" s="11"/>
    </row>
    <row r="652" spans="1:19" ht="15.75">
      <c r="A652" s="13">
        <v>61362</v>
      </c>
      <c r="B652" s="8">
        <f>22.2793 * CHOOSE(CONTROL!$C$15, $D$11, 100%, $F$11)</f>
        <v>22.279299999999999</v>
      </c>
      <c r="C652" s="8">
        <f>22.2845 * CHOOSE(CONTROL!$C$15, $D$11, 100%, $F$11)</f>
        <v>22.284500000000001</v>
      </c>
      <c r="D652" s="8">
        <f>22.2751 * CHOOSE( CONTROL!$C$15, $D$11, 100%, $F$11)</f>
        <v>22.275099999999998</v>
      </c>
      <c r="E652" s="12">
        <f>22.278 * CHOOSE( CONTROL!$C$15, $D$11, 100%, $F$11)</f>
        <v>22.277999999999999</v>
      </c>
      <c r="F652" s="4">
        <f>22.9282 * CHOOSE(CONTROL!$C$15, $D$11, 100%, $F$11)</f>
        <v>22.9282</v>
      </c>
      <c r="G652" s="8">
        <f>21.7543 * CHOOSE( CONTROL!$C$15, $D$11, 100%, $F$11)</f>
        <v>21.754300000000001</v>
      </c>
      <c r="H652" s="4">
        <f>22.6288 * CHOOSE(CONTROL!$C$15, $D$11, 100%, $F$11)</f>
        <v>22.628799999999998</v>
      </c>
      <c r="I652" s="8">
        <f>21.5112 * CHOOSE(CONTROL!$C$15, $D$11, 100%, $F$11)</f>
        <v>21.511199999999999</v>
      </c>
      <c r="J652" s="4">
        <f>21.3632 * CHOOSE(CONTROL!$C$15, $D$11, 100%, $F$11)</f>
        <v>21.363199999999999</v>
      </c>
      <c r="K652" s="4"/>
      <c r="L652" s="9">
        <v>29.306000000000001</v>
      </c>
      <c r="M652" s="9">
        <v>12.063700000000001</v>
      </c>
      <c r="N652" s="9">
        <v>4.9444999999999997</v>
      </c>
      <c r="O652" s="9">
        <v>0.37409999999999999</v>
      </c>
      <c r="P652" s="9">
        <v>1.2927</v>
      </c>
      <c r="Q652" s="9">
        <v>19.688099999999999</v>
      </c>
      <c r="R652" s="9"/>
      <c r="S652" s="11"/>
    </row>
    <row r="653" spans="1:19" ht="15.75">
      <c r="A653" s="13">
        <v>61393</v>
      </c>
      <c r="B653" s="8">
        <f>23.1297 * CHOOSE(CONTROL!$C$15, $D$11, 100%, $F$11)</f>
        <v>23.1297</v>
      </c>
      <c r="C653" s="8">
        <f>23.1349 * CHOOSE(CONTROL!$C$15, $D$11, 100%, $F$11)</f>
        <v>23.134899999999998</v>
      </c>
      <c r="D653" s="8">
        <f>23.1214 * CHOOSE( CONTROL!$C$15, $D$11, 100%, $F$11)</f>
        <v>23.121400000000001</v>
      </c>
      <c r="E653" s="12">
        <f>23.1258 * CHOOSE( CONTROL!$C$15, $D$11, 100%, $F$11)</f>
        <v>23.125800000000002</v>
      </c>
      <c r="F653" s="4">
        <f>23.7786 * CHOOSE(CONTROL!$C$15, $D$11, 100%, $F$11)</f>
        <v>23.778600000000001</v>
      </c>
      <c r="G653" s="8">
        <f>22.5786 * CHOOSE( CONTROL!$C$15, $D$11, 100%, $F$11)</f>
        <v>22.578600000000002</v>
      </c>
      <c r="H653" s="4">
        <f>23.4594 * CHOOSE(CONTROL!$C$15, $D$11, 100%, $F$11)</f>
        <v>23.459399999999999</v>
      </c>
      <c r="I653" s="8">
        <f>22.3044 * CHOOSE(CONTROL!$C$15, $D$11, 100%, $F$11)</f>
        <v>22.304400000000001</v>
      </c>
      <c r="J653" s="4">
        <f>22.1796 * CHOOSE(CONTROL!$C$15, $D$11, 100%, $F$11)</f>
        <v>22.179600000000001</v>
      </c>
      <c r="K653" s="4"/>
      <c r="L653" s="9">
        <v>29.306000000000001</v>
      </c>
      <c r="M653" s="9">
        <v>12.063700000000001</v>
      </c>
      <c r="N653" s="9">
        <v>4.9444999999999997</v>
      </c>
      <c r="O653" s="9">
        <v>0.37409999999999999</v>
      </c>
      <c r="P653" s="9">
        <v>1.2927</v>
      </c>
      <c r="Q653" s="9">
        <v>19.688099999999999</v>
      </c>
      <c r="R653" s="9"/>
      <c r="S653" s="11"/>
    </row>
    <row r="654" spans="1:19" ht="15.75">
      <c r="A654" s="13">
        <v>61422</v>
      </c>
      <c r="B654" s="8">
        <f>21.6362 * CHOOSE(CONTROL!$C$15, $D$11, 100%, $F$11)</f>
        <v>21.636199999999999</v>
      </c>
      <c r="C654" s="8">
        <f>21.6414 * CHOOSE(CONTROL!$C$15, $D$11, 100%, $F$11)</f>
        <v>21.641400000000001</v>
      </c>
      <c r="D654" s="8">
        <f>21.6279 * CHOOSE( CONTROL!$C$15, $D$11, 100%, $F$11)</f>
        <v>21.6279</v>
      </c>
      <c r="E654" s="12">
        <f>21.6323 * CHOOSE( CONTROL!$C$15, $D$11, 100%, $F$11)</f>
        <v>21.632300000000001</v>
      </c>
      <c r="F654" s="4">
        <f>22.2851 * CHOOSE(CONTROL!$C$15, $D$11, 100%, $F$11)</f>
        <v>22.2851</v>
      </c>
      <c r="G654" s="8">
        <f>21.12 * CHOOSE( CONTROL!$C$15, $D$11, 100%, $F$11)</f>
        <v>21.12</v>
      </c>
      <c r="H654" s="4">
        <f>22.0007 * CHOOSE(CONTROL!$C$15, $D$11, 100%, $F$11)</f>
        <v>22.000699999999998</v>
      </c>
      <c r="I654" s="8">
        <f>20.8698 * CHOOSE(CONTROL!$C$15, $D$11, 100%, $F$11)</f>
        <v>20.869800000000001</v>
      </c>
      <c r="J654" s="4">
        <f>20.7458 * CHOOSE(CONTROL!$C$15, $D$11, 100%, $F$11)</f>
        <v>20.745799999999999</v>
      </c>
      <c r="K654" s="4"/>
      <c r="L654" s="9">
        <v>27.415299999999998</v>
      </c>
      <c r="M654" s="9">
        <v>11.285299999999999</v>
      </c>
      <c r="N654" s="9">
        <v>4.6254999999999997</v>
      </c>
      <c r="O654" s="9">
        <v>0.34989999999999999</v>
      </c>
      <c r="P654" s="9">
        <v>1.2093</v>
      </c>
      <c r="Q654" s="9">
        <v>18.417899999999999</v>
      </c>
      <c r="R654" s="9"/>
      <c r="S654" s="11"/>
    </row>
    <row r="655" spans="1:19" ht="15.75">
      <c r="A655" s="13">
        <v>61453</v>
      </c>
      <c r="B655" s="8">
        <f>21.1763 * CHOOSE(CONTROL!$C$15, $D$11, 100%, $F$11)</f>
        <v>21.176300000000001</v>
      </c>
      <c r="C655" s="8">
        <f>21.1814 * CHOOSE(CONTROL!$C$15, $D$11, 100%, $F$11)</f>
        <v>21.1814</v>
      </c>
      <c r="D655" s="8">
        <f>21.1676 * CHOOSE( CONTROL!$C$15, $D$11, 100%, $F$11)</f>
        <v>21.1676</v>
      </c>
      <c r="E655" s="12">
        <f>21.1721 * CHOOSE( CONTROL!$C$15, $D$11, 100%, $F$11)</f>
        <v>21.1721</v>
      </c>
      <c r="F655" s="4">
        <f>21.8252 * CHOOSE(CONTROL!$C$15, $D$11, 100%, $F$11)</f>
        <v>21.825199999999999</v>
      </c>
      <c r="G655" s="8">
        <f>20.6705 * CHOOSE( CONTROL!$C$15, $D$11, 100%, $F$11)</f>
        <v>20.670500000000001</v>
      </c>
      <c r="H655" s="4">
        <f>21.5515 * CHOOSE(CONTROL!$C$15, $D$11, 100%, $F$11)</f>
        <v>21.551500000000001</v>
      </c>
      <c r="I655" s="8">
        <f>20.427 * CHOOSE(CONTROL!$C$15, $D$11, 100%, $F$11)</f>
        <v>20.427</v>
      </c>
      <c r="J655" s="4">
        <f>20.3041 * CHOOSE(CONTROL!$C$15, $D$11, 100%, $F$11)</f>
        <v>20.304099999999998</v>
      </c>
      <c r="K655" s="4"/>
      <c r="L655" s="9">
        <v>29.306000000000001</v>
      </c>
      <c r="M655" s="9">
        <v>12.063700000000001</v>
      </c>
      <c r="N655" s="9">
        <v>4.9444999999999997</v>
      </c>
      <c r="O655" s="9">
        <v>0.37409999999999999</v>
      </c>
      <c r="P655" s="9">
        <v>1.2927</v>
      </c>
      <c r="Q655" s="9">
        <v>19.688099999999999</v>
      </c>
      <c r="R655" s="9"/>
      <c r="S655" s="11"/>
    </row>
    <row r="656" spans="1:19" ht="15.75">
      <c r="A656" s="13">
        <v>61483</v>
      </c>
      <c r="B656" s="8">
        <f>21.4984 * CHOOSE(CONTROL!$C$15, $D$11, 100%, $F$11)</f>
        <v>21.4984</v>
      </c>
      <c r="C656" s="8">
        <f>21.5031 * CHOOSE(CONTROL!$C$15, $D$11, 100%, $F$11)</f>
        <v>21.5031</v>
      </c>
      <c r="D656" s="8">
        <f>21.5294 * CHOOSE( CONTROL!$C$15, $D$11, 100%, $F$11)</f>
        <v>21.529399999999999</v>
      </c>
      <c r="E656" s="12">
        <f>21.5202 * CHOOSE( CONTROL!$C$15, $D$11, 100%, $F$11)</f>
        <v>21.520199999999999</v>
      </c>
      <c r="F656" s="4">
        <f>22.1976 * CHOOSE(CONTROL!$C$15, $D$11, 100%, $F$11)</f>
        <v>22.197600000000001</v>
      </c>
      <c r="G656" s="8">
        <f>20.9844 * CHOOSE( CONTROL!$C$15, $D$11, 100%, $F$11)</f>
        <v>20.984400000000001</v>
      </c>
      <c r="H656" s="4">
        <f>21.9153 * CHOOSE(CONTROL!$C$15, $D$11, 100%, $F$11)</f>
        <v>21.915299999999998</v>
      </c>
      <c r="I656" s="8">
        <f>20.7276 * CHOOSE(CONTROL!$C$15, $D$11, 100%, $F$11)</f>
        <v>20.727599999999999</v>
      </c>
      <c r="J656" s="4">
        <f>20.6127 * CHOOSE(CONTROL!$C$15, $D$11, 100%, $F$11)</f>
        <v>20.6127</v>
      </c>
      <c r="K656" s="4"/>
      <c r="L656" s="9">
        <v>30.092199999999998</v>
      </c>
      <c r="M656" s="9">
        <v>11.6745</v>
      </c>
      <c r="N656" s="9">
        <v>4.7850000000000001</v>
      </c>
      <c r="O656" s="9">
        <v>0.36199999999999999</v>
      </c>
      <c r="P656" s="9">
        <v>1.1791</v>
      </c>
      <c r="Q656" s="9">
        <v>19.053000000000001</v>
      </c>
      <c r="R656" s="9"/>
      <c r="S656" s="11"/>
    </row>
    <row r="657" spans="1:19" ht="15.75">
      <c r="A657" s="13">
        <v>61514</v>
      </c>
      <c r="B657" s="8">
        <f>CHOOSE( CONTROL!$C$32, 22.0767, 22.0719) * CHOOSE(CONTROL!$C$15, $D$11, 100%, $F$11)</f>
        <v>22.076699999999999</v>
      </c>
      <c r="C657" s="8">
        <f>CHOOSE( CONTROL!$C$32, 22.0848, 22.08) * CHOOSE(CONTROL!$C$15, $D$11, 100%, $F$11)</f>
        <v>22.084800000000001</v>
      </c>
      <c r="D657" s="8">
        <f>CHOOSE( CONTROL!$C$32, 22.1061, 22.1013) * CHOOSE( CONTROL!$C$15, $D$11, 100%, $F$11)</f>
        <v>22.106100000000001</v>
      </c>
      <c r="E657" s="12">
        <f>CHOOSE( CONTROL!$C$32, 22.0971, 22.0923) * CHOOSE( CONTROL!$C$15, $D$11, 100%, $F$11)</f>
        <v>22.097100000000001</v>
      </c>
      <c r="F657" s="4">
        <f>CHOOSE( CONTROL!$C$32, 22.7745, 22.7697) * CHOOSE(CONTROL!$C$15, $D$11, 100%, $F$11)</f>
        <v>22.7745</v>
      </c>
      <c r="G657" s="8">
        <f>CHOOSE( CONTROL!$C$32, 21.5489, 21.5442) * CHOOSE( CONTROL!$C$15, $D$11, 100%, $F$11)</f>
        <v>21.5489</v>
      </c>
      <c r="H657" s="4">
        <f>CHOOSE( CONTROL!$C$32, 22.4787, 22.474) * CHOOSE(CONTROL!$C$15, $D$11, 100%, $F$11)</f>
        <v>22.4787</v>
      </c>
      <c r="I657" s="8">
        <f>CHOOSE( CONTROL!$C$32, 21.2817, 21.2771) * CHOOSE(CONTROL!$C$15, $D$11, 100%, $F$11)</f>
        <v>21.281700000000001</v>
      </c>
      <c r="J657" s="4">
        <f>CHOOSE( CONTROL!$C$32, 21.1666, 21.162) * CHOOSE(CONTROL!$C$15, $D$11, 100%, $F$11)</f>
        <v>21.166599999999999</v>
      </c>
      <c r="K657" s="4"/>
      <c r="L657" s="9">
        <v>30.7165</v>
      </c>
      <c r="M657" s="9">
        <v>12.063700000000001</v>
      </c>
      <c r="N657" s="9">
        <v>4.9444999999999997</v>
      </c>
      <c r="O657" s="9">
        <v>0.37409999999999999</v>
      </c>
      <c r="P657" s="9">
        <v>1.2183999999999999</v>
      </c>
      <c r="Q657" s="9">
        <v>19.688099999999999</v>
      </c>
      <c r="R657" s="9"/>
      <c r="S657" s="11"/>
    </row>
    <row r="658" spans="1:19" ht="15.75">
      <c r="A658" s="13">
        <v>61544</v>
      </c>
      <c r="B658" s="8">
        <f>CHOOSE( CONTROL!$C$32, 21.7223, 21.7175) * CHOOSE(CONTROL!$C$15, $D$11, 100%, $F$11)</f>
        <v>21.722300000000001</v>
      </c>
      <c r="C658" s="8">
        <f>CHOOSE( CONTROL!$C$32, 21.7304, 21.7256) * CHOOSE(CONTROL!$C$15, $D$11, 100%, $F$11)</f>
        <v>21.730399999999999</v>
      </c>
      <c r="D658" s="8">
        <f>CHOOSE( CONTROL!$C$32, 21.7519, 21.7471) * CHOOSE( CONTROL!$C$15, $D$11, 100%, $F$11)</f>
        <v>21.751899999999999</v>
      </c>
      <c r="E658" s="12">
        <f>CHOOSE( CONTROL!$C$32, 21.7429, 21.7381) * CHOOSE( CONTROL!$C$15, $D$11, 100%, $F$11)</f>
        <v>21.742899999999999</v>
      </c>
      <c r="F658" s="4">
        <f>CHOOSE( CONTROL!$C$32, 22.4201, 22.4153) * CHOOSE(CONTROL!$C$15, $D$11, 100%, $F$11)</f>
        <v>22.420100000000001</v>
      </c>
      <c r="G658" s="8">
        <f>CHOOSE( CONTROL!$C$32, 21.203, 21.1983) * CHOOSE( CONTROL!$C$15, $D$11, 100%, $F$11)</f>
        <v>21.202999999999999</v>
      </c>
      <c r="H658" s="4">
        <f>CHOOSE( CONTROL!$C$32, 22.1326, 22.1279) * CHOOSE(CONTROL!$C$15, $D$11, 100%, $F$11)</f>
        <v>22.1326</v>
      </c>
      <c r="I658" s="8">
        <f>CHOOSE( CONTROL!$C$32, 20.9422, 20.9376) * CHOOSE(CONTROL!$C$15, $D$11, 100%, $F$11)</f>
        <v>20.9422</v>
      </c>
      <c r="J658" s="4">
        <f>CHOOSE( CONTROL!$C$32, 20.8264, 20.8217) * CHOOSE(CONTROL!$C$15, $D$11, 100%, $F$11)</f>
        <v>20.8264</v>
      </c>
      <c r="K658" s="4"/>
      <c r="L658" s="9">
        <v>29.7257</v>
      </c>
      <c r="M658" s="9">
        <v>11.6745</v>
      </c>
      <c r="N658" s="9">
        <v>4.7850000000000001</v>
      </c>
      <c r="O658" s="9">
        <v>0.36199999999999999</v>
      </c>
      <c r="P658" s="9">
        <v>1.1791</v>
      </c>
      <c r="Q658" s="9">
        <v>19.053000000000001</v>
      </c>
      <c r="R658" s="9"/>
      <c r="S658" s="11"/>
    </row>
    <row r="659" spans="1:19" ht="15.75">
      <c r="A659" s="13">
        <v>61575</v>
      </c>
      <c r="B659" s="8">
        <f>CHOOSE( CONTROL!$C$32, 22.6555, 22.6507) * CHOOSE(CONTROL!$C$15, $D$11, 100%, $F$11)</f>
        <v>22.6555</v>
      </c>
      <c r="C659" s="8">
        <f>CHOOSE( CONTROL!$C$32, 22.6636, 22.6588) * CHOOSE(CONTROL!$C$15, $D$11, 100%, $F$11)</f>
        <v>22.663599999999999</v>
      </c>
      <c r="D659" s="8">
        <f>CHOOSE( CONTROL!$C$32, 22.6854, 22.6805) * CHOOSE( CONTROL!$C$15, $D$11, 100%, $F$11)</f>
        <v>22.685400000000001</v>
      </c>
      <c r="E659" s="12">
        <f>CHOOSE( CONTROL!$C$32, 22.6763, 22.6714) * CHOOSE( CONTROL!$C$15, $D$11, 100%, $F$11)</f>
        <v>22.676300000000001</v>
      </c>
      <c r="F659" s="4">
        <f>CHOOSE( CONTROL!$C$32, 23.3533, 23.3485) * CHOOSE(CONTROL!$C$15, $D$11, 100%, $F$11)</f>
        <v>23.353300000000001</v>
      </c>
      <c r="G659" s="8">
        <f>CHOOSE( CONTROL!$C$32, 22.1149, 22.1101) * CHOOSE( CONTROL!$C$15, $D$11, 100%, $F$11)</f>
        <v>22.114899999999999</v>
      </c>
      <c r="H659" s="4">
        <f>CHOOSE( CONTROL!$C$32, 23.0441, 23.0393) * CHOOSE(CONTROL!$C$15, $D$11, 100%, $F$11)</f>
        <v>23.0441</v>
      </c>
      <c r="I659" s="8">
        <f>CHOOSE( CONTROL!$C$32, 21.8398, 21.8351) * CHOOSE(CONTROL!$C$15, $D$11, 100%, $F$11)</f>
        <v>21.8398</v>
      </c>
      <c r="J659" s="4">
        <f>CHOOSE( CONTROL!$C$32, 21.7224, 21.7177) * CHOOSE(CONTROL!$C$15, $D$11, 100%, $F$11)</f>
        <v>21.7224</v>
      </c>
      <c r="K659" s="4"/>
      <c r="L659" s="9">
        <v>30.7165</v>
      </c>
      <c r="M659" s="9">
        <v>12.063700000000001</v>
      </c>
      <c r="N659" s="9">
        <v>4.9444999999999997</v>
      </c>
      <c r="O659" s="9">
        <v>0.37409999999999999</v>
      </c>
      <c r="P659" s="9">
        <v>1.2183999999999999</v>
      </c>
      <c r="Q659" s="9">
        <v>19.688099999999999</v>
      </c>
      <c r="R659" s="9"/>
      <c r="S659" s="11"/>
    </row>
    <row r="660" spans="1:19" ht="15.75">
      <c r="A660" s="13">
        <v>61606</v>
      </c>
      <c r="B660" s="8">
        <f>CHOOSE( CONTROL!$C$32, 20.9094, 20.9046) * CHOOSE(CONTROL!$C$15, $D$11, 100%, $F$11)</f>
        <v>20.909400000000002</v>
      </c>
      <c r="C660" s="8">
        <f>CHOOSE( CONTROL!$C$32, 20.9175, 20.9127) * CHOOSE(CONTROL!$C$15, $D$11, 100%, $F$11)</f>
        <v>20.9175</v>
      </c>
      <c r="D660" s="8">
        <f>CHOOSE( CONTROL!$C$32, 20.9393, 20.9345) * CHOOSE( CONTROL!$C$15, $D$11, 100%, $F$11)</f>
        <v>20.939299999999999</v>
      </c>
      <c r="E660" s="12">
        <f>CHOOSE( CONTROL!$C$32, 20.9302, 20.9254) * CHOOSE( CONTROL!$C$15, $D$11, 100%, $F$11)</f>
        <v>20.930199999999999</v>
      </c>
      <c r="F660" s="4">
        <f>CHOOSE( CONTROL!$C$32, 21.6072, 21.6024) * CHOOSE(CONTROL!$C$15, $D$11, 100%, $F$11)</f>
        <v>21.607199999999999</v>
      </c>
      <c r="G660" s="8">
        <f>CHOOSE( CONTROL!$C$32, 20.4095, 20.4048) * CHOOSE( CONTROL!$C$15, $D$11, 100%, $F$11)</f>
        <v>20.409500000000001</v>
      </c>
      <c r="H660" s="4">
        <f>CHOOSE( CONTROL!$C$32, 21.3386, 21.3339) * CHOOSE(CONTROL!$C$15, $D$11, 100%, $F$11)</f>
        <v>21.3386</v>
      </c>
      <c r="I660" s="8">
        <f>CHOOSE( CONTROL!$C$32, 20.1628, 20.1581) * CHOOSE(CONTROL!$C$15, $D$11, 100%, $F$11)</f>
        <v>20.162800000000001</v>
      </c>
      <c r="J660" s="4">
        <f>CHOOSE( CONTROL!$C$32, 20.0459, 20.0413) * CHOOSE(CONTROL!$C$15, $D$11, 100%, $F$11)</f>
        <v>20.0459</v>
      </c>
      <c r="K660" s="4"/>
      <c r="L660" s="9">
        <v>30.7165</v>
      </c>
      <c r="M660" s="9">
        <v>12.063700000000001</v>
      </c>
      <c r="N660" s="9">
        <v>4.9444999999999997</v>
      </c>
      <c r="O660" s="9">
        <v>0.37409999999999999</v>
      </c>
      <c r="P660" s="9">
        <v>1.2183999999999999</v>
      </c>
      <c r="Q660" s="9">
        <v>19.688099999999999</v>
      </c>
      <c r="R660" s="9"/>
      <c r="S660" s="11"/>
    </row>
    <row r="661" spans="1:19" ht="15.75">
      <c r="A661" s="13">
        <v>61636</v>
      </c>
      <c r="B661" s="8">
        <f>CHOOSE( CONTROL!$C$32, 20.4722, 20.4673) * CHOOSE(CONTROL!$C$15, $D$11, 100%, $F$11)</f>
        <v>20.472200000000001</v>
      </c>
      <c r="C661" s="8">
        <f>CHOOSE( CONTROL!$C$32, 20.4803, 20.4754) * CHOOSE(CONTROL!$C$15, $D$11, 100%, $F$11)</f>
        <v>20.4803</v>
      </c>
      <c r="D661" s="8">
        <f>CHOOSE( CONTROL!$C$32, 20.502, 20.4972) * CHOOSE( CONTROL!$C$15, $D$11, 100%, $F$11)</f>
        <v>20.501999999999999</v>
      </c>
      <c r="E661" s="12">
        <f>CHOOSE( CONTROL!$C$32, 20.4929, 20.4881) * CHOOSE( CONTROL!$C$15, $D$11, 100%, $F$11)</f>
        <v>20.492899999999999</v>
      </c>
      <c r="F661" s="4">
        <f>CHOOSE( CONTROL!$C$32, 21.17, 21.1651) * CHOOSE(CONTROL!$C$15, $D$11, 100%, $F$11)</f>
        <v>21.17</v>
      </c>
      <c r="G661" s="8">
        <f>CHOOSE( CONTROL!$C$32, 19.9824, 19.9777) * CHOOSE( CONTROL!$C$15, $D$11, 100%, $F$11)</f>
        <v>19.982399999999998</v>
      </c>
      <c r="H661" s="4">
        <f>CHOOSE( CONTROL!$C$32, 20.9116, 20.9068) * CHOOSE(CONTROL!$C$15, $D$11, 100%, $F$11)</f>
        <v>20.9116</v>
      </c>
      <c r="I661" s="8">
        <f>CHOOSE( CONTROL!$C$32, 19.7427, 19.738) * CHOOSE(CONTROL!$C$15, $D$11, 100%, $F$11)</f>
        <v>19.742699999999999</v>
      </c>
      <c r="J661" s="4">
        <f>CHOOSE( CONTROL!$C$32, 19.6261, 19.6215) * CHOOSE(CONTROL!$C$15, $D$11, 100%, $F$11)</f>
        <v>19.626100000000001</v>
      </c>
      <c r="K661" s="4"/>
      <c r="L661" s="9">
        <v>29.7257</v>
      </c>
      <c r="M661" s="9">
        <v>11.6745</v>
      </c>
      <c r="N661" s="9">
        <v>4.7850000000000001</v>
      </c>
      <c r="O661" s="9">
        <v>0.36199999999999999</v>
      </c>
      <c r="P661" s="9">
        <v>1.1791</v>
      </c>
      <c r="Q661" s="9">
        <v>19.053000000000001</v>
      </c>
      <c r="R661" s="9"/>
      <c r="S661" s="11"/>
    </row>
    <row r="662" spans="1:19" ht="15.75">
      <c r="A662" s="13">
        <v>61667</v>
      </c>
      <c r="B662" s="8">
        <f>21.3735 * CHOOSE(CONTROL!$C$15, $D$11, 100%, $F$11)</f>
        <v>21.3735</v>
      </c>
      <c r="C662" s="8">
        <f>21.3789 * CHOOSE(CONTROL!$C$15, $D$11, 100%, $F$11)</f>
        <v>21.378900000000002</v>
      </c>
      <c r="D662" s="8">
        <f>21.4054 * CHOOSE( CONTROL!$C$15, $D$11, 100%, $F$11)</f>
        <v>21.4054</v>
      </c>
      <c r="E662" s="12">
        <f>21.3961 * CHOOSE( CONTROL!$C$15, $D$11, 100%, $F$11)</f>
        <v>21.396100000000001</v>
      </c>
      <c r="F662" s="4">
        <f>22.073 * CHOOSE(CONTROL!$C$15, $D$11, 100%, $F$11)</f>
        <v>22.073</v>
      </c>
      <c r="G662" s="8">
        <f>20.8637 * CHOOSE( CONTROL!$C$15, $D$11, 100%, $F$11)</f>
        <v>20.863700000000001</v>
      </c>
      <c r="H662" s="4">
        <f>21.7936 * CHOOSE(CONTROL!$C$15, $D$11, 100%, $F$11)</f>
        <v>21.793600000000001</v>
      </c>
      <c r="I662" s="8">
        <f>20.6109 * CHOOSE(CONTROL!$C$15, $D$11, 100%, $F$11)</f>
        <v>20.610900000000001</v>
      </c>
      <c r="J662" s="4">
        <f>20.4931 * CHOOSE(CONTROL!$C$15, $D$11, 100%, $F$11)</f>
        <v>20.493099999999998</v>
      </c>
      <c r="K662" s="4"/>
      <c r="L662" s="9">
        <v>31.095300000000002</v>
      </c>
      <c r="M662" s="9">
        <v>12.063700000000001</v>
      </c>
      <c r="N662" s="9">
        <v>4.9444999999999997</v>
      </c>
      <c r="O662" s="9">
        <v>0.37409999999999999</v>
      </c>
      <c r="P662" s="9">
        <v>1.2183999999999999</v>
      </c>
      <c r="Q662" s="9">
        <v>19.688099999999999</v>
      </c>
      <c r="R662" s="9"/>
      <c r="S662" s="11"/>
    </row>
    <row r="663" spans="1:19" ht="15.75">
      <c r="A663" s="13">
        <v>61697</v>
      </c>
      <c r="B663" s="8">
        <f>23.0488 * CHOOSE(CONTROL!$C$15, $D$11, 100%, $F$11)</f>
        <v>23.0488</v>
      </c>
      <c r="C663" s="8">
        <f>23.054 * CHOOSE(CONTROL!$C$15, $D$11, 100%, $F$11)</f>
        <v>23.053999999999998</v>
      </c>
      <c r="D663" s="8">
        <f>23.0433 * CHOOSE( CONTROL!$C$15, $D$11, 100%, $F$11)</f>
        <v>23.043299999999999</v>
      </c>
      <c r="E663" s="12">
        <f>23.0467 * CHOOSE( CONTROL!$C$15, $D$11, 100%, $F$11)</f>
        <v>23.046700000000001</v>
      </c>
      <c r="F663" s="4">
        <f>23.6977 * CHOOSE(CONTROL!$C$15, $D$11, 100%, $F$11)</f>
        <v>23.697700000000001</v>
      </c>
      <c r="G663" s="8">
        <f>22.5049 * CHOOSE( CONTROL!$C$15, $D$11, 100%, $F$11)</f>
        <v>22.504899999999999</v>
      </c>
      <c r="H663" s="4">
        <f>23.3804 * CHOOSE(CONTROL!$C$15, $D$11, 100%, $F$11)</f>
        <v>23.380400000000002</v>
      </c>
      <c r="I663" s="8">
        <f>22.2461 * CHOOSE(CONTROL!$C$15, $D$11, 100%, $F$11)</f>
        <v>22.246099999999998</v>
      </c>
      <c r="J663" s="4">
        <f>22.102 * CHOOSE(CONTROL!$C$15, $D$11, 100%, $F$11)</f>
        <v>22.102</v>
      </c>
      <c r="K663" s="4"/>
      <c r="L663" s="9">
        <v>28.360600000000002</v>
      </c>
      <c r="M663" s="9">
        <v>11.6745</v>
      </c>
      <c r="N663" s="9">
        <v>4.7850000000000001</v>
      </c>
      <c r="O663" s="9">
        <v>0.36199999999999999</v>
      </c>
      <c r="P663" s="9">
        <v>1.2509999999999999</v>
      </c>
      <c r="Q663" s="9">
        <v>19.053000000000001</v>
      </c>
      <c r="R663" s="9"/>
      <c r="S663" s="11"/>
    </row>
    <row r="664" spans="1:19" ht="15.75">
      <c r="A664" s="13">
        <v>61728</v>
      </c>
      <c r="B664" s="8">
        <f>23.007 * CHOOSE(CONTROL!$C$15, $D$11, 100%, $F$11)</f>
        <v>23.007000000000001</v>
      </c>
      <c r="C664" s="8">
        <f>23.0122 * CHOOSE(CONTROL!$C$15, $D$11, 100%, $F$11)</f>
        <v>23.0122</v>
      </c>
      <c r="D664" s="8">
        <f>23.0028 * CHOOSE( CONTROL!$C$15, $D$11, 100%, $F$11)</f>
        <v>23.002800000000001</v>
      </c>
      <c r="E664" s="12">
        <f>23.0057 * CHOOSE( CONTROL!$C$15, $D$11, 100%, $F$11)</f>
        <v>23.005700000000001</v>
      </c>
      <c r="F664" s="4">
        <f>23.6559 * CHOOSE(CONTROL!$C$15, $D$11, 100%, $F$11)</f>
        <v>23.655899999999999</v>
      </c>
      <c r="G664" s="8">
        <f>22.465 * CHOOSE( CONTROL!$C$15, $D$11, 100%, $F$11)</f>
        <v>22.465</v>
      </c>
      <c r="H664" s="4">
        <f>23.3395 * CHOOSE(CONTROL!$C$15, $D$11, 100%, $F$11)</f>
        <v>23.339500000000001</v>
      </c>
      <c r="I664" s="8">
        <f>22.2103 * CHOOSE(CONTROL!$C$15, $D$11, 100%, $F$11)</f>
        <v>22.2103</v>
      </c>
      <c r="J664" s="4">
        <f>22.0618 * CHOOSE(CONTROL!$C$15, $D$11, 100%, $F$11)</f>
        <v>22.061800000000002</v>
      </c>
      <c r="K664" s="4"/>
      <c r="L664" s="9">
        <v>29.306000000000001</v>
      </c>
      <c r="M664" s="9">
        <v>12.063700000000001</v>
      </c>
      <c r="N664" s="9">
        <v>4.9444999999999997</v>
      </c>
      <c r="O664" s="9">
        <v>0.37409999999999999</v>
      </c>
      <c r="P664" s="9">
        <v>1.2927</v>
      </c>
      <c r="Q664" s="9">
        <v>19.688099999999999</v>
      </c>
      <c r="R664" s="9"/>
      <c r="S664" s="11"/>
    </row>
    <row r="665" spans="1:19" ht="15.75">
      <c r="A665" s="13">
        <v>61759</v>
      </c>
      <c r="B665" s="8">
        <f>23.8852 * CHOOSE(CONTROL!$C$15, $D$11, 100%, $F$11)</f>
        <v>23.885200000000001</v>
      </c>
      <c r="C665" s="8">
        <f>23.8904 * CHOOSE(CONTROL!$C$15, $D$11, 100%, $F$11)</f>
        <v>23.8904</v>
      </c>
      <c r="D665" s="8">
        <f>23.8769 * CHOOSE( CONTROL!$C$15, $D$11, 100%, $F$11)</f>
        <v>23.876899999999999</v>
      </c>
      <c r="E665" s="12">
        <f>23.8813 * CHOOSE( CONTROL!$C$15, $D$11, 100%, $F$11)</f>
        <v>23.8813</v>
      </c>
      <c r="F665" s="4">
        <f>24.5341 * CHOOSE(CONTROL!$C$15, $D$11, 100%, $F$11)</f>
        <v>24.534099999999999</v>
      </c>
      <c r="G665" s="8">
        <f>23.3165 * CHOOSE( CONTROL!$C$15, $D$11, 100%, $F$11)</f>
        <v>23.316500000000001</v>
      </c>
      <c r="H665" s="4">
        <f>24.1973 * CHOOSE(CONTROL!$C$15, $D$11, 100%, $F$11)</f>
        <v>24.197299999999998</v>
      </c>
      <c r="I665" s="8">
        <f>23.0301 * CHOOSE(CONTROL!$C$15, $D$11, 100%, $F$11)</f>
        <v>23.030100000000001</v>
      </c>
      <c r="J665" s="4">
        <f>22.905 * CHOOSE(CONTROL!$C$15, $D$11, 100%, $F$11)</f>
        <v>22.905000000000001</v>
      </c>
      <c r="K665" s="4"/>
      <c r="L665" s="9">
        <v>29.306000000000001</v>
      </c>
      <c r="M665" s="9">
        <v>12.063700000000001</v>
      </c>
      <c r="N665" s="9">
        <v>4.9444999999999997</v>
      </c>
      <c r="O665" s="9">
        <v>0.37409999999999999</v>
      </c>
      <c r="P665" s="9">
        <v>1.2927</v>
      </c>
      <c r="Q665" s="9">
        <v>19.688099999999999</v>
      </c>
      <c r="R665" s="9"/>
      <c r="S665" s="11"/>
    </row>
    <row r="666" spans="1:19" ht="15.75">
      <c r="A666" s="13">
        <v>61787</v>
      </c>
      <c r="B666" s="8">
        <f>22.3429 * CHOOSE(CONTROL!$C$15, $D$11, 100%, $F$11)</f>
        <v>22.3429</v>
      </c>
      <c r="C666" s="8">
        <f>22.3481 * CHOOSE(CONTROL!$C$15, $D$11, 100%, $F$11)</f>
        <v>22.348099999999999</v>
      </c>
      <c r="D666" s="8">
        <f>22.3346 * CHOOSE( CONTROL!$C$15, $D$11, 100%, $F$11)</f>
        <v>22.334599999999998</v>
      </c>
      <c r="E666" s="12">
        <f>22.339 * CHOOSE( CONTROL!$C$15, $D$11, 100%, $F$11)</f>
        <v>22.338999999999999</v>
      </c>
      <c r="F666" s="4">
        <f>22.9918 * CHOOSE(CONTROL!$C$15, $D$11, 100%, $F$11)</f>
        <v>22.991800000000001</v>
      </c>
      <c r="G666" s="8">
        <f>21.8102 * CHOOSE( CONTROL!$C$15, $D$11, 100%, $F$11)</f>
        <v>21.810199999999998</v>
      </c>
      <c r="H666" s="4">
        <f>22.6909 * CHOOSE(CONTROL!$C$15, $D$11, 100%, $F$11)</f>
        <v>22.690899999999999</v>
      </c>
      <c r="I666" s="8">
        <f>21.5486 * CHOOSE(CONTROL!$C$15, $D$11, 100%, $F$11)</f>
        <v>21.5486</v>
      </c>
      <c r="J666" s="4">
        <f>21.4242 * CHOOSE(CONTROL!$C$15, $D$11, 100%, $F$11)</f>
        <v>21.424199999999999</v>
      </c>
      <c r="K666" s="4"/>
      <c r="L666" s="9">
        <v>26.469899999999999</v>
      </c>
      <c r="M666" s="9">
        <v>10.8962</v>
      </c>
      <c r="N666" s="9">
        <v>4.4660000000000002</v>
      </c>
      <c r="O666" s="9">
        <v>0.33789999999999998</v>
      </c>
      <c r="P666" s="9">
        <v>1.1676</v>
      </c>
      <c r="Q666" s="9">
        <v>17.782800000000002</v>
      </c>
      <c r="R666" s="9"/>
      <c r="S666" s="11"/>
    </row>
    <row r="667" spans="1:19" ht="15.75">
      <c r="A667" s="13">
        <v>61818</v>
      </c>
      <c r="B667" s="8">
        <f>21.8679 * CHOOSE(CONTROL!$C$15, $D$11, 100%, $F$11)</f>
        <v>21.867899999999999</v>
      </c>
      <c r="C667" s="8">
        <f>21.8731 * CHOOSE(CONTROL!$C$15, $D$11, 100%, $F$11)</f>
        <v>21.873100000000001</v>
      </c>
      <c r="D667" s="8">
        <f>21.8592 * CHOOSE( CONTROL!$C$15, $D$11, 100%, $F$11)</f>
        <v>21.859200000000001</v>
      </c>
      <c r="E667" s="12">
        <f>21.8637 * CHOOSE( CONTROL!$C$15, $D$11, 100%, $F$11)</f>
        <v>21.863700000000001</v>
      </c>
      <c r="F667" s="4">
        <f>22.5168 * CHOOSE(CONTROL!$C$15, $D$11, 100%, $F$11)</f>
        <v>22.5168</v>
      </c>
      <c r="G667" s="8">
        <f>21.346 * CHOOSE( CONTROL!$C$15, $D$11, 100%, $F$11)</f>
        <v>21.346</v>
      </c>
      <c r="H667" s="4">
        <f>22.227 * CHOOSE(CONTROL!$C$15, $D$11, 100%, $F$11)</f>
        <v>22.227</v>
      </c>
      <c r="I667" s="8">
        <f>21.0913 * CHOOSE(CONTROL!$C$15, $D$11, 100%, $F$11)</f>
        <v>21.0913</v>
      </c>
      <c r="J667" s="4">
        <f>20.9682 * CHOOSE(CONTROL!$C$15, $D$11, 100%, $F$11)</f>
        <v>20.9682</v>
      </c>
      <c r="K667" s="4"/>
      <c r="L667" s="9">
        <v>29.306000000000001</v>
      </c>
      <c r="M667" s="9">
        <v>12.063700000000001</v>
      </c>
      <c r="N667" s="9">
        <v>4.9444999999999997</v>
      </c>
      <c r="O667" s="9">
        <v>0.37409999999999999</v>
      </c>
      <c r="P667" s="9">
        <v>1.2927</v>
      </c>
      <c r="Q667" s="9">
        <v>19.688099999999999</v>
      </c>
      <c r="R667" s="9"/>
      <c r="S667" s="11"/>
    </row>
    <row r="668" spans="1:19" ht="15.75">
      <c r="A668" s="13">
        <v>61848</v>
      </c>
      <c r="B668" s="8">
        <f>22.2006 * CHOOSE(CONTROL!$C$15, $D$11, 100%, $F$11)</f>
        <v>22.200600000000001</v>
      </c>
      <c r="C668" s="8">
        <f>22.2052 * CHOOSE(CONTROL!$C$15, $D$11, 100%, $F$11)</f>
        <v>22.205200000000001</v>
      </c>
      <c r="D668" s="8">
        <f>22.2315 * CHOOSE( CONTROL!$C$15, $D$11, 100%, $F$11)</f>
        <v>22.2315</v>
      </c>
      <c r="E668" s="12">
        <f>22.2223 * CHOOSE( CONTROL!$C$15, $D$11, 100%, $F$11)</f>
        <v>22.222300000000001</v>
      </c>
      <c r="F668" s="4">
        <f>22.8997 * CHOOSE(CONTROL!$C$15, $D$11, 100%, $F$11)</f>
        <v>22.899699999999999</v>
      </c>
      <c r="G668" s="8">
        <f>21.6702 * CHOOSE( CONTROL!$C$15, $D$11, 100%, $F$11)</f>
        <v>21.670200000000001</v>
      </c>
      <c r="H668" s="4">
        <f>22.601 * CHOOSE(CONTROL!$C$15, $D$11, 100%, $F$11)</f>
        <v>22.600999999999999</v>
      </c>
      <c r="I668" s="8">
        <f>21.402 * CHOOSE(CONTROL!$C$15, $D$11, 100%, $F$11)</f>
        <v>21.402000000000001</v>
      </c>
      <c r="J668" s="4">
        <f>21.2869 * CHOOSE(CONTROL!$C$15, $D$11, 100%, $F$11)</f>
        <v>21.286899999999999</v>
      </c>
      <c r="K668" s="4"/>
      <c r="L668" s="9">
        <v>30.092199999999998</v>
      </c>
      <c r="M668" s="9">
        <v>11.6745</v>
      </c>
      <c r="N668" s="9">
        <v>4.7850000000000001</v>
      </c>
      <c r="O668" s="9">
        <v>0.36199999999999999</v>
      </c>
      <c r="P668" s="9">
        <v>1.1791</v>
      </c>
      <c r="Q668" s="9">
        <v>19.053000000000001</v>
      </c>
      <c r="R668" s="9"/>
      <c r="S668" s="11"/>
    </row>
    <row r="669" spans="1:19" ht="15.75">
      <c r="A669" s="13">
        <v>61879</v>
      </c>
      <c r="B669" s="8">
        <f>CHOOSE( CONTROL!$C$32, 22.7975, 22.7927) * CHOOSE(CONTROL!$C$15, $D$11, 100%, $F$11)</f>
        <v>22.797499999999999</v>
      </c>
      <c r="C669" s="8">
        <f>CHOOSE( CONTROL!$C$32, 22.8056, 22.8008) * CHOOSE(CONTROL!$C$15, $D$11, 100%, $F$11)</f>
        <v>22.805599999999998</v>
      </c>
      <c r="D669" s="8">
        <f>CHOOSE( CONTROL!$C$32, 22.8269, 22.8221) * CHOOSE( CONTROL!$C$15, $D$11, 100%, $F$11)</f>
        <v>22.826899999999998</v>
      </c>
      <c r="E669" s="12">
        <f>CHOOSE( CONTROL!$C$32, 22.8179, 22.8131) * CHOOSE( CONTROL!$C$15, $D$11, 100%, $F$11)</f>
        <v>22.817900000000002</v>
      </c>
      <c r="F669" s="4">
        <f>CHOOSE( CONTROL!$C$32, 23.4954, 23.4905) * CHOOSE(CONTROL!$C$15, $D$11, 100%, $F$11)</f>
        <v>23.4954</v>
      </c>
      <c r="G669" s="8">
        <f>CHOOSE( CONTROL!$C$32, 22.2529, 22.2482) * CHOOSE( CONTROL!$C$15, $D$11, 100%, $F$11)</f>
        <v>22.2529</v>
      </c>
      <c r="H669" s="4">
        <f>CHOOSE( CONTROL!$C$32, 23.1828, 23.178) * CHOOSE(CONTROL!$C$15, $D$11, 100%, $F$11)</f>
        <v>23.1828</v>
      </c>
      <c r="I669" s="8">
        <f>CHOOSE( CONTROL!$C$32, 21.9741, 21.9695) * CHOOSE(CONTROL!$C$15, $D$11, 100%, $F$11)</f>
        <v>21.9741</v>
      </c>
      <c r="J669" s="4">
        <f>CHOOSE( CONTROL!$C$32, 21.8587, 21.8541) * CHOOSE(CONTROL!$C$15, $D$11, 100%, $F$11)</f>
        <v>21.858699999999999</v>
      </c>
      <c r="K669" s="4"/>
      <c r="L669" s="9">
        <v>30.7165</v>
      </c>
      <c r="M669" s="9">
        <v>12.063700000000001</v>
      </c>
      <c r="N669" s="9">
        <v>4.9444999999999997</v>
      </c>
      <c r="O669" s="9">
        <v>0.37409999999999999</v>
      </c>
      <c r="P669" s="9">
        <v>1.2183999999999999</v>
      </c>
      <c r="Q669" s="9">
        <v>19.688099999999999</v>
      </c>
      <c r="R669" s="9"/>
      <c r="S669" s="11"/>
    </row>
    <row r="670" spans="1:19" ht="15.75">
      <c r="A670" s="13">
        <v>61909</v>
      </c>
      <c r="B670" s="8">
        <f>CHOOSE( CONTROL!$C$32, 22.4316, 22.4267) * CHOOSE(CONTROL!$C$15, $D$11, 100%, $F$11)</f>
        <v>22.4316</v>
      </c>
      <c r="C670" s="8">
        <f>CHOOSE( CONTROL!$C$32, 22.4397, 22.4348) * CHOOSE(CONTROL!$C$15, $D$11, 100%, $F$11)</f>
        <v>22.439699999999998</v>
      </c>
      <c r="D670" s="8">
        <f>CHOOSE( CONTROL!$C$32, 22.4612, 22.4563) * CHOOSE( CONTROL!$C$15, $D$11, 100%, $F$11)</f>
        <v>22.461200000000002</v>
      </c>
      <c r="E670" s="12">
        <f>CHOOSE( CONTROL!$C$32, 22.4522, 22.4473) * CHOOSE( CONTROL!$C$15, $D$11, 100%, $F$11)</f>
        <v>22.452200000000001</v>
      </c>
      <c r="F670" s="4">
        <f>CHOOSE( CONTROL!$C$32, 23.1294, 23.1246) * CHOOSE(CONTROL!$C$15, $D$11, 100%, $F$11)</f>
        <v>23.1294</v>
      </c>
      <c r="G670" s="8">
        <f>CHOOSE( CONTROL!$C$32, 21.8958, 21.891) * CHOOSE( CONTROL!$C$15, $D$11, 100%, $F$11)</f>
        <v>21.895800000000001</v>
      </c>
      <c r="H670" s="4">
        <f>CHOOSE( CONTROL!$C$32, 22.8253, 22.8206) * CHOOSE(CONTROL!$C$15, $D$11, 100%, $F$11)</f>
        <v>22.825299999999999</v>
      </c>
      <c r="I670" s="8">
        <f>CHOOSE( CONTROL!$C$32, 21.6235, 21.6189) * CHOOSE(CONTROL!$C$15, $D$11, 100%, $F$11)</f>
        <v>21.6235</v>
      </c>
      <c r="J670" s="4">
        <f>CHOOSE( CONTROL!$C$32, 21.5073, 21.5027) * CHOOSE(CONTROL!$C$15, $D$11, 100%, $F$11)</f>
        <v>21.507300000000001</v>
      </c>
      <c r="K670" s="4"/>
      <c r="L670" s="9">
        <v>29.7257</v>
      </c>
      <c r="M670" s="9">
        <v>11.6745</v>
      </c>
      <c r="N670" s="9">
        <v>4.7850000000000001</v>
      </c>
      <c r="O670" s="9">
        <v>0.36199999999999999</v>
      </c>
      <c r="P670" s="9">
        <v>1.1791</v>
      </c>
      <c r="Q670" s="9">
        <v>19.053000000000001</v>
      </c>
      <c r="R670" s="9"/>
      <c r="S670" s="11"/>
    </row>
    <row r="671" spans="1:19" ht="15.75">
      <c r="A671" s="13">
        <v>61940</v>
      </c>
      <c r="B671" s="8">
        <f>CHOOSE( CONTROL!$C$32, 23.3953, 23.3905) * CHOOSE(CONTROL!$C$15, $D$11, 100%, $F$11)</f>
        <v>23.395299999999999</v>
      </c>
      <c r="C671" s="8">
        <f>CHOOSE( CONTROL!$C$32, 23.4034, 23.3986) * CHOOSE(CONTROL!$C$15, $D$11, 100%, $F$11)</f>
        <v>23.403400000000001</v>
      </c>
      <c r="D671" s="8">
        <f>CHOOSE( CONTROL!$C$32, 23.4251, 23.4203) * CHOOSE( CONTROL!$C$15, $D$11, 100%, $F$11)</f>
        <v>23.4251</v>
      </c>
      <c r="E671" s="12">
        <f>CHOOSE( CONTROL!$C$32, 23.416, 23.4112) * CHOOSE( CONTROL!$C$15, $D$11, 100%, $F$11)</f>
        <v>23.416</v>
      </c>
      <c r="F671" s="4">
        <f>CHOOSE( CONTROL!$C$32, 24.0931, 24.0883) * CHOOSE(CONTROL!$C$15, $D$11, 100%, $F$11)</f>
        <v>24.0931</v>
      </c>
      <c r="G671" s="8">
        <f>CHOOSE( CONTROL!$C$32, 22.8374, 22.8327) * CHOOSE( CONTROL!$C$15, $D$11, 100%, $F$11)</f>
        <v>22.837399999999999</v>
      </c>
      <c r="H671" s="4">
        <f>CHOOSE( CONTROL!$C$32, 23.7666, 23.7619) * CHOOSE(CONTROL!$C$15, $D$11, 100%, $F$11)</f>
        <v>23.7666</v>
      </c>
      <c r="I671" s="8">
        <f>CHOOSE( CONTROL!$C$32, 22.5504, 22.5457) * CHOOSE(CONTROL!$C$15, $D$11, 100%, $F$11)</f>
        <v>22.5504</v>
      </c>
      <c r="J671" s="4">
        <f>CHOOSE( CONTROL!$C$32, 22.4326, 22.428) * CHOOSE(CONTROL!$C$15, $D$11, 100%, $F$11)</f>
        <v>22.432600000000001</v>
      </c>
      <c r="K671" s="4"/>
      <c r="L671" s="9">
        <v>30.7165</v>
      </c>
      <c r="M671" s="9">
        <v>12.063700000000001</v>
      </c>
      <c r="N671" s="9">
        <v>4.9444999999999997</v>
      </c>
      <c r="O671" s="9">
        <v>0.37409999999999999</v>
      </c>
      <c r="P671" s="9">
        <v>1.2183999999999999</v>
      </c>
      <c r="Q671" s="9">
        <v>19.688099999999999</v>
      </c>
      <c r="R671" s="9"/>
      <c r="S671" s="11"/>
    </row>
    <row r="672" spans="1:19" ht="15.75">
      <c r="A672" s="13">
        <v>61971</v>
      </c>
      <c r="B672" s="8">
        <f>CHOOSE( CONTROL!$C$32, 21.5921, 21.5872) * CHOOSE(CONTROL!$C$15, $D$11, 100%, $F$11)</f>
        <v>21.592099999999999</v>
      </c>
      <c r="C672" s="8">
        <f>CHOOSE( CONTROL!$C$32, 21.6002, 21.5953) * CHOOSE(CONTROL!$C$15, $D$11, 100%, $F$11)</f>
        <v>21.600200000000001</v>
      </c>
      <c r="D672" s="8">
        <f>CHOOSE( CONTROL!$C$32, 21.622, 21.6171) * CHOOSE( CONTROL!$C$15, $D$11, 100%, $F$11)</f>
        <v>21.622</v>
      </c>
      <c r="E672" s="12">
        <f>CHOOSE( CONTROL!$C$32, 21.6129, 21.608) * CHOOSE( CONTROL!$C$15, $D$11, 100%, $F$11)</f>
        <v>21.6129</v>
      </c>
      <c r="F672" s="4">
        <f>CHOOSE( CONTROL!$C$32, 22.2899, 22.2851) * CHOOSE(CONTROL!$C$15, $D$11, 100%, $F$11)</f>
        <v>22.289899999999999</v>
      </c>
      <c r="G672" s="8">
        <f>CHOOSE( CONTROL!$C$32, 21.0763, 21.0715) * CHOOSE( CONTROL!$C$15, $D$11, 100%, $F$11)</f>
        <v>21.0763</v>
      </c>
      <c r="H672" s="4">
        <f>CHOOSE( CONTROL!$C$32, 22.0054, 22.0007) * CHOOSE(CONTROL!$C$15, $D$11, 100%, $F$11)</f>
        <v>22.005400000000002</v>
      </c>
      <c r="I672" s="8">
        <f>CHOOSE( CONTROL!$C$32, 20.8185, 20.8139) * CHOOSE(CONTROL!$C$15, $D$11, 100%, $F$11)</f>
        <v>20.8185</v>
      </c>
      <c r="J672" s="4">
        <f>CHOOSE( CONTROL!$C$32, 20.7013, 20.6967) * CHOOSE(CONTROL!$C$15, $D$11, 100%, $F$11)</f>
        <v>20.7013</v>
      </c>
      <c r="K672" s="4"/>
      <c r="L672" s="9">
        <v>30.7165</v>
      </c>
      <c r="M672" s="9">
        <v>12.063700000000001</v>
      </c>
      <c r="N672" s="9">
        <v>4.9444999999999997</v>
      </c>
      <c r="O672" s="9">
        <v>0.37409999999999999</v>
      </c>
      <c r="P672" s="9">
        <v>1.2183999999999999</v>
      </c>
      <c r="Q672" s="9">
        <v>19.688099999999999</v>
      </c>
      <c r="R672" s="9"/>
      <c r="S672" s="11"/>
    </row>
    <row r="673" spans="1:19" ht="15.75">
      <c r="A673" s="13">
        <v>62001</v>
      </c>
      <c r="B673" s="8">
        <f>CHOOSE( CONTROL!$C$32, 21.1405, 21.1357) * CHOOSE(CONTROL!$C$15, $D$11, 100%, $F$11)</f>
        <v>21.140499999999999</v>
      </c>
      <c r="C673" s="8">
        <f>CHOOSE( CONTROL!$C$32, 21.1486, 21.1438) * CHOOSE(CONTROL!$C$15, $D$11, 100%, $F$11)</f>
        <v>21.148599999999998</v>
      </c>
      <c r="D673" s="8">
        <f>CHOOSE( CONTROL!$C$32, 21.1704, 21.1656) * CHOOSE( CONTROL!$C$15, $D$11, 100%, $F$11)</f>
        <v>21.170400000000001</v>
      </c>
      <c r="E673" s="12">
        <f>CHOOSE( CONTROL!$C$32, 21.1613, 21.1565) * CHOOSE( CONTROL!$C$15, $D$11, 100%, $F$11)</f>
        <v>21.161300000000001</v>
      </c>
      <c r="F673" s="4">
        <f>CHOOSE( CONTROL!$C$32, 21.8383, 21.8335) * CHOOSE(CONTROL!$C$15, $D$11, 100%, $F$11)</f>
        <v>21.8383</v>
      </c>
      <c r="G673" s="8">
        <f>CHOOSE( CONTROL!$C$32, 20.6352, 20.6305) * CHOOSE( CONTROL!$C$15, $D$11, 100%, $F$11)</f>
        <v>20.635200000000001</v>
      </c>
      <c r="H673" s="4">
        <f>CHOOSE( CONTROL!$C$32, 21.5644, 21.5596) * CHOOSE(CONTROL!$C$15, $D$11, 100%, $F$11)</f>
        <v>21.564399999999999</v>
      </c>
      <c r="I673" s="8">
        <f>CHOOSE( CONTROL!$C$32, 20.3847, 20.38) * CHOOSE(CONTROL!$C$15, $D$11, 100%, $F$11)</f>
        <v>20.384699999999999</v>
      </c>
      <c r="J673" s="4">
        <f>CHOOSE( CONTROL!$C$32, 20.2678, 20.2632) * CHOOSE(CONTROL!$C$15, $D$11, 100%, $F$11)</f>
        <v>20.267800000000001</v>
      </c>
      <c r="K673" s="4"/>
      <c r="L673" s="9">
        <v>29.7257</v>
      </c>
      <c r="M673" s="9">
        <v>11.6745</v>
      </c>
      <c r="N673" s="9">
        <v>4.7850000000000001</v>
      </c>
      <c r="O673" s="9">
        <v>0.36199999999999999</v>
      </c>
      <c r="P673" s="9">
        <v>1.1791</v>
      </c>
      <c r="Q673" s="9">
        <v>19.053000000000001</v>
      </c>
      <c r="R673" s="9"/>
      <c r="S673" s="11"/>
    </row>
    <row r="674" spans="1:19" ht="15.75">
      <c r="A674" s="13">
        <v>62032</v>
      </c>
      <c r="B674" s="8">
        <f>22.0715 * CHOOSE(CONTROL!$C$15, $D$11, 100%, $F$11)</f>
        <v>22.0715</v>
      </c>
      <c r="C674" s="8">
        <f>22.077 * CHOOSE(CONTROL!$C$15, $D$11, 100%, $F$11)</f>
        <v>22.077000000000002</v>
      </c>
      <c r="D674" s="8">
        <f>22.1034 * CHOOSE( CONTROL!$C$15, $D$11, 100%, $F$11)</f>
        <v>22.103400000000001</v>
      </c>
      <c r="E674" s="12">
        <f>22.0941 * CHOOSE( CONTROL!$C$15, $D$11, 100%, $F$11)</f>
        <v>22.094100000000001</v>
      </c>
      <c r="F674" s="4">
        <f>22.7711 * CHOOSE(CONTROL!$C$15, $D$11, 100%, $F$11)</f>
        <v>22.771100000000001</v>
      </c>
      <c r="G674" s="8">
        <f>21.5455 * CHOOSE( CONTROL!$C$15, $D$11, 100%, $F$11)</f>
        <v>21.545500000000001</v>
      </c>
      <c r="H674" s="4">
        <f>22.4754 * CHOOSE(CONTROL!$C$15, $D$11, 100%, $F$11)</f>
        <v>22.4754</v>
      </c>
      <c r="I674" s="8">
        <f>21.2814 * CHOOSE(CONTROL!$C$15, $D$11, 100%, $F$11)</f>
        <v>21.281400000000001</v>
      </c>
      <c r="J674" s="4">
        <f>21.1633 * CHOOSE(CONTROL!$C$15, $D$11, 100%, $F$11)</f>
        <v>21.1633</v>
      </c>
      <c r="K674" s="4"/>
      <c r="L674" s="9">
        <v>31.095300000000002</v>
      </c>
      <c r="M674" s="9">
        <v>12.063700000000001</v>
      </c>
      <c r="N674" s="9">
        <v>4.9444999999999997</v>
      </c>
      <c r="O674" s="9">
        <v>0.37409999999999999</v>
      </c>
      <c r="P674" s="9">
        <v>1.2183999999999999</v>
      </c>
      <c r="Q674" s="9">
        <v>19.688099999999999</v>
      </c>
      <c r="R674" s="9"/>
      <c r="S674" s="11"/>
    </row>
    <row r="675" spans="1:19" ht="15.75">
      <c r="A675" s="13">
        <v>62062</v>
      </c>
      <c r="B675" s="8">
        <f>23.8017 * CHOOSE(CONTROL!$C$15, $D$11, 100%, $F$11)</f>
        <v>23.8017</v>
      </c>
      <c r="C675" s="8">
        <f>23.8069 * CHOOSE(CONTROL!$C$15, $D$11, 100%, $F$11)</f>
        <v>23.806899999999999</v>
      </c>
      <c r="D675" s="8">
        <f>23.7961 * CHOOSE( CONTROL!$C$15, $D$11, 100%, $F$11)</f>
        <v>23.796099999999999</v>
      </c>
      <c r="E675" s="12">
        <f>23.7995 * CHOOSE( CONTROL!$C$15, $D$11, 100%, $F$11)</f>
        <v>23.799499999999998</v>
      </c>
      <c r="F675" s="4">
        <f>24.4506 * CHOOSE(CONTROL!$C$15, $D$11, 100%, $F$11)</f>
        <v>24.450600000000001</v>
      </c>
      <c r="G675" s="8">
        <f>23.2403 * CHOOSE( CONTROL!$C$15, $D$11, 100%, $F$11)</f>
        <v>23.240300000000001</v>
      </c>
      <c r="H675" s="4">
        <f>24.1158 * CHOOSE(CONTROL!$C$15, $D$11, 100%, $F$11)</f>
        <v>24.1158</v>
      </c>
      <c r="I675" s="8">
        <f>22.9693 * CHOOSE(CONTROL!$C$15, $D$11, 100%, $F$11)</f>
        <v>22.9693</v>
      </c>
      <c r="J675" s="4">
        <f>22.8248 * CHOOSE(CONTROL!$C$15, $D$11, 100%, $F$11)</f>
        <v>22.8248</v>
      </c>
      <c r="K675" s="4"/>
      <c r="L675" s="9">
        <v>28.360600000000002</v>
      </c>
      <c r="M675" s="9">
        <v>11.6745</v>
      </c>
      <c r="N675" s="9">
        <v>4.7850000000000001</v>
      </c>
      <c r="O675" s="9">
        <v>0.36199999999999999</v>
      </c>
      <c r="P675" s="9">
        <v>1.2509999999999999</v>
      </c>
      <c r="Q675" s="9">
        <v>19.053000000000001</v>
      </c>
      <c r="R675" s="9"/>
      <c r="S675" s="11"/>
    </row>
    <row r="676" spans="1:19" ht="15.75">
      <c r="A676" s="13">
        <v>62093</v>
      </c>
      <c r="B676" s="8">
        <f>23.7585 * CHOOSE(CONTROL!$C$15, $D$11, 100%, $F$11)</f>
        <v>23.758500000000002</v>
      </c>
      <c r="C676" s="8">
        <f>23.7636 * CHOOSE(CONTROL!$C$15, $D$11, 100%, $F$11)</f>
        <v>23.7636</v>
      </c>
      <c r="D676" s="8">
        <f>23.7542 * CHOOSE( CONTROL!$C$15, $D$11, 100%, $F$11)</f>
        <v>23.754200000000001</v>
      </c>
      <c r="E676" s="12">
        <f>23.7571 * CHOOSE( CONTROL!$C$15, $D$11, 100%, $F$11)</f>
        <v>23.757100000000001</v>
      </c>
      <c r="F676" s="4">
        <f>24.4074 * CHOOSE(CONTROL!$C$15, $D$11, 100%, $F$11)</f>
        <v>24.407399999999999</v>
      </c>
      <c r="G676" s="8">
        <f>23.199 * CHOOSE( CONTROL!$C$15, $D$11, 100%, $F$11)</f>
        <v>23.199000000000002</v>
      </c>
      <c r="H676" s="4">
        <f>24.0735 * CHOOSE(CONTROL!$C$15, $D$11, 100%, $F$11)</f>
        <v>24.073499999999999</v>
      </c>
      <c r="I676" s="8">
        <f>22.9321 * CHOOSE(CONTROL!$C$15, $D$11, 100%, $F$11)</f>
        <v>22.932099999999998</v>
      </c>
      <c r="J676" s="4">
        <f>22.7833 * CHOOSE(CONTROL!$C$15, $D$11, 100%, $F$11)</f>
        <v>22.783300000000001</v>
      </c>
      <c r="K676" s="4"/>
      <c r="L676" s="9">
        <v>29.306000000000001</v>
      </c>
      <c r="M676" s="9">
        <v>12.063700000000001</v>
      </c>
      <c r="N676" s="9">
        <v>4.9444999999999997</v>
      </c>
      <c r="O676" s="9">
        <v>0.37409999999999999</v>
      </c>
      <c r="P676" s="9">
        <v>1.2927</v>
      </c>
      <c r="Q676" s="9">
        <v>19.688099999999999</v>
      </c>
      <c r="R676" s="9"/>
      <c r="S676" s="11"/>
    </row>
    <row r="677" spans="1:19" ht="15.75">
      <c r="A677" s="13">
        <v>62124</v>
      </c>
      <c r="B677" s="8">
        <f>24.6654 * CHOOSE(CONTROL!$C$15, $D$11, 100%, $F$11)</f>
        <v>24.665400000000002</v>
      </c>
      <c r="C677" s="8">
        <f>24.6706 * CHOOSE(CONTROL!$C$15, $D$11, 100%, $F$11)</f>
        <v>24.6706</v>
      </c>
      <c r="D677" s="8">
        <f>24.6571 * CHOOSE( CONTROL!$C$15, $D$11, 100%, $F$11)</f>
        <v>24.6571</v>
      </c>
      <c r="E677" s="12">
        <f>24.6615 * CHOOSE( CONTROL!$C$15, $D$11, 100%, $F$11)</f>
        <v>24.6615</v>
      </c>
      <c r="F677" s="4">
        <f>25.3143 * CHOOSE(CONTROL!$C$15, $D$11, 100%, $F$11)</f>
        <v>25.314299999999999</v>
      </c>
      <c r="G677" s="8">
        <f>24.0786 * CHOOSE( CONTROL!$C$15, $D$11, 100%, $F$11)</f>
        <v>24.078600000000002</v>
      </c>
      <c r="H677" s="4">
        <f>24.9594 * CHOOSE(CONTROL!$C$15, $D$11, 100%, $F$11)</f>
        <v>24.959399999999999</v>
      </c>
      <c r="I677" s="8">
        <f>23.7796 * CHOOSE(CONTROL!$C$15, $D$11, 100%, $F$11)</f>
        <v>23.779599999999999</v>
      </c>
      <c r="J677" s="4">
        <f>23.6541 * CHOOSE(CONTROL!$C$15, $D$11, 100%, $F$11)</f>
        <v>23.6541</v>
      </c>
      <c r="K677" s="4"/>
      <c r="L677" s="9">
        <v>29.306000000000001</v>
      </c>
      <c r="M677" s="9">
        <v>12.063700000000001</v>
      </c>
      <c r="N677" s="9">
        <v>4.9444999999999997</v>
      </c>
      <c r="O677" s="9">
        <v>0.37409999999999999</v>
      </c>
      <c r="P677" s="9">
        <v>1.2927</v>
      </c>
      <c r="Q677" s="9">
        <v>19.688099999999999</v>
      </c>
      <c r="R677" s="9"/>
      <c r="S677" s="11"/>
    </row>
    <row r="678" spans="1:19" ht="15.75">
      <c r="A678" s="13">
        <v>62152</v>
      </c>
      <c r="B678" s="8">
        <f>23.0727 * CHOOSE(CONTROL!$C$15, $D$11, 100%, $F$11)</f>
        <v>23.072700000000001</v>
      </c>
      <c r="C678" s="8">
        <f>23.0779 * CHOOSE(CONTROL!$C$15, $D$11, 100%, $F$11)</f>
        <v>23.0779</v>
      </c>
      <c r="D678" s="8">
        <f>23.0643 * CHOOSE( CONTROL!$C$15, $D$11, 100%, $F$11)</f>
        <v>23.064299999999999</v>
      </c>
      <c r="E678" s="12">
        <f>23.0687 * CHOOSE( CONTROL!$C$15, $D$11, 100%, $F$11)</f>
        <v>23.0687</v>
      </c>
      <c r="F678" s="4">
        <f>23.7216 * CHOOSE(CONTROL!$C$15, $D$11, 100%, $F$11)</f>
        <v>23.721599999999999</v>
      </c>
      <c r="G678" s="8">
        <f>22.5229 * CHOOSE( CONTROL!$C$15, $D$11, 100%, $F$11)</f>
        <v>22.5229</v>
      </c>
      <c r="H678" s="4">
        <f>23.4037 * CHOOSE(CONTROL!$C$15, $D$11, 100%, $F$11)</f>
        <v>23.403700000000001</v>
      </c>
      <c r="I678" s="8">
        <f>22.2496 * CHOOSE(CONTROL!$C$15, $D$11, 100%, $F$11)</f>
        <v>22.249600000000001</v>
      </c>
      <c r="J678" s="4">
        <f>22.1249 * CHOOSE(CONTROL!$C$15, $D$11, 100%, $F$11)</f>
        <v>22.1249</v>
      </c>
      <c r="K678" s="4"/>
      <c r="L678" s="9">
        <v>26.469899999999999</v>
      </c>
      <c r="M678" s="9">
        <v>10.8962</v>
      </c>
      <c r="N678" s="9">
        <v>4.4660000000000002</v>
      </c>
      <c r="O678" s="9">
        <v>0.33789999999999998</v>
      </c>
      <c r="P678" s="9">
        <v>1.1676</v>
      </c>
      <c r="Q678" s="9">
        <v>17.782800000000002</v>
      </c>
      <c r="R678" s="9"/>
      <c r="S678" s="11"/>
    </row>
    <row r="679" spans="1:19" ht="15.75">
      <c r="A679" s="13">
        <v>62183</v>
      </c>
      <c r="B679" s="8">
        <f>22.5821 * CHOOSE(CONTROL!$C$15, $D$11, 100%, $F$11)</f>
        <v>22.582100000000001</v>
      </c>
      <c r="C679" s="8">
        <f>22.5873 * CHOOSE(CONTROL!$C$15, $D$11, 100%, $F$11)</f>
        <v>22.587299999999999</v>
      </c>
      <c r="D679" s="8">
        <f>22.5735 * CHOOSE( CONTROL!$C$15, $D$11, 100%, $F$11)</f>
        <v>22.573499999999999</v>
      </c>
      <c r="E679" s="12">
        <f>22.578 * CHOOSE( CONTROL!$C$15, $D$11, 100%, $F$11)</f>
        <v>22.577999999999999</v>
      </c>
      <c r="F679" s="4">
        <f>23.231 * CHOOSE(CONTROL!$C$15, $D$11, 100%, $F$11)</f>
        <v>23.231000000000002</v>
      </c>
      <c r="G679" s="8">
        <f>22.0436 * CHOOSE( CONTROL!$C$15, $D$11, 100%, $F$11)</f>
        <v>22.043600000000001</v>
      </c>
      <c r="H679" s="4">
        <f>22.9246 * CHOOSE(CONTROL!$C$15, $D$11, 100%, $F$11)</f>
        <v>22.924600000000002</v>
      </c>
      <c r="I679" s="8">
        <f>21.7774 * CHOOSE(CONTROL!$C$15, $D$11, 100%, $F$11)</f>
        <v>21.7774</v>
      </c>
      <c r="J679" s="4">
        <f>21.6539 * CHOOSE(CONTROL!$C$15, $D$11, 100%, $F$11)</f>
        <v>21.6539</v>
      </c>
      <c r="K679" s="4"/>
      <c r="L679" s="9">
        <v>29.306000000000001</v>
      </c>
      <c r="M679" s="9">
        <v>12.063700000000001</v>
      </c>
      <c r="N679" s="9">
        <v>4.9444999999999997</v>
      </c>
      <c r="O679" s="9">
        <v>0.37409999999999999</v>
      </c>
      <c r="P679" s="9">
        <v>1.2927</v>
      </c>
      <c r="Q679" s="9">
        <v>19.688099999999999</v>
      </c>
      <c r="R679" s="9"/>
      <c r="S679" s="11"/>
    </row>
    <row r="680" spans="1:19" ht="15.75">
      <c r="A680" s="13">
        <v>62213</v>
      </c>
      <c r="B680" s="8">
        <f>22.9257 * CHOOSE(CONTROL!$C$15, $D$11, 100%, $F$11)</f>
        <v>22.925699999999999</v>
      </c>
      <c r="C680" s="8">
        <f>22.9303 * CHOOSE(CONTROL!$C$15, $D$11, 100%, $F$11)</f>
        <v>22.930299999999999</v>
      </c>
      <c r="D680" s="8">
        <f>22.9566 * CHOOSE( CONTROL!$C$15, $D$11, 100%, $F$11)</f>
        <v>22.956600000000002</v>
      </c>
      <c r="E680" s="12">
        <f>22.9474 * CHOOSE( CONTROL!$C$15, $D$11, 100%, $F$11)</f>
        <v>22.947399999999998</v>
      </c>
      <c r="F680" s="4">
        <f>23.6248 * CHOOSE(CONTROL!$C$15, $D$11, 100%, $F$11)</f>
        <v>23.6248</v>
      </c>
      <c r="G680" s="8">
        <f>22.3784 * CHOOSE( CONTROL!$C$15, $D$11, 100%, $F$11)</f>
        <v>22.378399999999999</v>
      </c>
      <c r="H680" s="4">
        <f>23.3092 * CHOOSE(CONTROL!$C$15, $D$11, 100%, $F$11)</f>
        <v>23.309200000000001</v>
      </c>
      <c r="I680" s="8">
        <f>22.0985 * CHOOSE(CONTROL!$C$15, $D$11, 100%, $F$11)</f>
        <v>22.098500000000001</v>
      </c>
      <c r="J680" s="4">
        <f>21.983 * CHOOSE(CONTROL!$C$15, $D$11, 100%, $F$11)</f>
        <v>21.983000000000001</v>
      </c>
      <c r="K680" s="4"/>
      <c r="L680" s="9">
        <v>30.092199999999998</v>
      </c>
      <c r="M680" s="9">
        <v>11.6745</v>
      </c>
      <c r="N680" s="9">
        <v>4.7850000000000001</v>
      </c>
      <c r="O680" s="9">
        <v>0.36199999999999999</v>
      </c>
      <c r="P680" s="9">
        <v>1.1791</v>
      </c>
      <c r="Q680" s="9">
        <v>19.053000000000001</v>
      </c>
      <c r="R680" s="9"/>
      <c r="S680" s="11"/>
    </row>
    <row r="681" spans="1:19" ht="15.75">
      <c r="A681" s="13">
        <v>62244</v>
      </c>
      <c r="B681" s="8">
        <f>CHOOSE( CONTROL!$C$32, 23.542, 23.5371) * CHOOSE(CONTROL!$C$15, $D$11, 100%, $F$11)</f>
        <v>23.542000000000002</v>
      </c>
      <c r="C681" s="8">
        <f>CHOOSE( CONTROL!$C$32, 23.55, 23.5452) * CHOOSE(CONTROL!$C$15, $D$11, 100%, $F$11)</f>
        <v>23.55</v>
      </c>
      <c r="D681" s="8">
        <f>CHOOSE( CONTROL!$C$32, 23.5714, 23.5665) * CHOOSE( CONTROL!$C$15, $D$11, 100%, $F$11)</f>
        <v>23.571400000000001</v>
      </c>
      <c r="E681" s="12">
        <f>CHOOSE( CONTROL!$C$32, 23.5624, 23.5575) * CHOOSE( CONTROL!$C$15, $D$11, 100%, $F$11)</f>
        <v>23.5624</v>
      </c>
      <c r="F681" s="4">
        <f>CHOOSE( CONTROL!$C$32, 24.2398, 24.2349) * CHOOSE(CONTROL!$C$15, $D$11, 100%, $F$11)</f>
        <v>24.239799999999999</v>
      </c>
      <c r="G681" s="8">
        <f>CHOOSE( CONTROL!$C$32, 22.98, 22.9753) * CHOOSE( CONTROL!$C$15, $D$11, 100%, $F$11)</f>
        <v>22.98</v>
      </c>
      <c r="H681" s="4">
        <f>CHOOSE( CONTROL!$C$32, 23.9098, 23.9051) * CHOOSE(CONTROL!$C$15, $D$11, 100%, $F$11)</f>
        <v>23.909800000000001</v>
      </c>
      <c r="I681" s="8">
        <f>CHOOSE( CONTROL!$C$32, 22.6892, 22.6846) * CHOOSE(CONTROL!$C$15, $D$11, 100%, $F$11)</f>
        <v>22.6892</v>
      </c>
      <c r="J681" s="4">
        <f>CHOOSE( CONTROL!$C$32, 22.5734, 22.5688) * CHOOSE(CONTROL!$C$15, $D$11, 100%, $F$11)</f>
        <v>22.573399999999999</v>
      </c>
      <c r="K681" s="4"/>
      <c r="L681" s="9">
        <v>30.7165</v>
      </c>
      <c r="M681" s="9">
        <v>12.063700000000001</v>
      </c>
      <c r="N681" s="9">
        <v>4.9444999999999997</v>
      </c>
      <c r="O681" s="9">
        <v>0.37409999999999999</v>
      </c>
      <c r="P681" s="9">
        <v>1.2183999999999999</v>
      </c>
      <c r="Q681" s="9">
        <v>19.688099999999999</v>
      </c>
      <c r="R681" s="9"/>
      <c r="S681" s="11"/>
    </row>
    <row r="682" spans="1:19" ht="15.75">
      <c r="A682" s="13">
        <v>62274</v>
      </c>
      <c r="B682" s="8">
        <f>CHOOSE( CONTROL!$C$32, 23.164, 23.1592) * CHOOSE(CONTROL!$C$15, $D$11, 100%, $F$11)</f>
        <v>23.164000000000001</v>
      </c>
      <c r="C682" s="8">
        <f>CHOOSE( CONTROL!$C$32, 23.1721, 23.1673) * CHOOSE(CONTROL!$C$15, $D$11, 100%, $F$11)</f>
        <v>23.1721</v>
      </c>
      <c r="D682" s="8">
        <f>CHOOSE( CONTROL!$C$32, 23.1936, 23.1888) * CHOOSE( CONTROL!$C$15, $D$11, 100%, $F$11)</f>
        <v>23.1936</v>
      </c>
      <c r="E682" s="12">
        <f>CHOOSE( CONTROL!$C$32, 23.1846, 23.1798) * CHOOSE( CONTROL!$C$15, $D$11, 100%, $F$11)</f>
        <v>23.1846</v>
      </c>
      <c r="F682" s="4">
        <f>CHOOSE( CONTROL!$C$32, 23.8618, 23.857) * CHOOSE(CONTROL!$C$15, $D$11, 100%, $F$11)</f>
        <v>23.861799999999999</v>
      </c>
      <c r="G682" s="8">
        <f>CHOOSE( CONTROL!$C$32, 22.6111, 22.6064) * CHOOSE( CONTROL!$C$15, $D$11, 100%, $F$11)</f>
        <v>22.6111</v>
      </c>
      <c r="H682" s="4">
        <f>CHOOSE( CONTROL!$C$32, 23.5407, 23.536) * CHOOSE(CONTROL!$C$15, $D$11, 100%, $F$11)</f>
        <v>23.540700000000001</v>
      </c>
      <c r="I682" s="8">
        <f>CHOOSE( CONTROL!$C$32, 22.3271, 22.3224) * CHOOSE(CONTROL!$C$15, $D$11, 100%, $F$11)</f>
        <v>22.327100000000002</v>
      </c>
      <c r="J682" s="4">
        <f>CHOOSE( CONTROL!$C$32, 22.2106, 22.2059) * CHOOSE(CONTROL!$C$15, $D$11, 100%, $F$11)</f>
        <v>22.210599999999999</v>
      </c>
      <c r="K682" s="4"/>
      <c r="L682" s="9">
        <v>29.7257</v>
      </c>
      <c r="M682" s="9">
        <v>11.6745</v>
      </c>
      <c r="N682" s="9">
        <v>4.7850000000000001</v>
      </c>
      <c r="O682" s="9">
        <v>0.36199999999999999</v>
      </c>
      <c r="P682" s="9">
        <v>1.1791</v>
      </c>
      <c r="Q682" s="9">
        <v>19.053000000000001</v>
      </c>
      <c r="R682" s="9"/>
      <c r="S682" s="11"/>
    </row>
    <row r="683" spans="1:19" ht="15.75">
      <c r="A683" s="13">
        <v>62305</v>
      </c>
      <c r="B683" s="8">
        <f>CHOOSE( CONTROL!$C$32, 24.1593, 24.1544) * CHOOSE(CONTROL!$C$15, $D$11, 100%, $F$11)</f>
        <v>24.159300000000002</v>
      </c>
      <c r="C683" s="8">
        <f>CHOOSE( CONTROL!$C$32, 24.1673, 24.1625) * CHOOSE(CONTROL!$C$15, $D$11, 100%, $F$11)</f>
        <v>24.167300000000001</v>
      </c>
      <c r="D683" s="8">
        <f>CHOOSE( CONTROL!$C$32, 24.1891, 24.1843) * CHOOSE( CONTROL!$C$15, $D$11, 100%, $F$11)</f>
        <v>24.1891</v>
      </c>
      <c r="E683" s="12">
        <f>CHOOSE( CONTROL!$C$32, 24.18, 24.1752) * CHOOSE( CONTROL!$C$15, $D$11, 100%, $F$11)</f>
        <v>24.18</v>
      </c>
      <c r="F683" s="4">
        <f>CHOOSE( CONTROL!$C$32, 24.8571, 24.8522) * CHOOSE(CONTROL!$C$15, $D$11, 100%, $F$11)</f>
        <v>24.857099999999999</v>
      </c>
      <c r="G683" s="8">
        <f>CHOOSE( CONTROL!$C$32, 23.5835, 23.5788) * CHOOSE( CONTROL!$C$15, $D$11, 100%, $F$11)</f>
        <v>23.583500000000001</v>
      </c>
      <c r="H683" s="4">
        <f>CHOOSE( CONTROL!$C$32, 24.5128, 24.508) * CHOOSE(CONTROL!$C$15, $D$11, 100%, $F$11)</f>
        <v>24.512799999999999</v>
      </c>
      <c r="I683" s="8">
        <f>CHOOSE( CONTROL!$C$32, 23.2842, 23.2796) * CHOOSE(CONTROL!$C$15, $D$11, 100%, $F$11)</f>
        <v>23.284199999999998</v>
      </c>
      <c r="J683" s="4">
        <f>CHOOSE( CONTROL!$C$32, 23.1661, 23.1614) * CHOOSE(CONTROL!$C$15, $D$11, 100%, $F$11)</f>
        <v>23.1661</v>
      </c>
      <c r="K683" s="4"/>
      <c r="L683" s="9">
        <v>30.7165</v>
      </c>
      <c r="M683" s="9">
        <v>12.063700000000001</v>
      </c>
      <c r="N683" s="9">
        <v>4.9444999999999997</v>
      </c>
      <c r="O683" s="9">
        <v>0.37409999999999999</v>
      </c>
      <c r="P683" s="9">
        <v>1.2183999999999999</v>
      </c>
      <c r="Q683" s="9">
        <v>19.688099999999999</v>
      </c>
      <c r="R683" s="9"/>
      <c r="S683" s="11"/>
    </row>
    <row r="684" spans="1:19" ht="15.75">
      <c r="A684" s="13">
        <v>62336</v>
      </c>
      <c r="B684" s="8">
        <f>CHOOSE( CONTROL!$C$32, 22.2971, 22.2922) * CHOOSE(CONTROL!$C$15, $D$11, 100%, $F$11)</f>
        <v>22.2971</v>
      </c>
      <c r="C684" s="8">
        <f>CHOOSE( CONTROL!$C$32, 22.3051, 22.3003) * CHOOSE(CONTROL!$C$15, $D$11, 100%, $F$11)</f>
        <v>22.305099999999999</v>
      </c>
      <c r="D684" s="8">
        <f>CHOOSE( CONTROL!$C$32, 22.327, 22.3221) * CHOOSE( CONTROL!$C$15, $D$11, 100%, $F$11)</f>
        <v>22.327000000000002</v>
      </c>
      <c r="E684" s="12">
        <f>CHOOSE( CONTROL!$C$32, 22.3178, 22.313) * CHOOSE( CONTROL!$C$15, $D$11, 100%, $F$11)</f>
        <v>22.317799999999998</v>
      </c>
      <c r="F684" s="4">
        <f>CHOOSE( CONTROL!$C$32, 22.9949, 22.99) * CHOOSE(CONTROL!$C$15, $D$11, 100%, $F$11)</f>
        <v>22.994900000000001</v>
      </c>
      <c r="G684" s="8">
        <f>CHOOSE( CONTROL!$C$32, 21.7648, 21.7601) * CHOOSE( CONTROL!$C$15, $D$11, 100%, $F$11)</f>
        <v>21.764800000000001</v>
      </c>
      <c r="H684" s="4">
        <f>CHOOSE( CONTROL!$C$32, 22.6939, 22.6892) * CHOOSE(CONTROL!$C$15, $D$11, 100%, $F$11)</f>
        <v>22.693899999999999</v>
      </c>
      <c r="I684" s="8">
        <f>CHOOSE( CONTROL!$C$32, 21.4957, 21.4911) * CHOOSE(CONTROL!$C$15, $D$11, 100%, $F$11)</f>
        <v>21.495699999999999</v>
      </c>
      <c r="J684" s="4">
        <f>CHOOSE( CONTROL!$C$32, 21.3782, 21.3735) * CHOOSE(CONTROL!$C$15, $D$11, 100%, $F$11)</f>
        <v>21.3782</v>
      </c>
      <c r="K684" s="4"/>
      <c r="L684" s="9">
        <v>30.7165</v>
      </c>
      <c r="M684" s="9">
        <v>12.063700000000001</v>
      </c>
      <c r="N684" s="9">
        <v>4.9444999999999997</v>
      </c>
      <c r="O684" s="9">
        <v>0.37409999999999999</v>
      </c>
      <c r="P684" s="9">
        <v>1.2183999999999999</v>
      </c>
      <c r="Q684" s="9">
        <v>19.688099999999999</v>
      </c>
      <c r="R684" s="9"/>
      <c r="S684" s="11"/>
    </row>
    <row r="685" spans="1:19" ht="15.75">
      <c r="A685" s="13">
        <v>62366</v>
      </c>
      <c r="B685" s="8">
        <f>CHOOSE( CONTROL!$C$32, 21.8307, 21.8259) * CHOOSE(CONTROL!$C$15, $D$11, 100%, $F$11)</f>
        <v>21.8307</v>
      </c>
      <c r="C685" s="8">
        <f>CHOOSE( CONTROL!$C$32, 21.8388, 21.834) * CHOOSE(CONTROL!$C$15, $D$11, 100%, $F$11)</f>
        <v>21.838799999999999</v>
      </c>
      <c r="D685" s="8">
        <f>CHOOSE( CONTROL!$C$32, 21.8606, 21.8558) * CHOOSE( CONTROL!$C$15, $D$11, 100%, $F$11)</f>
        <v>21.860600000000002</v>
      </c>
      <c r="E685" s="12">
        <f>CHOOSE( CONTROL!$C$32, 21.8515, 21.8467) * CHOOSE( CONTROL!$C$15, $D$11, 100%, $F$11)</f>
        <v>21.851500000000001</v>
      </c>
      <c r="F685" s="4">
        <f>CHOOSE( CONTROL!$C$32, 22.5286, 22.5237) * CHOOSE(CONTROL!$C$15, $D$11, 100%, $F$11)</f>
        <v>22.528600000000001</v>
      </c>
      <c r="G685" s="8">
        <f>CHOOSE( CONTROL!$C$32, 21.3093, 21.3046) * CHOOSE( CONTROL!$C$15, $D$11, 100%, $F$11)</f>
        <v>21.3093</v>
      </c>
      <c r="H685" s="4">
        <f>CHOOSE( CONTROL!$C$32, 22.2385, 22.2338) * CHOOSE(CONTROL!$C$15, $D$11, 100%, $F$11)</f>
        <v>22.238499999999998</v>
      </c>
      <c r="I685" s="8">
        <f>CHOOSE( CONTROL!$C$32, 21.0477, 21.0431) * CHOOSE(CONTROL!$C$15, $D$11, 100%, $F$11)</f>
        <v>21.047699999999999</v>
      </c>
      <c r="J685" s="4">
        <f>CHOOSE( CONTROL!$C$32, 20.9305, 20.9258) * CHOOSE(CONTROL!$C$15, $D$11, 100%, $F$11)</f>
        <v>20.930499999999999</v>
      </c>
      <c r="K685" s="4"/>
      <c r="L685" s="9">
        <v>29.7257</v>
      </c>
      <c r="M685" s="9">
        <v>11.6745</v>
      </c>
      <c r="N685" s="9">
        <v>4.7850000000000001</v>
      </c>
      <c r="O685" s="9">
        <v>0.36199999999999999</v>
      </c>
      <c r="P685" s="9">
        <v>1.1791</v>
      </c>
      <c r="Q685" s="9">
        <v>19.053000000000001</v>
      </c>
      <c r="R685" s="9"/>
      <c r="S685" s="11"/>
    </row>
    <row r="686" spans="1:19" ht="15.75">
      <c r="A686" s="13">
        <v>62397</v>
      </c>
      <c r="B686" s="8">
        <f>22.7924 * CHOOSE(CONTROL!$C$15, $D$11, 100%, $F$11)</f>
        <v>22.792400000000001</v>
      </c>
      <c r="C686" s="8">
        <f>22.7979 * CHOOSE(CONTROL!$C$15, $D$11, 100%, $F$11)</f>
        <v>22.797899999999998</v>
      </c>
      <c r="D686" s="8">
        <f>22.8243 * CHOOSE( CONTROL!$C$15, $D$11, 100%, $F$11)</f>
        <v>22.824300000000001</v>
      </c>
      <c r="E686" s="12">
        <f>22.815 * CHOOSE( CONTROL!$C$15, $D$11, 100%, $F$11)</f>
        <v>22.815000000000001</v>
      </c>
      <c r="F686" s="4">
        <f>23.492 * CHOOSE(CONTROL!$C$15, $D$11, 100%, $F$11)</f>
        <v>23.492000000000001</v>
      </c>
      <c r="G686" s="8">
        <f>22.2496 * CHOOSE( CONTROL!$C$15, $D$11, 100%, $F$11)</f>
        <v>22.249600000000001</v>
      </c>
      <c r="H686" s="4">
        <f>23.1794 * CHOOSE(CONTROL!$C$15, $D$11, 100%, $F$11)</f>
        <v>23.179400000000001</v>
      </c>
      <c r="I686" s="8">
        <f>21.9739 * CHOOSE(CONTROL!$C$15, $D$11, 100%, $F$11)</f>
        <v>21.9739</v>
      </c>
      <c r="J686" s="4">
        <f>21.8554 * CHOOSE(CONTROL!$C$15, $D$11, 100%, $F$11)</f>
        <v>21.855399999999999</v>
      </c>
      <c r="K686" s="4"/>
      <c r="L686" s="9">
        <v>31.095300000000002</v>
      </c>
      <c r="M686" s="9">
        <v>12.063700000000001</v>
      </c>
      <c r="N686" s="9">
        <v>4.9444999999999997</v>
      </c>
      <c r="O686" s="9">
        <v>0.37409999999999999</v>
      </c>
      <c r="P686" s="9">
        <v>1.2183999999999999</v>
      </c>
      <c r="Q686" s="9">
        <v>19.688099999999999</v>
      </c>
      <c r="R686" s="9"/>
      <c r="S686" s="11"/>
    </row>
    <row r="687" spans="1:19" ht="15.75">
      <c r="A687" s="13">
        <v>62427</v>
      </c>
      <c r="B687" s="8">
        <f>24.5792 * CHOOSE(CONTROL!$C$15, $D$11, 100%, $F$11)</f>
        <v>24.5792</v>
      </c>
      <c r="C687" s="8">
        <f>24.5844 * CHOOSE(CONTROL!$C$15, $D$11, 100%, $F$11)</f>
        <v>24.584399999999999</v>
      </c>
      <c r="D687" s="8">
        <f>24.5736 * CHOOSE( CONTROL!$C$15, $D$11, 100%, $F$11)</f>
        <v>24.573599999999999</v>
      </c>
      <c r="E687" s="12">
        <f>24.577 * CHOOSE( CONTROL!$C$15, $D$11, 100%, $F$11)</f>
        <v>24.577000000000002</v>
      </c>
      <c r="F687" s="4">
        <f>25.2281 * CHOOSE(CONTROL!$C$15, $D$11, 100%, $F$11)</f>
        <v>25.228100000000001</v>
      </c>
      <c r="G687" s="8">
        <f>23.9996 * CHOOSE( CONTROL!$C$15, $D$11, 100%, $F$11)</f>
        <v>23.999600000000001</v>
      </c>
      <c r="H687" s="4">
        <f>24.8751 * CHOOSE(CONTROL!$C$15, $D$11, 100%, $F$11)</f>
        <v>24.8751</v>
      </c>
      <c r="I687" s="8">
        <f>23.7162 * CHOOSE(CONTROL!$C$15, $D$11, 100%, $F$11)</f>
        <v>23.716200000000001</v>
      </c>
      <c r="J687" s="4">
        <f>23.5713 * CHOOSE(CONTROL!$C$15, $D$11, 100%, $F$11)</f>
        <v>23.571300000000001</v>
      </c>
      <c r="K687" s="4"/>
      <c r="L687" s="9">
        <v>28.360600000000002</v>
      </c>
      <c r="M687" s="9">
        <v>11.6745</v>
      </c>
      <c r="N687" s="9">
        <v>4.7850000000000001</v>
      </c>
      <c r="O687" s="9">
        <v>0.36199999999999999</v>
      </c>
      <c r="P687" s="9">
        <v>1.2509999999999999</v>
      </c>
      <c r="Q687" s="9">
        <v>19.053000000000001</v>
      </c>
      <c r="R687" s="9"/>
      <c r="S687" s="11"/>
    </row>
    <row r="688" spans="1:19" ht="15.75">
      <c r="A688" s="13">
        <v>62458</v>
      </c>
      <c r="B688" s="8">
        <f>24.5345 * CHOOSE(CONTROL!$C$15, $D$11, 100%, $F$11)</f>
        <v>24.534500000000001</v>
      </c>
      <c r="C688" s="8">
        <f>24.5397 * CHOOSE(CONTROL!$C$15, $D$11, 100%, $F$11)</f>
        <v>24.5397</v>
      </c>
      <c r="D688" s="8">
        <f>24.5303 * CHOOSE( CONTROL!$C$15, $D$11, 100%, $F$11)</f>
        <v>24.5303</v>
      </c>
      <c r="E688" s="12">
        <f>24.5332 * CHOOSE( CONTROL!$C$15, $D$11, 100%, $F$11)</f>
        <v>24.533200000000001</v>
      </c>
      <c r="F688" s="4">
        <f>25.1834 * CHOOSE(CONTROL!$C$15, $D$11, 100%, $F$11)</f>
        <v>25.183399999999999</v>
      </c>
      <c r="G688" s="8">
        <f>23.957 * CHOOSE( CONTROL!$C$15, $D$11, 100%, $F$11)</f>
        <v>23.957000000000001</v>
      </c>
      <c r="H688" s="4">
        <f>24.8315 * CHOOSE(CONTROL!$C$15, $D$11, 100%, $F$11)</f>
        <v>24.831499999999998</v>
      </c>
      <c r="I688" s="8">
        <f>23.6776 * CHOOSE(CONTROL!$C$15, $D$11, 100%, $F$11)</f>
        <v>23.677600000000002</v>
      </c>
      <c r="J688" s="4">
        <f>23.5284 * CHOOSE(CONTROL!$C$15, $D$11, 100%, $F$11)</f>
        <v>23.528400000000001</v>
      </c>
      <c r="K688" s="4"/>
      <c r="L688" s="9">
        <v>29.306000000000001</v>
      </c>
      <c r="M688" s="9">
        <v>12.063700000000001</v>
      </c>
      <c r="N688" s="9">
        <v>4.9444999999999997</v>
      </c>
      <c r="O688" s="9">
        <v>0.37409999999999999</v>
      </c>
      <c r="P688" s="9">
        <v>1.2927</v>
      </c>
      <c r="Q688" s="9">
        <v>19.688099999999999</v>
      </c>
      <c r="R688" s="9"/>
      <c r="S688" s="11"/>
    </row>
    <row r="689" spans="1:19" ht="15.75">
      <c r="A689" s="13">
        <v>62489</v>
      </c>
      <c r="B689" s="8">
        <f>25.4711 * CHOOSE(CONTROL!$C$15, $D$11, 100%, $F$11)</f>
        <v>25.4711</v>
      </c>
      <c r="C689" s="8">
        <f>25.4763 * CHOOSE(CONTROL!$C$15, $D$11, 100%, $F$11)</f>
        <v>25.476299999999998</v>
      </c>
      <c r="D689" s="8">
        <f>25.4628 * CHOOSE( CONTROL!$C$15, $D$11, 100%, $F$11)</f>
        <v>25.462800000000001</v>
      </c>
      <c r="E689" s="12">
        <f>25.4672 * CHOOSE( CONTROL!$C$15, $D$11, 100%, $F$11)</f>
        <v>25.467199999999998</v>
      </c>
      <c r="F689" s="4">
        <f>26.12 * CHOOSE(CONTROL!$C$15, $D$11, 100%, $F$11)</f>
        <v>26.12</v>
      </c>
      <c r="G689" s="8">
        <f>24.8655 * CHOOSE( CONTROL!$C$15, $D$11, 100%, $F$11)</f>
        <v>24.865500000000001</v>
      </c>
      <c r="H689" s="4">
        <f>25.7463 * CHOOSE(CONTROL!$C$15, $D$11, 100%, $F$11)</f>
        <v>25.746300000000002</v>
      </c>
      <c r="I689" s="8">
        <f>24.5536 * CHOOSE(CONTROL!$C$15, $D$11, 100%, $F$11)</f>
        <v>24.553599999999999</v>
      </c>
      <c r="J689" s="4">
        <f>24.4277 * CHOOSE(CONTROL!$C$15, $D$11, 100%, $F$11)</f>
        <v>24.427700000000002</v>
      </c>
      <c r="K689" s="4"/>
      <c r="L689" s="9">
        <v>29.306000000000001</v>
      </c>
      <c r="M689" s="9">
        <v>12.063700000000001</v>
      </c>
      <c r="N689" s="9">
        <v>4.9444999999999997</v>
      </c>
      <c r="O689" s="9">
        <v>0.37409999999999999</v>
      </c>
      <c r="P689" s="9">
        <v>1.2927</v>
      </c>
      <c r="Q689" s="9">
        <v>19.688099999999999</v>
      </c>
      <c r="R689" s="9"/>
      <c r="S689" s="11"/>
    </row>
    <row r="690" spans="1:19" ht="15.75">
      <c r="A690" s="13">
        <v>62517</v>
      </c>
      <c r="B690" s="8">
        <f>23.8263 * CHOOSE(CONTROL!$C$15, $D$11, 100%, $F$11)</f>
        <v>23.8263</v>
      </c>
      <c r="C690" s="8">
        <f>23.8315 * CHOOSE(CONTROL!$C$15, $D$11, 100%, $F$11)</f>
        <v>23.831499999999998</v>
      </c>
      <c r="D690" s="8">
        <f>23.818 * CHOOSE( CONTROL!$C$15, $D$11, 100%, $F$11)</f>
        <v>23.818000000000001</v>
      </c>
      <c r="E690" s="12">
        <f>23.8224 * CHOOSE( CONTROL!$C$15, $D$11, 100%, $F$11)</f>
        <v>23.822399999999998</v>
      </c>
      <c r="F690" s="4">
        <f>24.4752 * CHOOSE(CONTROL!$C$15, $D$11, 100%, $F$11)</f>
        <v>24.475200000000001</v>
      </c>
      <c r="G690" s="8">
        <f>23.259 * CHOOSE( CONTROL!$C$15, $D$11, 100%, $F$11)</f>
        <v>23.259</v>
      </c>
      <c r="H690" s="4">
        <f>24.1398 * CHOOSE(CONTROL!$C$15, $D$11, 100%, $F$11)</f>
        <v>24.139800000000001</v>
      </c>
      <c r="I690" s="8">
        <f>22.9736 * CHOOSE(CONTROL!$C$15, $D$11, 100%, $F$11)</f>
        <v>22.973600000000001</v>
      </c>
      <c r="J690" s="4">
        <f>22.8485 * CHOOSE(CONTROL!$C$15, $D$11, 100%, $F$11)</f>
        <v>22.848500000000001</v>
      </c>
      <c r="K690" s="4"/>
      <c r="L690" s="9">
        <v>26.469899999999999</v>
      </c>
      <c r="M690" s="9">
        <v>10.8962</v>
      </c>
      <c r="N690" s="9">
        <v>4.4660000000000002</v>
      </c>
      <c r="O690" s="9">
        <v>0.33789999999999998</v>
      </c>
      <c r="P690" s="9">
        <v>1.1676</v>
      </c>
      <c r="Q690" s="9">
        <v>17.782800000000002</v>
      </c>
      <c r="R690" s="9"/>
      <c r="S690" s="11"/>
    </row>
    <row r="691" spans="1:19" ht="15.75">
      <c r="A691" s="13">
        <v>62548</v>
      </c>
      <c r="B691" s="8">
        <f>23.3197 * CHOOSE(CONTROL!$C$15, $D$11, 100%, $F$11)</f>
        <v>23.319700000000001</v>
      </c>
      <c r="C691" s="8">
        <f>23.3249 * CHOOSE(CONTROL!$C$15, $D$11, 100%, $F$11)</f>
        <v>23.3249</v>
      </c>
      <c r="D691" s="8">
        <f>23.311 * CHOOSE( CONTROL!$C$15, $D$11, 100%, $F$11)</f>
        <v>23.311</v>
      </c>
      <c r="E691" s="12">
        <f>23.3155 * CHOOSE( CONTROL!$C$15, $D$11, 100%, $F$11)</f>
        <v>23.3155</v>
      </c>
      <c r="F691" s="4">
        <f>23.9686 * CHOOSE(CONTROL!$C$15, $D$11, 100%, $F$11)</f>
        <v>23.968599999999999</v>
      </c>
      <c r="G691" s="8">
        <f>22.764 * CHOOSE( CONTROL!$C$15, $D$11, 100%, $F$11)</f>
        <v>22.763999999999999</v>
      </c>
      <c r="H691" s="4">
        <f>23.645 * CHOOSE(CONTROL!$C$15, $D$11, 100%, $F$11)</f>
        <v>23.645</v>
      </c>
      <c r="I691" s="8">
        <f>22.4859 * CHOOSE(CONTROL!$C$15, $D$11, 100%, $F$11)</f>
        <v>22.485900000000001</v>
      </c>
      <c r="J691" s="4">
        <f>22.3621 * CHOOSE(CONTROL!$C$15, $D$11, 100%, $F$11)</f>
        <v>22.362100000000002</v>
      </c>
      <c r="K691" s="4"/>
      <c r="L691" s="9">
        <v>29.306000000000001</v>
      </c>
      <c r="M691" s="9">
        <v>12.063700000000001</v>
      </c>
      <c r="N691" s="9">
        <v>4.9444999999999997</v>
      </c>
      <c r="O691" s="9">
        <v>0.37409999999999999</v>
      </c>
      <c r="P691" s="9">
        <v>1.2927</v>
      </c>
      <c r="Q691" s="9">
        <v>19.688099999999999</v>
      </c>
      <c r="R691" s="9"/>
      <c r="S691" s="11"/>
    </row>
    <row r="692" spans="1:19" ht="15.75">
      <c r="A692" s="13">
        <v>62578</v>
      </c>
      <c r="B692" s="8">
        <f>23.6745 * CHOOSE(CONTROL!$C$15, $D$11, 100%, $F$11)</f>
        <v>23.674499999999998</v>
      </c>
      <c r="C692" s="8">
        <f>23.6791 * CHOOSE(CONTROL!$C$15, $D$11, 100%, $F$11)</f>
        <v>23.679099999999998</v>
      </c>
      <c r="D692" s="8">
        <f>23.7054 * CHOOSE( CONTROL!$C$15, $D$11, 100%, $F$11)</f>
        <v>23.705400000000001</v>
      </c>
      <c r="E692" s="12">
        <f>23.6962 * CHOOSE( CONTROL!$C$15, $D$11, 100%, $F$11)</f>
        <v>23.696200000000001</v>
      </c>
      <c r="F692" s="4">
        <f>24.3736 * CHOOSE(CONTROL!$C$15, $D$11, 100%, $F$11)</f>
        <v>24.3736</v>
      </c>
      <c r="G692" s="8">
        <f>23.1098 * CHOOSE( CONTROL!$C$15, $D$11, 100%, $F$11)</f>
        <v>23.1098</v>
      </c>
      <c r="H692" s="4">
        <f>24.0406 * CHOOSE(CONTROL!$C$15, $D$11, 100%, $F$11)</f>
        <v>24.040600000000001</v>
      </c>
      <c r="I692" s="8">
        <f>22.8178 * CHOOSE(CONTROL!$C$15, $D$11, 100%, $F$11)</f>
        <v>22.817799999999998</v>
      </c>
      <c r="J692" s="4">
        <f>22.7019 * CHOOSE(CONTROL!$C$15, $D$11, 100%, $F$11)</f>
        <v>22.701899999999998</v>
      </c>
      <c r="K692" s="4"/>
      <c r="L692" s="9">
        <v>30.092199999999998</v>
      </c>
      <c r="M692" s="9">
        <v>11.6745</v>
      </c>
      <c r="N692" s="9">
        <v>4.7850000000000001</v>
      </c>
      <c r="O692" s="9">
        <v>0.36199999999999999</v>
      </c>
      <c r="P692" s="9">
        <v>1.1791</v>
      </c>
      <c r="Q692" s="9">
        <v>19.053000000000001</v>
      </c>
      <c r="R692" s="9"/>
      <c r="S692" s="11"/>
    </row>
    <row r="693" spans="1:19" ht="15.75">
      <c r="A693" s="13">
        <v>62609</v>
      </c>
      <c r="B693" s="8">
        <f>CHOOSE( CONTROL!$C$32, 24.3107, 24.3059) * CHOOSE(CONTROL!$C$15, $D$11, 100%, $F$11)</f>
        <v>24.310700000000001</v>
      </c>
      <c r="C693" s="8">
        <f>CHOOSE( CONTROL!$C$32, 24.3188, 24.314) * CHOOSE(CONTROL!$C$15, $D$11, 100%, $F$11)</f>
        <v>24.3188</v>
      </c>
      <c r="D693" s="8">
        <f>CHOOSE( CONTROL!$C$32, 24.3401, 24.3353) * CHOOSE( CONTROL!$C$15, $D$11, 100%, $F$11)</f>
        <v>24.3401</v>
      </c>
      <c r="E693" s="12">
        <f>CHOOSE( CONTROL!$C$32, 24.3311, 24.3263) * CHOOSE( CONTROL!$C$15, $D$11, 100%, $F$11)</f>
        <v>24.331099999999999</v>
      </c>
      <c r="F693" s="4">
        <f>CHOOSE( CONTROL!$C$32, 25.0085, 25.0037) * CHOOSE(CONTROL!$C$15, $D$11, 100%, $F$11)</f>
        <v>25.008500000000002</v>
      </c>
      <c r="G693" s="8">
        <f>CHOOSE( CONTROL!$C$32, 23.7308, 23.7261) * CHOOSE( CONTROL!$C$15, $D$11, 100%, $F$11)</f>
        <v>23.730799999999999</v>
      </c>
      <c r="H693" s="4">
        <f>CHOOSE( CONTROL!$C$32, 24.6607, 24.656) * CHOOSE(CONTROL!$C$15, $D$11, 100%, $F$11)</f>
        <v>24.660699999999999</v>
      </c>
      <c r="I693" s="8">
        <f>CHOOSE( CONTROL!$C$32, 23.4276, 23.423) * CHOOSE(CONTROL!$C$15, $D$11, 100%, $F$11)</f>
        <v>23.427600000000002</v>
      </c>
      <c r="J693" s="4">
        <f>CHOOSE( CONTROL!$C$32, 23.3115, 23.3068) * CHOOSE(CONTROL!$C$15, $D$11, 100%, $F$11)</f>
        <v>23.311499999999999</v>
      </c>
      <c r="K693" s="4"/>
      <c r="L693" s="9">
        <v>30.7165</v>
      </c>
      <c r="M693" s="9">
        <v>12.063700000000001</v>
      </c>
      <c r="N693" s="9">
        <v>4.9444999999999997</v>
      </c>
      <c r="O693" s="9">
        <v>0.37409999999999999</v>
      </c>
      <c r="P693" s="9">
        <v>1.2183999999999999</v>
      </c>
      <c r="Q693" s="9">
        <v>19.688099999999999</v>
      </c>
      <c r="R693" s="9"/>
      <c r="S693" s="11"/>
    </row>
    <row r="694" spans="1:19" ht="15.75">
      <c r="A694" s="13">
        <v>62639</v>
      </c>
      <c r="B694" s="8">
        <f>CHOOSE( CONTROL!$C$32, 23.9204, 23.9156) * CHOOSE(CONTROL!$C$15, $D$11, 100%, $F$11)</f>
        <v>23.920400000000001</v>
      </c>
      <c r="C694" s="8">
        <f>CHOOSE( CONTROL!$C$32, 23.9285, 23.9237) * CHOOSE(CONTROL!$C$15, $D$11, 100%, $F$11)</f>
        <v>23.9285</v>
      </c>
      <c r="D694" s="8">
        <f>CHOOSE( CONTROL!$C$32, 23.95, 23.9452) * CHOOSE( CONTROL!$C$15, $D$11, 100%, $F$11)</f>
        <v>23.95</v>
      </c>
      <c r="E694" s="12">
        <f>CHOOSE( CONTROL!$C$32, 23.941, 23.9362) * CHOOSE( CONTROL!$C$15, $D$11, 100%, $F$11)</f>
        <v>23.940999999999999</v>
      </c>
      <c r="F694" s="4">
        <f>CHOOSE( CONTROL!$C$32, 24.6182, 24.6134) * CHOOSE(CONTROL!$C$15, $D$11, 100%, $F$11)</f>
        <v>24.618200000000002</v>
      </c>
      <c r="G694" s="8">
        <f>CHOOSE( CONTROL!$C$32, 23.3499, 23.3452) * CHOOSE( CONTROL!$C$15, $D$11, 100%, $F$11)</f>
        <v>23.349900000000002</v>
      </c>
      <c r="H694" s="4">
        <f>CHOOSE( CONTROL!$C$32, 24.2795, 24.2748) * CHOOSE(CONTROL!$C$15, $D$11, 100%, $F$11)</f>
        <v>24.279499999999999</v>
      </c>
      <c r="I694" s="8">
        <f>CHOOSE( CONTROL!$C$32, 23.0537, 23.049) * CHOOSE(CONTROL!$C$15, $D$11, 100%, $F$11)</f>
        <v>23.053699999999999</v>
      </c>
      <c r="J694" s="4">
        <f>CHOOSE( CONTROL!$C$32, 22.9368, 22.9321) * CHOOSE(CONTROL!$C$15, $D$11, 100%, $F$11)</f>
        <v>22.936800000000002</v>
      </c>
      <c r="K694" s="4"/>
      <c r="L694" s="9">
        <v>29.7257</v>
      </c>
      <c r="M694" s="9">
        <v>11.6745</v>
      </c>
      <c r="N694" s="9">
        <v>4.7850000000000001</v>
      </c>
      <c r="O694" s="9">
        <v>0.36199999999999999</v>
      </c>
      <c r="P694" s="9">
        <v>1.1791</v>
      </c>
      <c r="Q694" s="9">
        <v>19.053000000000001</v>
      </c>
      <c r="R694" s="9"/>
      <c r="S694" s="11"/>
    </row>
    <row r="695" spans="1:19" ht="15.75">
      <c r="A695" s="13">
        <v>62670</v>
      </c>
      <c r="B695" s="8">
        <f>CHOOSE( CONTROL!$C$32, 24.9482, 24.9434) * CHOOSE(CONTROL!$C$15, $D$11, 100%, $F$11)</f>
        <v>24.9482</v>
      </c>
      <c r="C695" s="8">
        <f>CHOOSE( CONTROL!$C$32, 24.9563, 24.9515) * CHOOSE(CONTROL!$C$15, $D$11, 100%, $F$11)</f>
        <v>24.956299999999999</v>
      </c>
      <c r="D695" s="8">
        <f>CHOOSE( CONTROL!$C$32, 24.978, 24.9732) * CHOOSE( CONTROL!$C$15, $D$11, 100%, $F$11)</f>
        <v>24.978000000000002</v>
      </c>
      <c r="E695" s="12">
        <f>CHOOSE( CONTROL!$C$32, 24.9689, 24.9641) * CHOOSE( CONTROL!$C$15, $D$11, 100%, $F$11)</f>
        <v>24.968900000000001</v>
      </c>
      <c r="F695" s="4">
        <f>CHOOSE( CONTROL!$C$32, 25.646, 25.6412) * CHOOSE(CONTROL!$C$15, $D$11, 100%, $F$11)</f>
        <v>25.646000000000001</v>
      </c>
      <c r="G695" s="8">
        <f>CHOOSE( CONTROL!$C$32, 24.3541, 24.3494) * CHOOSE( CONTROL!$C$15, $D$11, 100%, $F$11)</f>
        <v>24.354099999999999</v>
      </c>
      <c r="H695" s="4">
        <f>CHOOSE( CONTROL!$C$32, 25.2833, 25.2786) * CHOOSE(CONTROL!$C$15, $D$11, 100%, $F$11)</f>
        <v>25.283300000000001</v>
      </c>
      <c r="I695" s="8">
        <f>CHOOSE( CONTROL!$C$32, 24.0421, 24.0374) * CHOOSE(CONTROL!$C$15, $D$11, 100%, $F$11)</f>
        <v>24.042100000000001</v>
      </c>
      <c r="J695" s="4">
        <f>CHOOSE( CONTROL!$C$32, 23.9235, 23.9189) * CHOOSE(CONTROL!$C$15, $D$11, 100%, $F$11)</f>
        <v>23.923500000000001</v>
      </c>
      <c r="K695" s="4"/>
      <c r="L695" s="9">
        <v>30.7165</v>
      </c>
      <c r="M695" s="9">
        <v>12.063700000000001</v>
      </c>
      <c r="N695" s="9">
        <v>4.9444999999999997</v>
      </c>
      <c r="O695" s="9">
        <v>0.37409999999999999</v>
      </c>
      <c r="P695" s="9">
        <v>1.2183999999999999</v>
      </c>
      <c r="Q695" s="9">
        <v>19.688099999999999</v>
      </c>
      <c r="R695" s="9"/>
      <c r="S695" s="11"/>
    </row>
    <row r="696" spans="1:19" ht="15.75">
      <c r="A696" s="13">
        <v>62701</v>
      </c>
      <c r="B696" s="8">
        <f>CHOOSE( CONTROL!$C$32, 23.0251, 23.0203) * CHOOSE(CONTROL!$C$15, $D$11, 100%, $F$11)</f>
        <v>23.025099999999998</v>
      </c>
      <c r="C696" s="8">
        <f>CHOOSE( CONTROL!$C$32, 23.0332, 23.0284) * CHOOSE(CONTROL!$C$15, $D$11, 100%, $F$11)</f>
        <v>23.033200000000001</v>
      </c>
      <c r="D696" s="8">
        <f>CHOOSE( CONTROL!$C$32, 23.055, 23.0502) * CHOOSE( CONTROL!$C$15, $D$11, 100%, $F$11)</f>
        <v>23.055</v>
      </c>
      <c r="E696" s="12">
        <f>CHOOSE( CONTROL!$C$32, 23.0459, 23.0411) * CHOOSE( CONTROL!$C$15, $D$11, 100%, $F$11)</f>
        <v>23.0459</v>
      </c>
      <c r="F696" s="4">
        <f>CHOOSE( CONTROL!$C$32, 23.7229, 23.7181) * CHOOSE(CONTROL!$C$15, $D$11, 100%, $F$11)</f>
        <v>23.722899999999999</v>
      </c>
      <c r="G696" s="8">
        <f>CHOOSE( CONTROL!$C$32, 22.4759, 22.4712) * CHOOSE( CONTROL!$C$15, $D$11, 100%, $F$11)</f>
        <v>22.475899999999999</v>
      </c>
      <c r="H696" s="4">
        <f>CHOOSE( CONTROL!$C$32, 23.405, 23.4003) * CHOOSE(CONTROL!$C$15, $D$11, 100%, $F$11)</f>
        <v>23.405000000000001</v>
      </c>
      <c r="I696" s="8">
        <f>CHOOSE( CONTROL!$C$32, 22.1951, 22.1904) * CHOOSE(CONTROL!$C$15, $D$11, 100%, $F$11)</f>
        <v>22.1951</v>
      </c>
      <c r="J696" s="4">
        <f>CHOOSE( CONTROL!$C$32, 22.0772, 22.0725) * CHOOSE(CONTROL!$C$15, $D$11, 100%, $F$11)</f>
        <v>22.077200000000001</v>
      </c>
      <c r="K696" s="4"/>
      <c r="L696" s="9">
        <v>30.7165</v>
      </c>
      <c r="M696" s="9">
        <v>12.063700000000001</v>
      </c>
      <c r="N696" s="9">
        <v>4.9444999999999997</v>
      </c>
      <c r="O696" s="9">
        <v>0.37409999999999999</v>
      </c>
      <c r="P696" s="9">
        <v>1.2183999999999999</v>
      </c>
      <c r="Q696" s="9">
        <v>19.688099999999999</v>
      </c>
      <c r="R696" s="9"/>
      <c r="S696" s="11"/>
    </row>
    <row r="697" spans="1:19" ht="15.75">
      <c r="A697" s="13">
        <v>62731</v>
      </c>
      <c r="B697" s="8">
        <f>CHOOSE( CONTROL!$C$32, 22.5435, 22.5387) * CHOOSE(CONTROL!$C$15, $D$11, 100%, $F$11)</f>
        <v>22.543500000000002</v>
      </c>
      <c r="C697" s="8">
        <f>CHOOSE( CONTROL!$C$32, 22.5516, 22.5468) * CHOOSE(CONTROL!$C$15, $D$11, 100%, $F$11)</f>
        <v>22.551600000000001</v>
      </c>
      <c r="D697" s="8">
        <f>CHOOSE( CONTROL!$C$32, 22.5734, 22.5686) * CHOOSE( CONTROL!$C$15, $D$11, 100%, $F$11)</f>
        <v>22.573399999999999</v>
      </c>
      <c r="E697" s="12">
        <f>CHOOSE( CONTROL!$C$32, 22.5643, 22.5595) * CHOOSE( CONTROL!$C$15, $D$11, 100%, $F$11)</f>
        <v>22.564299999999999</v>
      </c>
      <c r="F697" s="4">
        <f>CHOOSE( CONTROL!$C$32, 23.2413, 23.2365) * CHOOSE(CONTROL!$C$15, $D$11, 100%, $F$11)</f>
        <v>23.241299999999999</v>
      </c>
      <c r="G697" s="8">
        <f>CHOOSE( CONTROL!$C$32, 22.0055, 22.0008) * CHOOSE( CONTROL!$C$15, $D$11, 100%, $F$11)</f>
        <v>22.005500000000001</v>
      </c>
      <c r="H697" s="4">
        <f>CHOOSE( CONTROL!$C$32, 22.9347, 22.93) * CHOOSE(CONTROL!$C$15, $D$11, 100%, $F$11)</f>
        <v>22.934699999999999</v>
      </c>
      <c r="I697" s="8">
        <f>CHOOSE( CONTROL!$C$32, 21.7324, 21.7277) * CHOOSE(CONTROL!$C$15, $D$11, 100%, $F$11)</f>
        <v>21.732399999999998</v>
      </c>
      <c r="J697" s="4">
        <f>CHOOSE( CONTROL!$C$32, 21.6148, 21.6102) * CHOOSE(CONTROL!$C$15, $D$11, 100%, $F$11)</f>
        <v>21.614799999999999</v>
      </c>
      <c r="K697" s="4"/>
      <c r="L697" s="9">
        <v>29.7257</v>
      </c>
      <c r="M697" s="9">
        <v>11.6745</v>
      </c>
      <c r="N697" s="9">
        <v>4.7850000000000001</v>
      </c>
      <c r="O697" s="9">
        <v>0.36199999999999999</v>
      </c>
      <c r="P697" s="9">
        <v>1.1791</v>
      </c>
      <c r="Q697" s="9">
        <v>19.053000000000001</v>
      </c>
      <c r="R697" s="9"/>
      <c r="S697" s="11"/>
    </row>
    <row r="698" spans="1:19" ht="15.75">
      <c r="A698" s="13">
        <v>62762</v>
      </c>
      <c r="B698" s="8">
        <f>23.5369 * CHOOSE(CONTROL!$C$15, $D$11, 100%, $F$11)</f>
        <v>23.536899999999999</v>
      </c>
      <c r="C698" s="8">
        <f>23.5423 * CHOOSE(CONTROL!$C$15, $D$11, 100%, $F$11)</f>
        <v>23.542300000000001</v>
      </c>
      <c r="D698" s="8">
        <f>23.5687 * CHOOSE( CONTROL!$C$15, $D$11, 100%, $F$11)</f>
        <v>23.5687</v>
      </c>
      <c r="E698" s="12">
        <f>23.5594 * CHOOSE( CONTROL!$C$15, $D$11, 100%, $F$11)</f>
        <v>23.5594</v>
      </c>
      <c r="F698" s="4">
        <f>24.2364 * CHOOSE(CONTROL!$C$15, $D$11, 100%, $F$11)</f>
        <v>24.2364</v>
      </c>
      <c r="G698" s="8">
        <f>22.9767 * CHOOSE( CONTROL!$C$15, $D$11, 100%, $F$11)</f>
        <v>22.976700000000001</v>
      </c>
      <c r="H698" s="4">
        <f>23.9066 * CHOOSE(CONTROL!$C$15, $D$11, 100%, $F$11)</f>
        <v>23.906600000000001</v>
      </c>
      <c r="I698" s="8">
        <f>22.689 * CHOOSE(CONTROL!$C$15, $D$11, 100%, $F$11)</f>
        <v>22.689</v>
      </c>
      <c r="J698" s="4">
        <f>22.5702 * CHOOSE(CONTROL!$C$15, $D$11, 100%, $F$11)</f>
        <v>22.5702</v>
      </c>
      <c r="K698" s="4"/>
      <c r="L698" s="9">
        <v>31.095300000000002</v>
      </c>
      <c r="M698" s="9">
        <v>12.063700000000001</v>
      </c>
      <c r="N698" s="9">
        <v>4.9444999999999997</v>
      </c>
      <c r="O698" s="9">
        <v>0.37409999999999999</v>
      </c>
      <c r="P698" s="9">
        <v>1.2183999999999999</v>
      </c>
      <c r="Q698" s="9">
        <v>19.688099999999999</v>
      </c>
      <c r="R698" s="9"/>
      <c r="S698" s="11"/>
    </row>
    <row r="699" spans="1:19" ht="15.75">
      <c r="A699" s="13">
        <v>62792</v>
      </c>
      <c r="B699" s="8">
        <f>25.3821 * CHOOSE(CONTROL!$C$15, $D$11, 100%, $F$11)</f>
        <v>25.382100000000001</v>
      </c>
      <c r="C699" s="8">
        <f>25.3873 * CHOOSE(CONTROL!$C$15, $D$11, 100%, $F$11)</f>
        <v>25.3873</v>
      </c>
      <c r="D699" s="8">
        <f>25.3765 * CHOOSE( CONTROL!$C$15, $D$11, 100%, $F$11)</f>
        <v>25.3765</v>
      </c>
      <c r="E699" s="12">
        <f>25.3799 * CHOOSE( CONTROL!$C$15, $D$11, 100%, $F$11)</f>
        <v>25.379899999999999</v>
      </c>
      <c r="F699" s="4">
        <f>26.031 * CHOOSE(CONTROL!$C$15, $D$11, 100%, $F$11)</f>
        <v>26.030999999999999</v>
      </c>
      <c r="G699" s="8">
        <f>24.7838 * CHOOSE( CONTROL!$C$15, $D$11, 100%, $F$11)</f>
        <v>24.783799999999999</v>
      </c>
      <c r="H699" s="4">
        <f>25.6593 * CHOOSE(CONTROL!$C$15, $D$11, 100%, $F$11)</f>
        <v>25.659300000000002</v>
      </c>
      <c r="I699" s="8">
        <f>24.4874 * CHOOSE(CONTROL!$C$15, $D$11, 100%, $F$11)</f>
        <v>24.487400000000001</v>
      </c>
      <c r="J699" s="4">
        <f>24.3422 * CHOOSE(CONTROL!$C$15, $D$11, 100%, $F$11)</f>
        <v>24.342199999999998</v>
      </c>
      <c r="K699" s="4"/>
      <c r="L699" s="9">
        <v>28.360600000000002</v>
      </c>
      <c r="M699" s="9">
        <v>11.6745</v>
      </c>
      <c r="N699" s="9">
        <v>4.7850000000000001</v>
      </c>
      <c r="O699" s="9">
        <v>0.36199999999999999</v>
      </c>
      <c r="P699" s="9">
        <v>1.2509999999999999</v>
      </c>
      <c r="Q699" s="9">
        <v>19.053000000000001</v>
      </c>
      <c r="R699" s="9"/>
      <c r="S699" s="11"/>
    </row>
    <row r="700" spans="1:19" ht="15.75">
      <c r="A700" s="13">
        <v>62823</v>
      </c>
      <c r="B700" s="8">
        <f>25.336 * CHOOSE(CONTROL!$C$15, $D$11, 100%, $F$11)</f>
        <v>25.335999999999999</v>
      </c>
      <c r="C700" s="8">
        <f>25.3412 * CHOOSE(CONTROL!$C$15, $D$11, 100%, $F$11)</f>
        <v>25.341200000000001</v>
      </c>
      <c r="D700" s="8">
        <f>25.3318 * CHOOSE( CONTROL!$C$15, $D$11, 100%, $F$11)</f>
        <v>25.331800000000001</v>
      </c>
      <c r="E700" s="12">
        <f>25.3347 * CHOOSE( CONTROL!$C$15, $D$11, 100%, $F$11)</f>
        <v>25.334700000000002</v>
      </c>
      <c r="F700" s="4">
        <f>25.9849 * CHOOSE(CONTROL!$C$15, $D$11, 100%, $F$11)</f>
        <v>25.9849</v>
      </c>
      <c r="G700" s="8">
        <f>24.7398 * CHOOSE( CONTROL!$C$15, $D$11, 100%, $F$11)</f>
        <v>24.739799999999999</v>
      </c>
      <c r="H700" s="4">
        <f>25.6143 * CHOOSE(CONTROL!$C$15, $D$11, 100%, $F$11)</f>
        <v>25.6143</v>
      </c>
      <c r="I700" s="8">
        <f>24.4474 * CHOOSE(CONTROL!$C$15, $D$11, 100%, $F$11)</f>
        <v>24.447399999999998</v>
      </c>
      <c r="J700" s="4">
        <f>24.2979 * CHOOSE(CONTROL!$C$15, $D$11, 100%, $F$11)</f>
        <v>24.297899999999998</v>
      </c>
      <c r="K700" s="4"/>
      <c r="L700" s="9">
        <v>29.306000000000001</v>
      </c>
      <c r="M700" s="9">
        <v>12.063700000000001</v>
      </c>
      <c r="N700" s="9">
        <v>4.9444999999999997</v>
      </c>
      <c r="O700" s="9">
        <v>0.37409999999999999</v>
      </c>
      <c r="P700" s="9">
        <v>1.2927</v>
      </c>
      <c r="Q700" s="9">
        <v>19.688099999999999</v>
      </c>
      <c r="R700" s="9"/>
      <c r="S700" s="11"/>
    </row>
    <row r="701" spans="1:19" ht="15.75">
      <c r="A701" s="13">
        <v>62854</v>
      </c>
      <c r="B701" s="8">
        <f>26.3032 * CHOOSE(CONTROL!$C$15, $D$11, 100%, $F$11)</f>
        <v>26.3032</v>
      </c>
      <c r="C701" s="8">
        <f>26.3084 * CHOOSE(CONTROL!$C$15, $D$11, 100%, $F$11)</f>
        <v>26.308399999999999</v>
      </c>
      <c r="D701" s="8">
        <f>26.2949 * CHOOSE( CONTROL!$C$15, $D$11, 100%, $F$11)</f>
        <v>26.294899999999998</v>
      </c>
      <c r="E701" s="12">
        <f>26.2993 * CHOOSE( CONTROL!$C$15, $D$11, 100%, $F$11)</f>
        <v>26.299299999999999</v>
      </c>
      <c r="F701" s="4">
        <f>26.9521 * CHOOSE(CONTROL!$C$15, $D$11, 100%, $F$11)</f>
        <v>26.952100000000002</v>
      </c>
      <c r="G701" s="8">
        <f>25.6782 * CHOOSE( CONTROL!$C$15, $D$11, 100%, $F$11)</f>
        <v>25.6782</v>
      </c>
      <c r="H701" s="4">
        <f>26.559 * CHOOSE(CONTROL!$C$15, $D$11, 100%, $F$11)</f>
        <v>26.559000000000001</v>
      </c>
      <c r="I701" s="8">
        <f>25.3528 * CHOOSE(CONTROL!$C$15, $D$11, 100%, $F$11)</f>
        <v>25.352799999999998</v>
      </c>
      <c r="J701" s="4">
        <f>25.2265 * CHOOSE(CONTROL!$C$15, $D$11, 100%, $F$11)</f>
        <v>25.226500000000001</v>
      </c>
      <c r="K701" s="4"/>
      <c r="L701" s="9">
        <v>29.306000000000001</v>
      </c>
      <c r="M701" s="9">
        <v>12.063700000000001</v>
      </c>
      <c r="N701" s="9">
        <v>4.9444999999999997</v>
      </c>
      <c r="O701" s="9">
        <v>0.37409999999999999</v>
      </c>
      <c r="P701" s="9">
        <v>1.2927</v>
      </c>
      <c r="Q701" s="9">
        <v>19.688099999999999</v>
      </c>
      <c r="R701" s="9"/>
      <c r="S701" s="11"/>
    </row>
    <row r="702" spans="1:19" ht="15.75">
      <c r="A702" s="13">
        <v>62883</v>
      </c>
      <c r="B702" s="8">
        <f>24.6046 * CHOOSE(CONTROL!$C$15, $D$11, 100%, $F$11)</f>
        <v>24.604600000000001</v>
      </c>
      <c r="C702" s="8">
        <f>24.6098 * CHOOSE(CONTROL!$C$15, $D$11, 100%, $F$11)</f>
        <v>24.6098</v>
      </c>
      <c r="D702" s="8">
        <f>24.5962 * CHOOSE( CONTROL!$C$15, $D$11, 100%, $F$11)</f>
        <v>24.5962</v>
      </c>
      <c r="E702" s="12">
        <f>24.6006 * CHOOSE( CONTROL!$C$15, $D$11, 100%, $F$11)</f>
        <v>24.6006</v>
      </c>
      <c r="F702" s="4">
        <f>25.2535 * CHOOSE(CONTROL!$C$15, $D$11, 100%, $F$11)</f>
        <v>25.253499999999999</v>
      </c>
      <c r="G702" s="8">
        <f>24.0192 * CHOOSE( CONTROL!$C$15, $D$11, 100%, $F$11)</f>
        <v>24.019200000000001</v>
      </c>
      <c r="H702" s="4">
        <f>24.8999 * CHOOSE(CONTROL!$C$15, $D$11, 100%, $F$11)</f>
        <v>24.899899999999999</v>
      </c>
      <c r="I702" s="8">
        <f>23.7212 * CHOOSE(CONTROL!$C$15, $D$11, 100%, $F$11)</f>
        <v>23.7212</v>
      </c>
      <c r="J702" s="4">
        <f>23.5957 * CHOOSE(CONTROL!$C$15, $D$11, 100%, $F$11)</f>
        <v>23.595700000000001</v>
      </c>
      <c r="K702" s="4"/>
      <c r="L702" s="9">
        <v>27.415299999999998</v>
      </c>
      <c r="M702" s="9">
        <v>11.285299999999999</v>
      </c>
      <c r="N702" s="9">
        <v>4.6254999999999997</v>
      </c>
      <c r="O702" s="9">
        <v>0.34989999999999999</v>
      </c>
      <c r="P702" s="9">
        <v>1.2093</v>
      </c>
      <c r="Q702" s="9">
        <v>18.417899999999999</v>
      </c>
      <c r="R702" s="9"/>
      <c r="S702" s="11"/>
    </row>
    <row r="703" spans="1:19" ht="15.75">
      <c r="A703" s="13">
        <v>62914</v>
      </c>
      <c r="B703" s="8">
        <f>24.0814 * CHOOSE(CONTROL!$C$15, $D$11, 100%, $F$11)</f>
        <v>24.081399999999999</v>
      </c>
      <c r="C703" s="8">
        <f>24.0866 * CHOOSE(CONTROL!$C$15, $D$11, 100%, $F$11)</f>
        <v>24.086600000000001</v>
      </c>
      <c r="D703" s="8">
        <f>24.0728 * CHOOSE( CONTROL!$C$15, $D$11, 100%, $F$11)</f>
        <v>24.072800000000001</v>
      </c>
      <c r="E703" s="12">
        <f>24.0773 * CHOOSE( CONTROL!$C$15, $D$11, 100%, $F$11)</f>
        <v>24.077300000000001</v>
      </c>
      <c r="F703" s="4">
        <f>24.7303 * CHOOSE(CONTROL!$C$15, $D$11, 100%, $F$11)</f>
        <v>24.7303</v>
      </c>
      <c r="G703" s="8">
        <f>23.5079 * CHOOSE( CONTROL!$C$15, $D$11, 100%, $F$11)</f>
        <v>23.507899999999999</v>
      </c>
      <c r="H703" s="4">
        <f>24.389 * CHOOSE(CONTROL!$C$15, $D$11, 100%, $F$11)</f>
        <v>24.388999999999999</v>
      </c>
      <c r="I703" s="8">
        <f>23.2176 * CHOOSE(CONTROL!$C$15, $D$11, 100%, $F$11)</f>
        <v>23.217600000000001</v>
      </c>
      <c r="J703" s="4">
        <f>23.0934 * CHOOSE(CONTROL!$C$15, $D$11, 100%, $F$11)</f>
        <v>23.093399999999999</v>
      </c>
      <c r="K703" s="4"/>
      <c r="L703" s="9">
        <v>29.306000000000001</v>
      </c>
      <c r="M703" s="9">
        <v>12.063700000000001</v>
      </c>
      <c r="N703" s="9">
        <v>4.9444999999999997</v>
      </c>
      <c r="O703" s="9">
        <v>0.37409999999999999</v>
      </c>
      <c r="P703" s="9">
        <v>1.2927</v>
      </c>
      <c r="Q703" s="9">
        <v>19.688099999999999</v>
      </c>
      <c r="R703" s="9"/>
      <c r="S703" s="11"/>
    </row>
    <row r="704" spans="1:19" ht="15.75">
      <c r="A704" s="13">
        <v>62944</v>
      </c>
      <c r="B704" s="8">
        <f>24.4478 * CHOOSE(CONTROL!$C$15, $D$11, 100%, $F$11)</f>
        <v>24.447800000000001</v>
      </c>
      <c r="C704" s="8">
        <f>24.4524 * CHOOSE(CONTROL!$C$15, $D$11, 100%, $F$11)</f>
        <v>24.452400000000001</v>
      </c>
      <c r="D704" s="8">
        <f>24.4787 * CHOOSE( CONTROL!$C$15, $D$11, 100%, $F$11)</f>
        <v>24.4787</v>
      </c>
      <c r="E704" s="12">
        <f>24.4695 * CHOOSE( CONTROL!$C$15, $D$11, 100%, $F$11)</f>
        <v>24.4695</v>
      </c>
      <c r="F704" s="4">
        <f>25.1469 * CHOOSE(CONTROL!$C$15, $D$11, 100%, $F$11)</f>
        <v>25.146899999999999</v>
      </c>
      <c r="G704" s="8">
        <f>23.865 * CHOOSE( CONTROL!$C$15, $D$11, 100%, $F$11)</f>
        <v>23.864999999999998</v>
      </c>
      <c r="H704" s="4">
        <f>24.7959 * CHOOSE(CONTROL!$C$15, $D$11, 100%, $F$11)</f>
        <v>24.7959</v>
      </c>
      <c r="I704" s="8">
        <f>23.5606 * CHOOSE(CONTROL!$C$15, $D$11, 100%, $F$11)</f>
        <v>23.560600000000001</v>
      </c>
      <c r="J704" s="4">
        <f>23.4444 * CHOOSE(CONTROL!$C$15, $D$11, 100%, $F$11)</f>
        <v>23.444400000000002</v>
      </c>
      <c r="K704" s="4"/>
      <c r="L704" s="9">
        <v>30.092199999999998</v>
      </c>
      <c r="M704" s="9">
        <v>11.6745</v>
      </c>
      <c r="N704" s="9">
        <v>4.7850000000000001</v>
      </c>
      <c r="O704" s="9">
        <v>0.36199999999999999</v>
      </c>
      <c r="P704" s="9">
        <v>1.1791</v>
      </c>
      <c r="Q704" s="9">
        <v>19.053000000000001</v>
      </c>
      <c r="R704" s="9"/>
      <c r="S704" s="11"/>
    </row>
    <row r="705" spans="1:19" ht="15.75">
      <c r="A705" s="13">
        <v>62975</v>
      </c>
      <c r="B705" s="8">
        <f>CHOOSE( CONTROL!$C$32, 25.1046, 25.0998) * CHOOSE(CONTROL!$C$15, $D$11, 100%, $F$11)</f>
        <v>25.104600000000001</v>
      </c>
      <c r="C705" s="8">
        <f>CHOOSE( CONTROL!$C$32, 25.1127, 25.1079) * CHOOSE(CONTROL!$C$15, $D$11, 100%, $F$11)</f>
        <v>25.1127</v>
      </c>
      <c r="D705" s="8">
        <f>CHOOSE( CONTROL!$C$32, 25.134, 25.1292) * CHOOSE( CONTROL!$C$15, $D$11, 100%, $F$11)</f>
        <v>25.134</v>
      </c>
      <c r="E705" s="12">
        <f>CHOOSE( CONTROL!$C$32, 25.125, 25.1202) * CHOOSE( CONTROL!$C$15, $D$11, 100%, $F$11)</f>
        <v>25.125</v>
      </c>
      <c r="F705" s="4">
        <f>CHOOSE( CONTROL!$C$32, 25.8024, 25.7976) * CHOOSE(CONTROL!$C$15, $D$11, 100%, $F$11)</f>
        <v>25.802399999999999</v>
      </c>
      <c r="G705" s="8">
        <f>CHOOSE( CONTROL!$C$32, 24.5062, 24.5015) * CHOOSE( CONTROL!$C$15, $D$11, 100%, $F$11)</f>
        <v>24.5062</v>
      </c>
      <c r="H705" s="4">
        <f>CHOOSE( CONTROL!$C$32, 25.4361, 25.4314) * CHOOSE(CONTROL!$C$15, $D$11, 100%, $F$11)</f>
        <v>25.4361</v>
      </c>
      <c r="I705" s="8">
        <f>CHOOSE( CONTROL!$C$32, 24.1902, 24.1856) * CHOOSE(CONTROL!$C$15, $D$11, 100%, $F$11)</f>
        <v>24.190200000000001</v>
      </c>
      <c r="J705" s="4">
        <f>CHOOSE( CONTROL!$C$32, 24.0737, 24.0691) * CHOOSE(CONTROL!$C$15, $D$11, 100%, $F$11)</f>
        <v>24.073699999999999</v>
      </c>
      <c r="K705" s="4"/>
      <c r="L705" s="9">
        <v>30.7165</v>
      </c>
      <c r="M705" s="9">
        <v>12.063700000000001</v>
      </c>
      <c r="N705" s="9">
        <v>4.9444999999999997</v>
      </c>
      <c r="O705" s="9">
        <v>0.37409999999999999</v>
      </c>
      <c r="P705" s="9">
        <v>1.2183999999999999</v>
      </c>
      <c r="Q705" s="9">
        <v>19.688099999999999</v>
      </c>
      <c r="R705" s="9"/>
      <c r="S705" s="11"/>
    </row>
    <row r="706" spans="1:19" ht="15.75">
      <c r="A706" s="13">
        <v>63005</v>
      </c>
      <c r="B706" s="8">
        <f>CHOOSE( CONTROL!$C$32, 24.7015, 24.6967) * CHOOSE(CONTROL!$C$15, $D$11, 100%, $F$11)</f>
        <v>24.701499999999999</v>
      </c>
      <c r="C706" s="8">
        <f>CHOOSE( CONTROL!$C$32, 24.7096, 24.7048) * CHOOSE(CONTROL!$C$15, $D$11, 100%, $F$11)</f>
        <v>24.709599999999998</v>
      </c>
      <c r="D706" s="8">
        <f>CHOOSE( CONTROL!$C$32, 24.7311, 24.7263) * CHOOSE( CONTROL!$C$15, $D$11, 100%, $F$11)</f>
        <v>24.731100000000001</v>
      </c>
      <c r="E706" s="12">
        <f>CHOOSE( CONTROL!$C$32, 24.7221, 24.7173) * CHOOSE( CONTROL!$C$15, $D$11, 100%, $F$11)</f>
        <v>24.722100000000001</v>
      </c>
      <c r="F706" s="4">
        <f>CHOOSE( CONTROL!$C$32, 25.3994, 25.3945) * CHOOSE(CONTROL!$C$15, $D$11, 100%, $F$11)</f>
        <v>25.3994</v>
      </c>
      <c r="G706" s="8">
        <f>CHOOSE( CONTROL!$C$32, 24.1129, 24.1081) * CHOOSE( CONTROL!$C$15, $D$11, 100%, $F$11)</f>
        <v>24.1129</v>
      </c>
      <c r="H706" s="4">
        <f>CHOOSE( CONTROL!$C$32, 25.0424, 25.0377) * CHOOSE(CONTROL!$C$15, $D$11, 100%, $F$11)</f>
        <v>25.042400000000001</v>
      </c>
      <c r="I706" s="8">
        <f>CHOOSE( CONTROL!$C$32, 23.804, 23.7994) * CHOOSE(CONTROL!$C$15, $D$11, 100%, $F$11)</f>
        <v>23.803999999999998</v>
      </c>
      <c r="J706" s="4">
        <f>CHOOSE( CONTROL!$C$32, 23.6867, 23.6821) * CHOOSE(CONTROL!$C$15, $D$11, 100%, $F$11)</f>
        <v>23.686699999999998</v>
      </c>
      <c r="K706" s="4"/>
      <c r="L706" s="9">
        <v>29.7257</v>
      </c>
      <c r="M706" s="9">
        <v>11.6745</v>
      </c>
      <c r="N706" s="9">
        <v>4.7850000000000001</v>
      </c>
      <c r="O706" s="9">
        <v>0.36199999999999999</v>
      </c>
      <c r="P706" s="9">
        <v>1.1791</v>
      </c>
      <c r="Q706" s="9">
        <v>19.053000000000001</v>
      </c>
      <c r="R706" s="9"/>
      <c r="S706" s="11"/>
    </row>
    <row r="707" spans="1:19" ht="15.75">
      <c r="A707" s="13">
        <v>63036</v>
      </c>
      <c r="B707" s="8">
        <f>CHOOSE( CONTROL!$C$32, 25.7629, 25.7581) * CHOOSE(CONTROL!$C$15, $D$11, 100%, $F$11)</f>
        <v>25.762899999999998</v>
      </c>
      <c r="C707" s="8">
        <f>CHOOSE( CONTROL!$C$32, 25.771, 25.7662) * CHOOSE(CONTROL!$C$15, $D$11, 100%, $F$11)</f>
        <v>25.771000000000001</v>
      </c>
      <c r="D707" s="8">
        <f>CHOOSE( CONTROL!$C$32, 25.7928, 25.7879) * CHOOSE( CONTROL!$C$15, $D$11, 100%, $F$11)</f>
        <v>25.7928</v>
      </c>
      <c r="E707" s="12">
        <f>CHOOSE( CONTROL!$C$32, 25.7837, 25.7788) * CHOOSE( CONTROL!$C$15, $D$11, 100%, $F$11)</f>
        <v>25.7837</v>
      </c>
      <c r="F707" s="4">
        <f>CHOOSE( CONTROL!$C$32, 26.4608, 26.4559) * CHOOSE(CONTROL!$C$15, $D$11, 100%, $F$11)</f>
        <v>26.460799999999999</v>
      </c>
      <c r="G707" s="8">
        <f>CHOOSE( CONTROL!$C$32, 25.1499, 25.1452) * CHOOSE( CONTROL!$C$15, $D$11, 100%, $F$11)</f>
        <v>25.149899999999999</v>
      </c>
      <c r="H707" s="4">
        <f>CHOOSE( CONTROL!$C$32, 26.0791, 26.0744) * CHOOSE(CONTROL!$C$15, $D$11, 100%, $F$11)</f>
        <v>26.0791</v>
      </c>
      <c r="I707" s="8">
        <f>CHOOSE( CONTROL!$C$32, 24.8247, 24.82) * CHOOSE(CONTROL!$C$15, $D$11, 100%, $F$11)</f>
        <v>24.8247</v>
      </c>
      <c r="J707" s="4">
        <f>CHOOSE( CONTROL!$C$32, 24.7058, 24.7011) * CHOOSE(CONTROL!$C$15, $D$11, 100%, $F$11)</f>
        <v>24.7058</v>
      </c>
      <c r="K707" s="4"/>
      <c r="L707" s="9">
        <v>30.7165</v>
      </c>
      <c r="M707" s="9">
        <v>12.063700000000001</v>
      </c>
      <c r="N707" s="9">
        <v>4.9444999999999997</v>
      </c>
      <c r="O707" s="9">
        <v>0.37409999999999999</v>
      </c>
      <c r="P707" s="9">
        <v>1.2183999999999999</v>
      </c>
      <c r="Q707" s="9">
        <v>19.688099999999999</v>
      </c>
      <c r="R707" s="9"/>
      <c r="S707" s="11"/>
    </row>
    <row r="708" spans="1:19" ht="15.75">
      <c r="A708" s="13">
        <v>63067</v>
      </c>
      <c r="B708" s="8">
        <f>CHOOSE( CONTROL!$C$32, 23.777, 23.7721) * CHOOSE(CONTROL!$C$15, $D$11, 100%, $F$11)</f>
        <v>23.777000000000001</v>
      </c>
      <c r="C708" s="8">
        <f>CHOOSE( CONTROL!$C$32, 23.785, 23.7802) * CHOOSE(CONTROL!$C$15, $D$11, 100%, $F$11)</f>
        <v>23.785</v>
      </c>
      <c r="D708" s="8">
        <f>CHOOSE( CONTROL!$C$32, 23.8068, 23.802) * CHOOSE( CONTROL!$C$15, $D$11, 100%, $F$11)</f>
        <v>23.806799999999999</v>
      </c>
      <c r="E708" s="12">
        <f>CHOOSE( CONTROL!$C$32, 23.7977, 23.7929) * CHOOSE( CONTROL!$C$15, $D$11, 100%, $F$11)</f>
        <v>23.797699999999999</v>
      </c>
      <c r="F708" s="4">
        <f>CHOOSE( CONTROL!$C$32, 24.4748, 24.4699) * CHOOSE(CONTROL!$C$15, $D$11, 100%, $F$11)</f>
        <v>24.474799999999998</v>
      </c>
      <c r="G708" s="8">
        <f>CHOOSE( CONTROL!$C$32, 23.2102, 23.2055) * CHOOSE( CONTROL!$C$15, $D$11, 100%, $F$11)</f>
        <v>23.2102</v>
      </c>
      <c r="H708" s="4">
        <f>CHOOSE( CONTROL!$C$32, 24.1394, 24.1346) * CHOOSE(CONTROL!$C$15, $D$11, 100%, $F$11)</f>
        <v>24.139399999999998</v>
      </c>
      <c r="I708" s="8">
        <f>CHOOSE( CONTROL!$C$32, 22.9173, 22.9126) * CHOOSE(CONTROL!$C$15, $D$11, 100%, $F$11)</f>
        <v>22.917300000000001</v>
      </c>
      <c r="J708" s="4">
        <f>CHOOSE( CONTROL!$C$32, 22.799, 22.7944) * CHOOSE(CONTROL!$C$15, $D$11, 100%, $F$11)</f>
        <v>22.798999999999999</v>
      </c>
      <c r="K708" s="4"/>
      <c r="L708" s="9">
        <v>30.7165</v>
      </c>
      <c r="M708" s="9">
        <v>12.063700000000001</v>
      </c>
      <c r="N708" s="9">
        <v>4.9444999999999997</v>
      </c>
      <c r="O708" s="9">
        <v>0.37409999999999999</v>
      </c>
      <c r="P708" s="9">
        <v>1.2183999999999999</v>
      </c>
      <c r="Q708" s="9">
        <v>19.688099999999999</v>
      </c>
      <c r="R708" s="9"/>
      <c r="S708" s="11"/>
    </row>
    <row r="709" spans="1:19" ht="15.75">
      <c r="A709" s="13">
        <v>63097</v>
      </c>
      <c r="B709" s="8">
        <f>CHOOSE( CONTROL!$C$32, 23.2796, 23.2748) * CHOOSE(CONTROL!$C$15, $D$11, 100%, $F$11)</f>
        <v>23.279599999999999</v>
      </c>
      <c r="C709" s="8">
        <f>CHOOSE( CONTROL!$C$32, 23.2877, 23.2829) * CHOOSE(CONTROL!$C$15, $D$11, 100%, $F$11)</f>
        <v>23.287700000000001</v>
      </c>
      <c r="D709" s="8">
        <f>CHOOSE( CONTROL!$C$32, 23.3095, 23.3047) * CHOOSE( CONTROL!$C$15, $D$11, 100%, $F$11)</f>
        <v>23.3095</v>
      </c>
      <c r="E709" s="12">
        <f>CHOOSE( CONTROL!$C$32, 23.3004, 23.2956) * CHOOSE( CONTROL!$C$15, $D$11, 100%, $F$11)</f>
        <v>23.3004</v>
      </c>
      <c r="F709" s="4">
        <f>CHOOSE( CONTROL!$C$32, 23.9775, 23.9726) * CHOOSE(CONTROL!$C$15, $D$11, 100%, $F$11)</f>
        <v>23.977499999999999</v>
      </c>
      <c r="G709" s="8">
        <f>CHOOSE( CONTROL!$C$32, 22.7245, 22.7198) * CHOOSE( CONTROL!$C$15, $D$11, 100%, $F$11)</f>
        <v>22.724499999999999</v>
      </c>
      <c r="H709" s="4">
        <f>CHOOSE( CONTROL!$C$32, 23.6536, 23.6489) * CHOOSE(CONTROL!$C$15, $D$11, 100%, $F$11)</f>
        <v>23.653600000000001</v>
      </c>
      <c r="I709" s="8">
        <f>CHOOSE( CONTROL!$C$32, 22.4395, 22.4348) * CHOOSE(CONTROL!$C$15, $D$11, 100%, $F$11)</f>
        <v>22.439499999999999</v>
      </c>
      <c r="J709" s="4">
        <f>CHOOSE( CONTROL!$C$32, 22.3216, 22.3169) * CHOOSE(CONTROL!$C$15, $D$11, 100%, $F$11)</f>
        <v>22.3216</v>
      </c>
      <c r="K709" s="4"/>
      <c r="L709" s="9">
        <v>29.7257</v>
      </c>
      <c r="M709" s="9">
        <v>11.6745</v>
      </c>
      <c r="N709" s="9">
        <v>4.7850000000000001</v>
      </c>
      <c r="O709" s="9">
        <v>0.36199999999999999</v>
      </c>
      <c r="P709" s="9">
        <v>1.1791</v>
      </c>
      <c r="Q709" s="9">
        <v>19.053000000000001</v>
      </c>
      <c r="R709" s="9"/>
      <c r="S709" s="11"/>
    </row>
    <row r="710" spans="1:19" ht="15.75">
      <c r="A710" s="13">
        <v>63128</v>
      </c>
      <c r="B710" s="8">
        <f>24.3057 * CHOOSE(CONTROL!$C$15, $D$11, 100%, $F$11)</f>
        <v>24.305700000000002</v>
      </c>
      <c r="C710" s="8">
        <f>24.3111 * CHOOSE(CONTROL!$C$15, $D$11, 100%, $F$11)</f>
        <v>24.3111</v>
      </c>
      <c r="D710" s="8">
        <f>24.3376 * CHOOSE( CONTROL!$C$15, $D$11, 100%, $F$11)</f>
        <v>24.337599999999998</v>
      </c>
      <c r="E710" s="12">
        <f>24.3283 * CHOOSE( CONTROL!$C$15, $D$11, 100%, $F$11)</f>
        <v>24.328299999999999</v>
      </c>
      <c r="F710" s="4">
        <f>25.0052 * CHOOSE(CONTROL!$C$15, $D$11, 100%, $F$11)</f>
        <v>25.005199999999999</v>
      </c>
      <c r="G710" s="8">
        <f>23.7276 * CHOOSE( CONTROL!$C$15, $D$11, 100%, $F$11)</f>
        <v>23.727599999999999</v>
      </c>
      <c r="H710" s="4">
        <f>24.6575 * CHOOSE(CONTROL!$C$15, $D$11, 100%, $F$11)</f>
        <v>24.657499999999999</v>
      </c>
      <c r="I710" s="8">
        <f>23.4275 * CHOOSE(CONTROL!$C$15, $D$11, 100%, $F$11)</f>
        <v>23.427499999999998</v>
      </c>
      <c r="J710" s="4">
        <f>23.3083 * CHOOSE(CONTROL!$C$15, $D$11, 100%, $F$11)</f>
        <v>23.308299999999999</v>
      </c>
      <c r="K710" s="4"/>
      <c r="L710" s="9">
        <v>31.095300000000002</v>
      </c>
      <c r="M710" s="9">
        <v>12.063700000000001</v>
      </c>
      <c r="N710" s="9">
        <v>4.9444999999999997</v>
      </c>
      <c r="O710" s="9">
        <v>0.37409999999999999</v>
      </c>
      <c r="P710" s="9">
        <v>1.2183999999999999</v>
      </c>
      <c r="Q710" s="9">
        <v>19.688099999999999</v>
      </c>
      <c r="R710" s="9"/>
      <c r="S710" s="11"/>
    </row>
    <row r="711" spans="1:19" ht="15.75">
      <c r="A711" s="13">
        <v>63158</v>
      </c>
      <c r="B711" s="8">
        <f>26.2112 * CHOOSE(CONTROL!$C$15, $D$11, 100%, $F$11)</f>
        <v>26.211200000000002</v>
      </c>
      <c r="C711" s="8">
        <f>26.2164 * CHOOSE(CONTROL!$C$15, $D$11, 100%, $F$11)</f>
        <v>26.2164</v>
      </c>
      <c r="D711" s="8">
        <f>26.2057 * CHOOSE( CONTROL!$C$15, $D$11, 100%, $F$11)</f>
        <v>26.2057</v>
      </c>
      <c r="E711" s="12">
        <f>26.2091 * CHOOSE( CONTROL!$C$15, $D$11, 100%, $F$11)</f>
        <v>26.209099999999999</v>
      </c>
      <c r="F711" s="4">
        <f>26.8601 * CHOOSE(CONTROL!$C$15, $D$11, 100%, $F$11)</f>
        <v>26.860099999999999</v>
      </c>
      <c r="G711" s="8">
        <f>25.5937 * CHOOSE( CONTROL!$C$15, $D$11, 100%, $F$11)</f>
        <v>25.593699999999998</v>
      </c>
      <c r="H711" s="4">
        <f>26.4692 * CHOOSE(CONTROL!$C$15, $D$11, 100%, $F$11)</f>
        <v>26.469200000000001</v>
      </c>
      <c r="I711" s="8">
        <f>25.2839 * CHOOSE(CONTROL!$C$15, $D$11, 100%, $F$11)</f>
        <v>25.283899999999999</v>
      </c>
      <c r="J711" s="4">
        <f>25.1382 * CHOOSE(CONTROL!$C$15, $D$11, 100%, $F$11)</f>
        <v>25.138200000000001</v>
      </c>
      <c r="K711" s="4"/>
      <c r="L711" s="9">
        <v>28.360600000000002</v>
      </c>
      <c r="M711" s="9">
        <v>11.6745</v>
      </c>
      <c r="N711" s="9">
        <v>4.7850000000000001</v>
      </c>
      <c r="O711" s="9">
        <v>0.36199999999999999</v>
      </c>
      <c r="P711" s="9">
        <v>1.2509999999999999</v>
      </c>
      <c r="Q711" s="9">
        <v>19.053000000000001</v>
      </c>
      <c r="R711" s="9"/>
      <c r="S711" s="11"/>
    </row>
    <row r="712" spans="1:19" ht="15.75">
      <c r="A712" s="13">
        <v>63189</v>
      </c>
      <c r="B712" s="8">
        <f>26.1636 * CHOOSE(CONTROL!$C$15, $D$11, 100%, $F$11)</f>
        <v>26.163599999999999</v>
      </c>
      <c r="C712" s="8">
        <f>26.1688 * CHOOSE(CONTROL!$C$15, $D$11, 100%, $F$11)</f>
        <v>26.168800000000001</v>
      </c>
      <c r="D712" s="8">
        <f>26.1594 * CHOOSE( CONTROL!$C$15, $D$11, 100%, $F$11)</f>
        <v>26.159400000000002</v>
      </c>
      <c r="E712" s="12">
        <f>26.1623 * CHOOSE( CONTROL!$C$15, $D$11, 100%, $F$11)</f>
        <v>26.162299999999998</v>
      </c>
      <c r="F712" s="4">
        <f>26.8125 * CHOOSE(CONTROL!$C$15, $D$11, 100%, $F$11)</f>
        <v>26.8125</v>
      </c>
      <c r="G712" s="8">
        <f>25.5482 * CHOOSE( CONTROL!$C$15, $D$11, 100%, $F$11)</f>
        <v>25.548200000000001</v>
      </c>
      <c r="H712" s="4">
        <f>26.4227 * CHOOSE(CONTROL!$C$15, $D$11, 100%, $F$11)</f>
        <v>26.422699999999999</v>
      </c>
      <c r="I712" s="8">
        <f>25.2425 * CHOOSE(CONTROL!$C$15, $D$11, 100%, $F$11)</f>
        <v>25.2425</v>
      </c>
      <c r="J712" s="4">
        <f>25.0925 * CHOOSE(CONTROL!$C$15, $D$11, 100%, $F$11)</f>
        <v>25.092500000000001</v>
      </c>
      <c r="K712" s="4"/>
      <c r="L712" s="9">
        <v>29.306000000000001</v>
      </c>
      <c r="M712" s="9">
        <v>12.063700000000001</v>
      </c>
      <c r="N712" s="9">
        <v>4.9444999999999997</v>
      </c>
      <c r="O712" s="9">
        <v>0.37409999999999999</v>
      </c>
      <c r="P712" s="9">
        <v>1.2927</v>
      </c>
      <c r="Q712" s="9">
        <v>19.688099999999999</v>
      </c>
      <c r="R712" s="9"/>
      <c r="S712" s="11"/>
    </row>
    <row r="713" spans="1:19" ht="15.75">
      <c r="A713" s="13">
        <v>63220</v>
      </c>
      <c r="B713" s="8">
        <f>27.1625 * CHOOSE(CONTROL!$C$15, $D$11, 100%, $F$11)</f>
        <v>27.162500000000001</v>
      </c>
      <c r="C713" s="8">
        <f>27.1677 * CHOOSE(CONTROL!$C$15, $D$11, 100%, $F$11)</f>
        <v>27.1677</v>
      </c>
      <c r="D713" s="8">
        <f>27.1542 * CHOOSE( CONTROL!$C$15, $D$11, 100%, $F$11)</f>
        <v>27.154199999999999</v>
      </c>
      <c r="E713" s="12">
        <f>27.1586 * CHOOSE( CONTROL!$C$15, $D$11, 100%, $F$11)</f>
        <v>27.1586</v>
      </c>
      <c r="F713" s="4">
        <f>27.8114 * CHOOSE(CONTROL!$C$15, $D$11, 100%, $F$11)</f>
        <v>27.811399999999999</v>
      </c>
      <c r="G713" s="8">
        <f>26.5175 * CHOOSE( CONTROL!$C$15, $D$11, 100%, $F$11)</f>
        <v>26.517499999999998</v>
      </c>
      <c r="H713" s="4">
        <f>27.3983 * CHOOSE(CONTROL!$C$15, $D$11, 100%, $F$11)</f>
        <v>27.398299999999999</v>
      </c>
      <c r="I713" s="8">
        <f>26.1783 * CHOOSE(CONTROL!$C$15, $D$11, 100%, $F$11)</f>
        <v>26.1783</v>
      </c>
      <c r="J713" s="4">
        <f>26.0515 * CHOOSE(CONTROL!$C$15, $D$11, 100%, $F$11)</f>
        <v>26.051500000000001</v>
      </c>
      <c r="K713" s="4"/>
      <c r="L713" s="9">
        <v>29.306000000000001</v>
      </c>
      <c r="M713" s="9">
        <v>12.063700000000001</v>
      </c>
      <c r="N713" s="9">
        <v>4.9444999999999997</v>
      </c>
      <c r="O713" s="9">
        <v>0.37409999999999999</v>
      </c>
      <c r="P713" s="9">
        <v>1.2927</v>
      </c>
      <c r="Q713" s="9">
        <v>19.688099999999999</v>
      </c>
      <c r="R713" s="9"/>
      <c r="S713" s="11"/>
    </row>
    <row r="714" spans="1:19" ht="15.75">
      <c r="A714" s="13">
        <v>63248</v>
      </c>
      <c r="B714" s="8">
        <f>25.4083 * CHOOSE(CONTROL!$C$15, $D$11, 100%, $F$11)</f>
        <v>25.408300000000001</v>
      </c>
      <c r="C714" s="8">
        <f>25.4135 * CHOOSE(CONTROL!$C$15, $D$11, 100%, $F$11)</f>
        <v>25.413499999999999</v>
      </c>
      <c r="D714" s="8">
        <f>25.4 * CHOOSE( CONTROL!$C$15, $D$11, 100%, $F$11)</f>
        <v>25.4</v>
      </c>
      <c r="E714" s="12">
        <f>25.4044 * CHOOSE( CONTROL!$C$15, $D$11, 100%, $F$11)</f>
        <v>25.404399999999999</v>
      </c>
      <c r="F714" s="4">
        <f>26.0572 * CHOOSE(CONTROL!$C$15, $D$11, 100%, $F$11)</f>
        <v>26.057200000000002</v>
      </c>
      <c r="G714" s="8">
        <f>24.8042 * CHOOSE( CONTROL!$C$15, $D$11, 100%, $F$11)</f>
        <v>24.804200000000002</v>
      </c>
      <c r="H714" s="4">
        <f>25.685 * CHOOSE(CONTROL!$C$15, $D$11, 100%, $F$11)</f>
        <v>25.684999999999999</v>
      </c>
      <c r="I714" s="8">
        <f>24.4932 * CHOOSE(CONTROL!$C$15, $D$11, 100%, $F$11)</f>
        <v>24.493200000000002</v>
      </c>
      <c r="J714" s="4">
        <f>24.3673 * CHOOSE(CONTROL!$C$15, $D$11, 100%, $F$11)</f>
        <v>24.3673</v>
      </c>
      <c r="K714" s="4"/>
      <c r="L714" s="9">
        <v>26.469899999999999</v>
      </c>
      <c r="M714" s="9">
        <v>10.8962</v>
      </c>
      <c r="N714" s="9">
        <v>4.4660000000000002</v>
      </c>
      <c r="O714" s="9">
        <v>0.33789999999999998</v>
      </c>
      <c r="P714" s="9">
        <v>1.1676</v>
      </c>
      <c r="Q714" s="9">
        <v>17.782800000000002</v>
      </c>
      <c r="R714" s="9"/>
      <c r="S714" s="11"/>
    </row>
    <row r="715" spans="1:19" ht="15.75">
      <c r="A715" s="13">
        <v>63279</v>
      </c>
      <c r="B715" s="8">
        <f>24.868 * CHOOSE(CONTROL!$C$15, $D$11, 100%, $F$11)</f>
        <v>24.867999999999999</v>
      </c>
      <c r="C715" s="8">
        <f>24.8732 * CHOOSE(CONTROL!$C$15, $D$11, 100%, $F$11)</f>
        <v>24.873200000000001</v>
      </c>
      <c r="D715" s="8">
        <f>24.8594 * CHOOSE( CONTROL!$C$15, $D$11, 100%, $F$11)</f>
        <v>24.859400000000001</v>
      </c>
      <c r="E715" s="12">
        <f>24.8639 * CHOOSE( CONTROL!$C$15, $D$11, 100%, $F$11)</f>
        <v>24.863900000000001</v>
      </c>
      <c r="F715" s="4">
        <f>25.5169 * CHOOSE(CONTROL!$C$15, $D$11, 100%, $F$11)</f>
        <v>25.5169</v>
      </c>
      <c r="G715" s="8">
        <f>24.2762 * CHOOSE( CONTROL!$C$15, $D$11, 100%, $F$11)</f>
        <v>24.276199999999999</v>
      </c>
      <c r="H715" s="4">
        <f>25.1573 * CHOOSE(CONTROL!$C$15, $D$11, 100%, $F$11)</f>
        <v>25.157299999999999</v>
      </c>
      <c r="I715" s="8">
        <f>23.9732 * CHOOSE(CONTROL!$C$15, $D$11, 100%, $F$11)</f>
        <v>23.973199999999999</v>
      </c>
      <c r="J715" s="4">
        <f>23.8486 * CHOOSE(CONTROL!$C$15, $D$11, 100%, $F$11)</f>
        <v>23.848600000000001</v>
      </c>
      <c r="K715" s="4"/>
      <c r="L715" s="9">
        <v>29.306000000000001</v>
      </c>
      <c r="M715" s="9">
        <v>12.063700000000001</v>
      </c>
      <c r="N715" s="9">
        <v>4.9444999999999997</v>
      </c>
      <c r="O715" s="9">
        <v>0.37409999999999999</v>
      </c>
      <c r="P715" s="9">
        <v>1.2927</v>
      </c>
      <c r="Q715" s="9">
        <v>19.688099999999999</v>
      </c>
      <c r="R715" s="9"/>
      <c r="S715" s="11"/>
    </row>
    <row r="716" spans="1:19" ht="15.75">
      <c r="A716" s="13">
        <v>63309</v>
      </c>
      <c r="B716" s="8">
        <f>25.2463 * CHOOSE(CONTROL!$C$15, $D$11, 100%, $F$11)</f>
        <v>25.246300000000002</v>
      </c>
      <c r="C716" s="8">
        <f>25.251 * CHOOSE(CONTROL!$C$15, $D$11, 100%, $F$11)</f>
        <v>25.251000000000001</v>
      </c>
      <c r="D716" s="8">
        <f>25.2773 * CHOOSE( CONTROL!$C$15, $D$11, 100%, $F$11)</f>
        <v>25.2773</v>
      </c>
      <c r="E716" s="12">
        <f>25.2681 * CHOOSE( CONTROL!$C$15, $D$11, 100%, $F$11)</f>
        <v>25.2681</v>
      </c>
      <c r="F716" s="4">
        <f>25.9455 * CHOOSE(CONTROL!$C$15, $D$11, 100%, $F$11)</f>
        <v>25.945499999999999</v>
      </c>
      <c r="G716" s="8">
        <f>24.645 * CHOOSE( CONTROL!$C$15, $D$11, 100%, $F$11)</f>
        <v>24.645</v>
      </c>
      <c r="H716" s="4">
        <f>25.5758 * CHOOSE(CONTROL!$C$15, $D$11, 100%, $F$11)</f>
        <v>25.575800000000001</v>
      </c>
      <c r="I716" s="8">
        <f>24.3277 * CHOOSE(CONTROL!$C$15, $D$11, 100%, $F$11)</f>
        <v>24.3277</v>
      </c>
      <c r="J716" s="4">
        <f>24.2111 * CHOOSE(CONTROL!$C$15, $D$11, 100%, $F$11)</f>
        <v>24.211099999999998</v>
      </c>
      <c r="K716" s="4"/>
      <c r="L716" s="9">
        <v>30.092199999999998</v>
      </c>
      <c r="M716" s="9">
        <v>11.6745</v>
      </c>
      <c r="N716" s="9">
        <v>4.7850000000000001</v>
      </c>
      <c r="O716" s="9">
        <v>0.36199999999999999</v>
      </c>
      <c r="P716" s="9">
        <v>1.1791</v>
      </c>
      <c r="Q716" s="9">
        <v>19.053000000000001</v>
      </c>
      <c r="R716" s="9"/>
      <c r="S716" s="11"/>
    </row>
    <row r="717" spans="1:19" ht="15.75">
      <c r="A717" s="13">
        <v>63340</v>
      </c>
      <c r="B717" s="8">
        <f>CHOOSE( CONTROL!$C$32, 25.9245, 25.9196) * CHOOSE(CONTROL!$C$15, $D$11, 100%, $F$11)</f>
        <v>25.924499999999998</v>
      </c>
      <c r="C717" s="8">
        <f>CHOOSE( CONTROL!$C$32, 25.9326, 25.9277) * CHOOSE(CONTROL!$C$15, $D$11, 100%, $F$11)</f>
        <v>25.932600000000001</v>
      </c>
      <c r="D717" s="8">
        <f>CHOOSE( CONTROL!$C$32, 25.9539, 25.949) * CHOOSE( CONTROL!$C$15, $D$11, 100%, $F$11)</f>
        <v>25.953900000000001</v>
      </c>
      <c r="E717" s="12">
        <f>CHOOSE( CONTROL!$C$32, 25.9449, 25.94) * CHOOSE( CONTROL!$C$15, $D$11, 100%, $F$11)</f>
        <v>25.944900000000001</v>
      </c>
      <c r="F717" s="4">
        <f>CHOOSE( CONTROL!$C$32, 26.6223, 26.6174) * CHOOSE(CONTROL!$C$15, $D$11, 100%, $F$11)</f>
        <v>26.622299999999999</v>
      </c>
      <c r="G717" s="8">
        <f>CHOOSE( CONTROL!$C$32, 25.307, 25.3023) * CHOOSE( CONTROL!$C$15, $D$11, 100%, $F$11)</f>
        <v>25.306999999999999</v>
      </c>
      <c r="H717" s="4">
        <f>CHOOSE( CONTROL!$C$32, 26.2368, 26.2321) * CHOOSE(CONTROL!$C$15, $D$11, 100%, $F$11)</f>
        <v>26.236799999999999</v>
      </c>
      <c r="I717" s="8">
        <f>CHOOSE( CONTROL!$C$32, 24.9778, 24.9731) * CHOOSE(CONTROL!$C$15, $D$11, 100%, $F$11)</f>
        <v>24.977799999999998</v>
      </c>
      <c r="J717" s="4">
        <f>CHOOSE( CONTROL!$C$32, 24.8609, 24.8562) * CHOOSE(CONTROL!$C$15, $D$11, 100%, $F$11)</f>
        <v>24.860900000000001</v>
      </c>
      <c r="K717" s="4"/>
      <c r="L717" s="9">
        <v>30.7165</v>
      </c>
      <c r="M717" s="9">
        <v>12.063700000000001</v>
      </c>
      <c r="N717" s="9">
        <v>4.9444999999999997</v>
      </c>
      <c r="O717" s="9">
        <v>0.37409999999999999</v>
      </c>
      <c r="P717" s="9">
        <v>1.2183999999999999</v>
      </c>
      <c r="Q717" s="9">
        <v>19.688099999999999</v>
      </c>
      <c r="R717" s="9"/>
      <c r="S717" s="11"/>
    </row>
    <row r="718" spans="1:19" ht="15.75">
      <c r="A718" s="13">
        <v>63370</v>
      </c>
      <c r="B718" s="8">
        <f>CHOOSE( CONTROL!$C$32, 25.5082, 25.5034) * CHOOSE(CONTROL!$C$15, $D$11, 100%, $F$11)</f>
        <v>25.508199999999999</v>
      </c>
      <c r="C718" s="8">
        <f>CHOOSE( CONTROL!$C$32, 25.5163, 25.5115) * CHOOSE(CONTROL!$C$15, $D$11, 100%, $F$11)</f>
        <v>25.516300000000001</v>
      </c>
      <c r="D718" s="8">
        <f>CHOOSE( CONTROL!$C$32, 25.5378, 25.533) * CHOOSE( CONTROL!$C$15, $D$11, 100%, $F$11)</f>
        <v>25.537800000000001</v>
      </c>
      <c r="E718" s="12">
        <f>CHOOSE( CONTROL!$C$32, 25.5288, 25.524) * CHOOSE( CONTROL!$C$15, $D$11, 100%, $F$11)</f>
        <v>25.5288</v>
      </c>
      <c r="F718" s="4">
        <f>CHOOSE( CONTROL!$C$32, 26.206, 26.2012) * CHOOSE(CONTROL!$C$15, $D$11, 100%, $F$11)</f>
        <v>26.206</v>
      </c>
      <c r="G718" s="8">
        <f>CHOOSE( CONTROL!$C$32, 24.9007, 24.896) * CHOOSE( CONTROL!$C$15, $D$11, 100%, $F$11)</f>
        <v>24.900700000000001</v>
      </c>
      <c r="H718" s="4">
        <f>CHOOSE( CONTROL!$C$32, 25.8303, 25.8256) * CHOOSE(CONTROL!$C$15, $D$11, 100%, $F$11)</f>
        <v>25.830300000000001</v>
      </c>
      <c r="I718" s="8">
        <f>CHOOSE( CONTROL!$C$32, 24.5789, 24.5742) * CHOOSE(CONTROL!$C$15, $D$11, 100%, $F$11)</f>
        <v>24.578900000000001</v>
      </c>
      <c r="J718" s="4">
        <f>CHOOSE( CONTROL!$C$32, 24.4612, 24.4566) * CHOOSE(CONTROL!$C$15, $D$11, 100%, $F$11)</f>
        <v>24.461200000000002</v>
      </c>
      <c r="K718" s="4"/>
      <c r="L718" s="9">
        <v>29.7257</v>
      </c>
      <c r="M718" s="9">
        <v>11.6745</v>
      </c>
      <c r="N718" s="9">
        <v>4.7850000000000001</v>
      </c>
      <c r="O718" s="9">
        <v>0.36199999999999999</v>
      </c>
      <c r="P718" s="9">
        <v>1.1791</v>
      </c>
      <c r="Q718" s="9">
        <v>19.053000000000001</v>
      </c>
      <c r="R718" s="9"/>
      <c r="S718" s="11"/>
    </row>
    <row r="719" spans="1:19" ht="15.75">
      <c r="A719" s="13">
        <v>63401</v>
      </c>
      <c r="B719" s="8">
        <f>CHOOSE( CONTROL!$C$32, 26.6043, 26.5995) * CHOOSE(CONTROL!$C$15, $D$11, 100%, $F$11)</f>
        <v>26.604299999999999</v>
      </c>
      <c r="C719" s="8">
        <f>CHOOSE( CONTROL!$C$32, 26.6124, 26.6076) * CHOOSE(CONTROL!$C$15, $D$11, 100%, $F$11)</f>
        <v>26.612400000000001</v>
      </c>
      <c r="D719" s="8">
        <f>CHOOSE( CONTROL!$C$32, 26.6342, 26.6293) * CHOOSE( CONTROL!$C$15, $D$11, 100%, $F$11)</f>
        <v>26.6342</v>
      </c>
      <c r="E719" s="12">
        <f>CHOOSE( CONTROL!$C$32, 26.6251, 26.6202) * CHOOSE( CONTROL!$C$15, $D$11, 100%, $F$11)</f>
        <v>26.6251</v>
      </c>
      <c r="F719" s="4">
        <f>CHOOSE( CONTROL!$C$32, 27.3021, 27.2973) * CHOOSE(CONTROL!$C$15, $D$11, 100%, $F$11)</f>
        <v>27.302099999999999</v>
      </c>
      <c r="G719" s="8">
        <f>CHOOSE( CONTROL!$C$32, 25.9717, 25.9669) * CHOOSE( CONTROL!$C$15, $D$11, 100%, $F$11)</f>
        <v>25.971699999999998</v>
      </c>
      <c r="H719" s="4">
        <f>CHOOSE( CONTROL!$C$32, 26.9009, 26.8962) * CHOOSE(CONTROL!$C$15, $D$11, 100%, $F$11)</f>
        <v>26.9009</v>
      </c>
      <c r="I719" s="8">
        <f>CHOOSE( CONTROL!$C$32, 25.6329, 25.6283) * CHOOSE(CONTROL!$C$15, $D$11, 100%, $F$11)</f>
        <v>25.632899999999999</v>
      </c>
      <c r="J719" s="4">
        <f>CHOOSE( CONTROL!$C$32, 25.5136, 25.509) * CHOOSE(CONTROL!$C$15, $D$11, 100%, $F$11)</f>
        <v>25.5136</v>
      </c>
      <c r="K719" s="4"/>
      <c r="L719" s="9">
        <v>30.7165</v>
      </c>
      <c r="M719" s="9">
        <v>12.063700000000001</v>
      </c>
      <c r="N719" s="9">
        <v>4.9444999999999997</v>
      </c>
      <c r="O719" s="9">
        <v>0.37409999999999999</v>
      </c>
      <c r="P719" s="9">
        <v>1.2183999999999999</v>
      </c>
      <c r="Q719" s="9">
        <v>19.688099999999999</v>
      </c>
      <c r="R719" s="9"/>
      <c r="S719" s="11"/>
    </row>
    <row r="720" spans="1:19" ht="15.75">
      <c r="A720" s="13">
        <v>63432</v>
      </c>
      <c r="B720" s="8">
        <f>CHOOSE( CONTROL!$C$32, 24.5534, 24.5486) * CHOOSE(CONTROL!$C$15, $D$11, 100%, $F$11)</f>
        <v>24.5534</v>
      </c>
      <c r="C720" s="8">
        <f>CHOOSE( CONTROL!$C$32, 24.5615, 24.5567) * CHOOSE(CONTROL!$C$15, $D$11, 100%, $F$11)</f>
        <v>24.561499999999999</v>
      </c>
      <c r="D720" s="8">
        <f>CHOOSE( CONTROL!$C$32, 24.5833, 24.5785) * CHOOSE( CONTROL!$C$15, $D$11, 100%, $F$11)</f>
        <v>24.583300000000001</v>
      </c>
      <c r="E720" s="12">
        <f>CHOOSE( CONTROL!$C$32, 24.5742, 24.5694) * CHOOSE( CONTROL!$C$15, $D$11, 100%, $F$11)</f>
        <v>24.574200000000001</v>
      </c>
      <c r="F720" s="4">
        <f>CHOOSE( CONTROL!$C$32, 25.2512, 25.2464) * CHOOSE(CONTROL!$C$15, $D$11, 100%, $F$11)</f>
        <v>25.251200000000001</v>
      </c>
      <c r="G720" s="8">
        <f>CHOOSE( CONTROL!$C$32, 23.9686, 23.9639) * CHOOSE( CONTROL!$C$15, $D$11, 100%, $F$11)</f>
        <v>23.968599999999999</v>
      </c>
      <c r="H720" s="4">
        <f>CHOOSE( CONTROL!$C$32, 24.8977, 24.893) * CHOOSE(CONTROL!$C$15, $D$11, 100%, $F$11)</f>
        <v>24.8977</v>
      </c>
      <c r="I720" s="8">
        <f>CHOOSE( CONTROL!$C$32, 23.6631, 23.6585) * CHOOSE(CONTROL!$C$15, $D$11, 100%, $F$11)</f>
        <v>23.6631</v>
      </c>
      <c r="J720" s="4">
        <f>CHOOSE( CONTROL!$C$32, 23.5445, 23.5399) * CHOOSE(CONTROL!$C$15, $D$11, 100%, $F$11)</f>
        <v>23.544499999999999</v>
      </c>
      <c r="K720" s="4"/>
      <c r="L720" s="9">
        <v>30.7165</v>
      </c>
      <c r="M720" s="9">
        <v>12.063700000000001</v>
      </c>
      <c r="N720" s="9">
        <v>4.9444999999999997</v>
      </c>
      <c r="O720" s="9">
        <v>0.37409999999999999</v>
      </c>
      <c r="P720" s="9">
        <v>1.2183999999999999</v>
      </c>
      <c r="Q720" s="9">
        <v>19.688099999999999</v>
      </c>
      <c r="R720" s="9"/>
      <c r="S720" s="11"/>
    </row>
    <row r="721" spans="1:19" ht="15.75">
      <c r="A721" s="13">
        <v>63462</v>
      </c>
      <c r="B721" s="8">
        <f>CHOOSE( CONTROL!$C$32, 24.0398, 24.035) * CHOOSE(CONTROL!$C$15, $D$11, 100%, $F$11)</f>
        <v>24.0398</v>
      </c>
      <c r="C721" s="8">
        <f>CHOOSE( CONTROL!$C$32, 24.0479, 24.0431) * CHOOSE(CONTROL!$C$15, $D$11, 100%, $F$11)</f>
        <v>24.047899999999998</v>
      </c>
      <c r="D721" s="8">
        <f>CHOOSE( CONTROL!$C$32, 24.0697, 24.0649) * CHOOSE( CONTROL!$C$15, $D$11, 100%, $F$11)</f>
        <v>24.069700000000001</v>
      </c>
      <c r="E721" s="12">
        <f>CHOOSE( CONTROL!$C$32, 24.0606, 24.0558) * CHOOSE( CONTROL!$C$15, $D$11, 100%, $F$11)</f>
        <v>24.060600000000001</v>
      </c>
      <c r="F721" s="4">
        <f>CHOOSE( CONTROL!$C$32, 24.7376, 24.7328) * CHOOSE(CONTROL!$C$15, $D$11, 100%, $F$11)</f>
        <v>24.7376</v>
      </c>
      <c r="G721" s="8">
        <f>CHOOSE( CONTROL!$C$32, 23.467, 23.4622) * CHOOSE( CONTROL!$C$15, $D$11, 100%, $F$11)</f>
        <v>23.466999999999999</v>
      </c>
      <c r="H721" s="4">
        <f>CHOOSE( CONTROL!$C$32, 24.3961, 24.3914) * CHOOSE(CONTROL!$C$15, $D$11, 100%, $F$11)</f>
        <v>24.396100000000001</v>
      </c>
      <c r="I721" s="8">
        <f>CHOOSE( CONTROL!$C$32, 23.1697, 23.165) * CHOOSE(CONTROL!$C$15, $D$11, 100%, $F$11)</f>
        <v>23.169699999999999</v>
      </c>
      <c r="J721" s="4">
        <f>CHOOSE( CONTROL!$C$32, 23.0514, 23.0468) * CHOOSE(CONTROL!$C$15, $D$11, 100%, $F$11)</f>
        <v>23.051400000000001</v>
      </c>
      <c r="K721" s="4"/>
      <c r="L721" s="9">
        <v>29.7257</v>
      </c>
      <c r="M721" s="9">
        <v>11.6745</v>
      </c>
      <c r="N721" s="9">
        <v>4.7850000000000001</v>
      </c>
      <c r="O721" s="9">
        <v>0.36199999999999999</v>
      </c>
      <c r="P721" s="9">
        <v>1.1791</v>
      </c>
      <c r="Q721" s="9">
        <v>19.053000000000001</v>
      </c>
      <c r="R721" s="9"/>
      <c r="S721" s="11"/>
    </row>
    <row r="722" spans="1:19" ht="15.75">
      <c r="A722" s="13">
        <v>63493</v>
      </c>
      <c r="B722" s="8">
        <f>25.0996 * CHOOSE(CONTROL!$C$15, $D$11, 100%, $F$11)</f>
        <v>25.099599999999999</v>
      </c>
      <c r="C722" s="8">
        <f>25.1051 * CHOOSE(CONTROL!$C$15, $D$11, 100%, $F$11)</f>
        <v>25.1051</v>
      </c>
      <c r="D722" s="8">
        <f>25.1315 * CHOOSE( CONTROL!$C$15, $D$11, 100%, $F$11)</f>
        <v>25.131499999999999</v>
      </c>
      <c r="E722" s="12">
        <f>25.1222 * CHOOSE( CONTROL!$C$15, $D$11, 100%, $F$11)</f>
        <v>25.122199999999999</v>
      </c>
      <c r="F722" s="4">
        <f>25.7992 * CHOOSE(CONTROL!$C$15, $D$11, 100%, $F$11)</f>
        <v>25.799199999999999</v>
      </c>
      <c r="G722" s="8">
        <f>24.503 * CHOOSE( CONTROL!$C$15, $D$11, 100%, $F$11)</f>
        <v>24.503</v>
      </c>
      <c r="H722" s="4">
        <f>25.4329 * CHOOSE(CONTROL!$C$15, $D$11, 100%, $F$11)</f>
        <v>25.4329</v>
      </c>
      <c r="I722" s="8">
        <f>24.1901 * CHOOSE(CONTROL!$C$15, $D$11, 100%, $F$11)</f>
        <v>24.190100000000001</v>
      </c>
      <c r="J722" s="4">
        <f>24.0706 * CHOOSE(CONTROL!$C$15, $D$11, 100%, $F$11)</f>
        <v>24.070599999999999</v>
      </c>
      <c r="K722" s="4"/>
      <c r="L722" s="9">
        <v>31.095300000000002</v>
      </c>
      <c r="M722" s="9">
        <v>12.063700000000001</v>
      </c>
      <c r="N722" s="9">
        <v>4.9444999999999997</v>
      </c>
      <c r="O722" s="9">
        <v>0.37409999999999999</v>
      </c>
      <c r="P722" s="9">
        <v>1.2183999999999999</v>
      </c>
      <c r="Q722" s="9">
        <v>19.688099999999999</v>
      </c>
      <c r="R722" s="9"/>
      <c r="S722" s="11"/>
    </row>
    <row r="723" spans="1:19" ht="15.75">
      <c r="A723" s="13">
        <v>63523</v>
      </c>
      <c r="B723" s="8">
        <f>27.0675 * CHOOSE(CONTROL!$C$15, $D$11, 100%, $F$11)</f>
        <v>27.067499999999999</v>
      </c>
      <c r="C723" s="8">
        <f>27.0727 * CHOOSE(CONTROL!$C$15, $D$11, 100%, $F$11)</f>
        <v>27.072700000000001</v>
      </c>
      <c r="D723" s="8">
        <f>27.062 * CHOOSE( CONTROL!$C$15, $D$11, 100%, $F$11)</f>
        <v>27.062000000000001</v>
      </c>
      <c r="E723" s="12">
        <f>27.0654 * CHOOSE( CONTROL!$C$15, $D$11, 100%, $F$11)</f>
        <v>27.0654</v>
      </c>
      <c r="F723" s="4">
        <f>27.7164 * CHOOSE(CONTROL!$C$15, $D$11, 100%, $F$11)</f>
        <v>27.7164</v>
      </c>
      <c r="G723" s="8">
        <f>26.43 * CHOOSE( CONTROL!$C$15, $D$11, 100%, $F$11)</f>
        <v>26.43</v>
      </c>
      <c r="H723" s="4">
        <f>27.3055 * CHOOSE(CONTROL!$C$15, $D$11, 100%, $F$11)</f>
        <v>27.305499999999999</v>
      </c>
      <c r="I723" s="8">
        <f>26.1064 * CHOOSE(CONTROL!$C$15, $D$11, 100%, $F$11)</f>
        <v>26.106400000000001</v>
      </c>
      <c r="J723" s="4">
        <f>25.9604 * CHOOSE(CONTROL!$C$15, $D$11, 100%, $F$11)</f>
        <v>25.9604</v>
      </c>
      <c r="K723" s="4"/>
      <c r="L723" s="9">
        <v>28.360600000000002</v>
      </c>
      <c r="M723" s="9">
        <v>11.6745</v>
      </c>
      <c r="N723" s="9">
        <v>4.7850000000000001</v>
      </c>
      <c r="O723" s="9">
        <v>0.36199999999999999</v>
      </c>
      <c r="P723" s="9">
        <v>1.2509999999999999</v>
      </c>
      <c r="Q723" s="9">
        <v>19.053000000000001</v>
      </c>
      <c r="R723" s="9"/>
      <c r="S723" s="11"/>
    </row>
    <row r="724" spans="1:19" ht="15.75">
      <c r="A724" s="13">
        <v>63554</v>
      </c>
      <c r="B724" s="8">
        <f>27.0183 * CHOOSE(CONTROL!$C$15, $D$11, 100%, $F$11)</f>
        <v>27.0183</v>
      </c>
      <c r="C724" s="8">
        <f>27.0235 * CHOOSE(CONTROL!$C$15, $D$11, 100%, $F$11)</f>
        <v>27.023499999999999</v>
      </c>
      <c r="D724" s="8">
        <f>27.0141 * CHOOSE( CONTROL!$C$15, $D$11, 100%, $F$11)</f>
        <v>27.014099999999999</v>
      </c>
      <c r="E724" s="12">
        <f>27.017 * CHOOSE( CONTROL!$C$15, $D$11, 100%, $F$11)</f>
        <v>27.016999999999999</v>
      </c>
      <c r="F724" s="4">
        <f>27.6672 * CHOOSE(CONTROL!$C$15, $D$11, 100%, $F$11)</f>
        <v>27.667200000000001</v>
      </c>
      <c r="G724" s="8">
        <f>26.383 * CHOOSE( CONTROL!$C$15, $D$11, 100%, $F$11)</f>
        <v>26.382999999999999</v>
      </c>
      <c r="H724" s="4">
        <f>27.2575 * CHOOSE(CONTROL!$C$15, $D$11, 100%, $F$11)</f>
        <v>27.2575</v>
      </c>
      <c r="I724" s="8">
        <f>26.0635 * CHOOSE(CONTROL!$C$15, $D$11, 100%, $F$11)</f>
        <v>26.063500000000001</v>
      </c>
      <c r="J724" s="4">
        <f>25.9131 * CHOOSE(CONTROL!$C$15, $D$11, 100%, $F$11)</f>
        <v>25.9131</v>
      </c>
      <c r="K724" s="4"/>
      <c r="L724" s="9">
        <v>29.306000000000001</v>
      </c>
      <c r="M724" s="9">
        <v>12.063700000000001</v>
      </c>
      <c r="N724" s="9">
        <v>4.9444999999999997</v>
      </c>
      <c r="O724" s="9">
        <v>0.37409999999999999</v>
      </c>
      <c r="P724" s="9">
        <v>1.2927</v>
      </c>
      <c r="Q724" s="9">
        <v>19.688099999999999</v>
      </c>
      <c r="R724" s="9"/>
      <c r="S724" s="11"/>
    </row>
    <row r="725" spans="1:19" ht="15.75">
      <c r="A725" s="13">
        <v>63585</v>
      </c>
      <c r="B725" s="8">
        <f>28.0499 * CHOOSE(CONTROL!$C$15, $D$11, 100%, $F$11)</f>
        <v>28.049900000000001</v>
      </c>
      <c r="C725" s="8">
        <f>28.0551 * CHOOSE(CONTROL!$C$15, $D$11, 100%, $F$11)</f>
        <v>28.055099999999999</v>
      </c>
      <c r="D725" s="8">
        <f>28.0415 * CHOOSE( CONTROL!$C$15, $D$11, 100%, $F$11)</f>
        <v>28.041499999999999</v>
      </c>
      <c r="E725" s="12">
        <f>28.0459 * CHOOSE( CONTROL!$C$15, $D$11, 100%, $F$11)</f>
        <v>28.0459</v>
      </c>
      <c r="F725" s="4">
        <f>28.6988 * CHOOSE(CONTROL!$C$15, $D$11, 100%, $F$11)</f>
        <v>28.698799999999999</v>
      </c>
      <c r="G725" s="8">
        <f>27.3842 * CHOOSE( CONTROL!$C$15, $D$11, 100%, $F$11)</f>
        <v>27.3842</v>
      </c>
      <c r="H725" s="4">
        <f>28.265 * CHOOSE(CONTROL!$C$15, $D$11, 100%, $F$11)</f>
        <v>28.265000000000001</v>
      </c>
      <c r="I725" s="8">
        <f>27.0307 * CHOOSE(CONTROL!$C$15, $D$11, 100%, $F$11)</f>
        <v>27.0307</v>
      </c>
      <c r="J725" s="4">
        <f>26.9035 * CHOOSE(CONTROL!$C$15, $D$11, 100%, $F$11)</f>
        <v>26.903500000000001</v>
      </c>
      <c r="K725" s="4"/>
      <c r="L725" s="9">
        <v>29.306000000000001</v>
      </c>
      <c r="M725" s="9">
        <v>12.063700000000001</v>
      </c>
      <c r="N725" s="9">
        <v>4.9444999999999997</v>
      </c>
      <c r="O725" s="9">
        <v>0.37409999999999999</v>
      </c>
      <c r="P725" s="9">
        <v>1.2927</v>
      </c>
      <c r="Q725" s="9">
        <v>19.688099999999999</v>
      </c>
      <c r="R725" s="9"/>
      <c r="S725" s="11"/>
    </row>
    <row r="726" spans="1:19" ht="15.75">
      <c r="A726" s="13">
        <v>63613</v>
      </c>
      <c r="B726" s="8">
        <f>26.2383 * CHOOSE(CONTROL!$C$15, $D$11, 100%, $F$11)</f>
        <v>26.238299999999999</v>
      </c>
      <c r="C726" s="8">
        <f>26.2435 * CHOOSE(CONTROL!$C$15, $D$11, 100%, $F$11)</f>
        <v>26.243500000000001</v>
      </c>
      <c r="D726" s="8">
        <f>26.23 * CHOOSE( CONTROL!$C$15, $D$11, 100%, $F$11)</f>
        <v>26.23</v>
      </c>
      <c r="E726" s="12">
        <f>26.2344 * CHOOSE( CONTROL!$C$15, $D$11, 100%, $F$11)</f>
        <v>26.234400000000001</v>
      </c>
      <c r="F726" s="4">
        <f>26.8872 * CHOOSE(CONTROL!$C$15, $D$11, 100%, $F$11)</f>
        <v>26.8872</v>
      </c>
      <c r="G726" s="8">
        <f>25.6149 * CHOOSE( CONTROL!$C$15, $D$11, 100%, $F$11)</f>
        <v>25.614899999999999</v>
      </c>
      <c r="H726" s="4">
        <f>26.4956 * CHOOSE(CONTROL!$C$15, $D$11, 100%, $F$11)</f>
        <v>26.4956</v>
      </c>
      <c r="I726" s="8">
        <f>25.2905 * CHOOSE(CONTROL!$C$15, $D$11, 100%, $F$11)</f>
        <v>25.290500000000002</v>
      </c>
      <c r="J726" s="4">
        <f>25.1643 * CHOOSE(CONTROL!$C$15, $D$11, 100%, $F$11)</f>
        <v>25.164300000000001</v>
      </c>
      <c r="K726" s="4"/>
      <c r="L726" s="9">
        <v>26.469899999999999</v>
      </c>
      <c r="M726" s="9">
        <v>10.8962</v>
      </c>
      <c r="N726" s="9">
        <v>4.4660000000000002</v>
      </c>
      <c r="O726" s="9">
        <v>0.33789999999999998</v>
      </c>
      <c r="P726" s="9">
        <v>1.1676</v>
      </c>
      <c r="Q726" s="9">
        <v>17.782800000000002</v>
      </c>
      <c r="R726" s="9"/>
      <c r="S726" s="11"/>
    </row>
    <row r="727" spans="1:19" ht="15.75">
      <c r="A727" s="13">
        <v>63644</v>
      </c>
      <c r="B727" s="8">
        <f>25.6804 * CHOOSE(CONTROL!$C$15, $D$11, 100%, $F$11)</f>
        <v>25.680399999999999</v>
      </c>
      <c r="C727" s="8">
        <f>25.6856 * CHOOSE(CONTROL!$C$15, $D$11, 100%, $F$11)</f>
        <v>25.685600000000001</v>
      </c>
      <c r="D727" s="8">
        <f>25.6717 * CHOOSE( CONTROL!$C$15, $D$11, 100%, $F$11)</f>
        <v>25.671700000000001</v>
      </c>
      <c r="E727" s="12">
        <f>25.6762 * CHOOSE( CONTROL!$C$15, $D$11, 100%, $F$11)</f>
        <v>25.676200000000001</v>
      </c>
      <c r="F727" s="4">
        <f>26.3293 * CHOOSE(CONTROL!$C$15, $D$11, 100%, $F$11)</f>
        <v>26.3293</v>
      </c>
      <c r="G727" s="8">
        <f>25.0697 * CHOOSE( CONTROL!$C$15, $D$11, 100%, $F$11)</f>
        <v>25.069700000000001</v>
      </c>
      <c r="H727" s="4">
        <f>25.9507 * CHOOSE(CONTROL!$C$15, $D$11, 100%, $F$11)</f>
        <v>25.950700000000001</v>
      </c>
      <c r="I727" s="8">
        <f>24.7536 * CHOOSE(CONTROL!$C$15, $D$11, 100%, $F$11)</f>
        <v>24.753599999999999</v>
      </c>
      <c r="J727" s="4">
        <f>24.6286 * CHOOSE(CONTROL!$C$15, $D$11, 100%, $F$11)</f>
        <v>24.628599999999999</v>
      </c>
      <c r="K727" s="4"/>
      <c r="L727" s="9">
        <v>29.306000000000001</v>
      </c>
      <c r="M727" s="9">
        <v>12.063700000000001</v>
      </c>
      <c r="N727" s="9">
        <v>4.9444999999999997</v>
      </c>
      <c r="O727" s="9">
        <v>0.37409999999999999</v>
      </c>
      <c r="P727" s="9">
        <v>1.2927</v>
      </c>
      <c r="Q727" s="9">
        <v>19.688099999999999</v>
      </c>
      <c r="R727" s="9"/>
      <c r="S727" s="11"/>
    </row>
    <row r="728" spans="1:19" ht="15.75">
      <c r="A728" s="13">
        <v>63674</v>
      </c>
      <c r="B728" s="8">
        <f>26.071 * CHOOSE(CONTROL!$C$15, $D$11, 100%, $F$11)</f>
        <v>26.071000000000002</v>
      </c>
      <c r="C728" s="8">
        <f>26.0757 * CHOOSE(CONTROL!$C$15, $D$11, 100%, $F$11)</f>
        <v>26.075700000000001</v>
      </c>
      <c r="D728" s="8">
        <f>26.102 * CHOOSE( CONTROL!$C$15, $D$11, 100%, $F$11)</f>
        <v>26.102</v>
      </c>
      <c r="E728" s="12">
        <f>26.0928 * CHOOSE( CONTROL!$C$15, $D$11, 100%, $F$11)</f>
        <v>26.0928</v>
      </c>
      <c r="F728" s="4">
        <f>26.7702 * CHOOSE(CONTROL!$C$15, $D$11, 100%, $F$11)</f>
        <v>26.770199999999999</v>
      </c>
      <c r="G728" s="8">
        <f>25.4505 * CHOOSE( CONTROL!$C$15, $D$11, 100%, $F$11)</f>
        <v>25.450500000000002</v>
      </c>
      <c r="H728" s="4">
        <f>26.3813 * CHOOSE(CONTROL!$C$15, $D$11, 100%, $F$11)</f>
        <v>26.3813</v>
      </c>
      <c r="I728" s="8">
        <f>25.1199 * CHOOSE(CONTROL!$C$15, $D$11, 100%, $F$11)</f>
        <v>25.119900000000001</v>
      </c>
      <c r="J728" s="4">
        <f>25.0029 * CHOOSE(CONTROL!$C$15, $D$11, 100%, $F$11)</f>
        <v>25.0029</v>
      </c>
      <c r="K728" s="4"/>
      <c r="L728" s="9">
        <v>30.092199999999998</v>
      </c>
      <c r="M728" s="9">
        <v>11.6745</v>
      </c>
      <c r="N728" s="9">
        <v>4.7850000000000001</v>
      </c>
      <c r="O728" s="9">
        <v>0.36199999999999999</v>
      </c>
      <c r="P728" s="9">
        <v>1.1791</v>
      </c>
      <c r="Q728" s="9">
        <v>19.053000000000001</v>
      </c>
      <c r="R728" s="9"/>
      <c r="S728" s="11"/>
    </row>
    <row r="729" spans="1:19" ht="15.75">
      <c r="A729" s="13">
        <v>63705</v>
      </c>
      <c r="B729" s="8">
        <f>CHOOSE( CONTROL!$C$32, 26.7711, 26.7663) * CHOOSE(CONTROL!$C$15, $D$11, 100%, $F$11)</f>
        <v>26.771100000000001</v>
      </c>
      <c r="C729" s="8">
        <f>CHOOSE( CONTROL!$C$32, 26.7792, 26.7744) * CHOOSE(CONTROL!$C$15, $D$11, 100%, $F$11)</f>
        <v>26.779199999999999</v>
      </c>
      <c r="D729" s="8">
        <f>CHOOSE( CONTROL!$C$32, 26.8005, 26.7957) * CHOOSE( CONTROL!$C$15, $D$11, 100%, $F$11)</f>
        <v>26.8005</v>
      </c>
      <c r="E729" s="12">
        <f>CHOOSE( CONTROL!$C$32, 26.7915, 26.7867) * CHOOSE( CONTROL!$C$15, $D$11, 100%, $F$11)</f>
        <v>26.791499999999999</v>
      </c>
      <c r="F729" s="4">
        <f>CHOOSE( CONTROL!$C$32, 27.4689, 27.4641) * CHOOSE(CONTROL!$C$15, $D$11, 100%, $F$11)</f>
        <v>27.468900000000001</v>
      </c>
      <c r="G729" s="8">
        <f>CHOOSE( CONTROL!$C$32, 26.1339, 26.1292) * CHOOSE( CONTROL!$C$15, $D$11, 100%, $F$11)</f>
        <v>26.133900000000001</v>
      </c>
      <c r="H729" s="4">
        <f>CHOOSE( CONTROL!$C$32, 27.0638, 27.0591) * CHOOSE(CONTROL!$C$15, $D$11, 100%, $F$11)</f>
        <v>27.063800000000001</v>
      </c>
      <c r="I729" s="8">
        <f>CHOOSE( CONTROL!$C$32, 25.7911, 25.7864) * CHOOSE(CONTROL!$C$15, $D$11, 100%, $F$11)</f>
        <v>25.7911</v>
      </c>
      <c r="J729" s="4">
        <f>CHOOSE( CONTROL!$C$32, 25.6737, 25.6691) * CHOOSE(CONTROL!$C$15, $D$11, 100%, $F$11)</f>
        <v>25.6737</v>
      </c>
      <c r="K729" s="4"/>
      <c r="L729" s="9">
        <v>30.7165</v>
      </c>
      <c r="M729" s="9">
        <v>12.063700000000001</v>
      </c>
      <c r="N729" s="9">
        <v>4.9444999999999997</v>
      </c>
      <c r="O729" s="9">
        <v>0.37409999999999999</v>
      </c>
      <c r="P729" s="9">
        <v>1.2183999999999999</v>
      </c>
      <c r="Q729" s="9">
        <v>19.688099999999999</v>
      </c>
      <c r="R729" s="9"/>
      <c r="S729" s="11"/>
    </row>
    <row r="730" spans="1:19" ht="15.75">
      <c r="A730" s="13">
        <v>63735</v>
      </c>
      <c r="B730" s="8">
        <f>CHOOSE( CONTROL!$C$32, 26.3413, 26.3365) * CHOOSE(CONTROL!$C$15, $D$11, 100%, $F$11)</f>
        <v>26.3413</v>
      </c>
      <c r="C730" s="8">
        <f>CHOOSE( CONTROL!$C$32, 26.3494, 26.3445) * CHOOSE(CONTROL!$C$15, $D$11, 100%, $F$11)</f>
        <v>26.349399999999999</v>
      </c>
      <c r="D730" s="8">
        <f>CHOOSE( CONTROL!$C$32, 26.3709, 26.366) * CHOOSE( CONTROL!$C$15, $D$11, 100%, $F$11)</f>
        <v>26.370899999999999</v>
      </c>
      <c r="E730" s="12">
        <f>CHOOSE( CONTROL!$C$32, 26.3619, 26.357) * CHOOSE( CONTROL!$C$15, $D$11, 100%, $F$11)</f>
        <v>26.361899999999999</v>
      </c>
      <c r="F730" s="4">
        <f>CHOOSE( CONTROL!$C$32, 27.0391, 27.0343) * CHOOSE(CONTROL!$C$15, $D$11, 100%, $F$11)</f>
        <v>27.039100000000001</v>
      </c>
      <c r="G730" s="8">
        <f>CHOOSE( CONTROL!$C$32, 25.7144, 25.7097) * CHOOSE( CONTROL!$C$15, $D$11, 100%, $F$11)</f>
        <v>25.714400000000001</v>
      </c>
      <c r="H730" s="4">
        <f>CHOOSE( CONTROL!$C$32, 26.644, 26.6392) * CHOOSE(CONTROL!$C$15, $D$11, 100%, $F$11)</f>
        <v>26.643999999999998</v>
      </c>
      <c r="I730" s="8">
        <f>CHOOSE( CONTROL!$C$32, 25.3791, 25.3745) * CHOOSE(CONTROL!$C$15, $D$11, 100%, $F$11)</f>
        <v>25.379100000000001</v>
      </c>
      <c r="J730" s="4">
        <f>CHOOSE( CONTROL!$C$32, 25.261, 25.2564) * CHOOSE(CONTROL!$C$15, $D$11, 100%, $F$11)</f>
        <v>25.260999999999999</v>
      </c>
      <c r="K730" s="4"/>
      <c r="L730" s="9">
        <v>29.7257</v>
      </c>
      <c r="M730" s="9">
        <v>11.6745</v>
      </c>
      <c r="N730" s="9">
        <v>4.7850000000000001</v>
      </c>
      <c r="O730" s="9">
        <v>0.36199999999999999</v>
      </c>
      <c r="P730" s="9">
        <v>1.1791</v>
      </c>
      <c r="Q730" s="9">
        <v>19.053000000000001</v>
      </c>
      <c r="R730" s="9"/>
      <c r="S730" s="11"/>
    </row>
    <row r="731" spans="1:19" ht="15.75">
      <c r="A731" s="13">
        <v>63766</v>
      </c>
      <c r="B731" s="8">
        <f>CHOOSE( CONTROL!$C$32, 27.4732, 27.4684) * CHOOSE(CONTROL!$C$15, $D$11, 100%, $F$11)</f>
        <v>27.473199999999999</v>
      </c>
      <c r="C731" s="8">
        <f>CHOOSE( CONTROL!$C$32, 27.4813, 27.4765) * CHOOSE(CONTROL!$C$15, $D$11, 100%, $F$11)</f>
        <v>27.481300000000001</v>
      </c>
      <c r="D731" s="8">
        <f>CHOOSE( CONTROL!$C$32, 27.5031, 27.4982) * CHOOSE( CONTROL!$C$15, $D$11, 100%, $F$11)</f>
        <v>27.5031</v>
      </c>
      <c r="E731" s="12">
        <f>CHOOSE( CONTROL!$C$32, 27.494, 27.4891) * CHOOSE( CONTROL!$C$15, $D$11, 100%, $F$11)</f>
        <v>27.494</v>
      </c>
      <c r="F731" s="4">
        <f>CHOOSE( CONTROL!$C$32, 28.1711, 28.1662) * CHOOSE(CONTROL!$C$15, $D$11, 100%, $F$11)</f>
        <v>28.171099999999999</v>
      </c>
      <c r="G731" s="8">
        <f>CHOOSE( CONTROL!$C$32, 26.8203, 26.8156) * CHOOSE( CONTROL!$C$15, $D$11, 100%, $F$11)</f>
        <v>26.8203</v>
      </c>
      <c r="H731" s="4">
        <f>CHOOSE( CONTROL!$C$32, 27.7495, 27.7448) * CHOOSE(CONTROL!$C$15, $D$11, 100%, $F$11)</f>
        <v>27.749500000000001</v>
      </c>
      <c r="I731" s="8">
        <f>CHOOSE( CONTROL!$C$32, 26.4676, 26.4629) * CHOOSE(CONTROL!$C$15, $D$11, 100%, $F$11)</f>
        <v>26.467600000000001</v>
      </c>
      <c r="J731" s="4">
        <f>CHOOSE( CONTROL!$C$32, 26.3478, 26.3432) * CHOOSE(CONTROL!$C$15, $D$11, 100%, $F$11)</f>
        <v>26.347799999999999</v>
      </c>
      <c r="K731" s="4"/>
      <c r="L731" s="9">
        <v>30.7165</v>
      </c>
      <c r="M731" s="9">
        <v>12.063700000000001</v>
      </c>
      <c r="N731" s="9">
        <v>4.9444999999999997</v>
      </c>
      <c r="O731" s="9">
        <v>0.37409999999999999</v>
      </c>
      <c r="P731" s="9">
        <v>1.2183999999999999</v>
      </c>
      <c r="Q731" s="9">
        <v>19.688099999999999</v>
      </c>
      <c r="R731" s="9"/>
      <c r="S731" s="11"/>
    </row>
    <row r="732" spans="1:19" ht="15.75">
      <c r="A732" s="13">
        <v>63797</v>
      </c>
      <c r="B732" s="8">
        <f>CHOOSE( CONTROL!$C$32, 25.3552, 25.3504) * CHOOSE(CONTROL!$C$15, $D$11, 100%, $F$11)</f>
        <v>25.3552</v>
      </c>
      <c r="C732" s="8">
        <f>CHOOSE( CONTROL!$C$32, 25.3633, 25.3585) * CHOOSE(CONTROL!$C$15, $D$11, 100%, $F$11)</f>
        <v>25.363299999999999</v>
      </c>
      <c r="D732" s="8">
        <f>CHOOSE( CONTROL!$C$32, 25.3851, 25.3803) * CHOOSE( CONTROL!$C$15, $D$11, 100%, $F$11)</f>
        <v>25.385100000000001</v>
      </c>
      <c r="E732" s="12">
        <f>CHOOSE( CONTROL!$C$32, 25.376, 25.3712) * CHOOSE( CONTROL!$C$15, $D$11, 100%, $F$11)</f>
        <v>25.376000000000001</v>
      </c>
      <c r="F732" s="4">
        <f>CHOOSE( CONTROL!$C$32, 26.053, 26.0482) * CHOOSE(CONTROL!$C$15, $D$11, 100%, $F$11)</f>
        <v>26.053000000000001</v>
      </c>
      <c r="G732" s="8">
        <f>CHOOSE( CONTROL!$C$32, 24.7518, 24.747) * CHOOSE( CONTROL!$C$15, $D$11, 100%, $F$11)</f>
        <v>24.751799999999999</v>
      </c>
      <c r="H732" s="4">
        <f>CHOOSE( CONTROL!$C$32, 25.6809, 25.6762) * CHOOSE(CONTROL!$C$15, $D$11, 100%, $F$11)</f>
        <v>25.680900000000001</v>
      </c>
      <c r="I732" s="8">
        <f>CHOOSE( CONTROL!$C$32, 24.4333, 24.4287) * CHOOSE(CONTROL!$C$15, $D$11, 100%, $F$11)</f>
        <v>24.433299999999999</v>
      </c>
      <c r="J732" s="4">
        <f>CHOOSE( CONTROL!$C$32, 24.3143, 24.3097) * CHOOSE(CONTROL!$C$15, $D$11, 100%, $F$11)</f>
        <v>24.314299999999999</v>
      </c>
      <c r="K732" s="4"/>
      <c r="L732" s="9">
        <v>30.7165</v>
      </c>
      <c r="M732" s="9">
        <v>12.063700000000001</v>
      </c>
      <c r="N732" s="9">
        <v>4.9444999999999997</v>
      </c>
      <c r="O732" s="9">
        <v>0.37409999999999999</v>
      </c>
      <c r="P732" s="9">
        <v>1.2183999999999999</v>
      </c>
      <c r="Q732" s="9">
        <v>19.688099999999999</v>
      </c>
      <c r="R732" s="9"/>
      <c r="S732" s="11"/>
    </row>
    <row r="733" spans="1:19" ht="15.75">
      <c r="A733" s="13">
        <v>63827</v>
      </c>
      <c r="B733" s="8">
        <f>CHOOSE( CONTROL!$C$32, 24.8249, 24.82) * CHOOSE(CONTROL!$C$15, $D$11, 100%, $F$11)</f>
        <v>24.8249</v>
      </c>
      <c r="C733" s="8">
        <f>CHOOSE( CONTROL!$C$32, 24.8329, 24.8281) * CHOOSE(CONTROL!$C$15, $D$11, 100%, $F$11)</f>
        <v>24.832899999999999</v>
      </c>
      <c r="D733" s="8">
        <f>CHOOSE( CONTROL!$C$32, 24.8547, 24.8499) * CHOOSE( CONTROL!$C$15, $D$11, 100%, $F$11)</f>
        <v>24.854700000000001</v>
      </c>
      <c r="E733" s="12">
        <f>CHOOSE( CONTROL!$C$32, 24.8456, 24.8408) * CHOOSE( CONTROL!$C$15, $D$11, 100%, $F$11)</f>
        <v>24.845600000000001</v>
      </c>
      <c r="F733" s="4">
        <f>CHOOSE( CONTROL!$C$32, 25.5227, 25.5178) * CHOOSE(CONTROL!$C$15, $D$11, 100%, $F$11)</f>
        <v>25.5227</v>
      </c>
      <c r="G733" s="8">
        <f>CHOOSE( CONTROL!$C$32, 24.2337, 24.229) * CHOOSE( CONTROL!$C$15, $D$11, 100%, $F$11)</f>
        <v>24.233699999999999</v>
      </c>
      <c r="H733" s="4">
        <f>CHOOSE( CONTROL!$C$32, 25.1629, 25.1581) * CHOOSE(CONTROL!$C$15, $D$11, 100%, $F$11)</f>
        <v>25.1629</v>
      </c>
      <c r="I733" s="8">
        <f>CHOOSE( CONTROL!$C$32, 23.9238, 23.9191) * CHOOSE(CONTROL!$C$15, $D$11, 100%, $F$11)</f>
        <v>23.9238</v>
      </c>
      <c r="J733" s="4">
        <f>CHOOSE( CONTROL!$C$32, 23.8051, 23.8005) * CHOOSE(CONTROL!$C$15, $D$11, 100%, $F$11)</f>
        <v>23.805099999999999</v>
      </c>
      <c r="K733" s="4"/>
      <c r="L733" s="9">
        <v>29.7257</v>
      </c>
      <c r="M733" s="9">
        <v>11.6745</v>
      </c>
      <c r="N733" s="9">
        <v>4.7850000000000001</v>
      </c>
      <c r="O733" s="9">
        <v>0.36199999999999999</v>
      </c>
      <c r="P733" s="9">
        <v>1.1791</v>
      </c>
      <c r="Q733" s="9">
        <v>19.053000000000001</v>
      </c>
      <c r="R733" s="9"/>
      <c r="S733" s="11"/>
    </row>
    <row r="734" spans="1:19" ht="15.75">
      <c r="A734" s="13">
        <v>63858</v>
      </c>
      <c r="B734" s="8">
        <f>25.9195 * CHOOSE(CONTROL!$C$15, $D$11, 100%, $F$11)</f>
        <v>25.919499999999999</v>
      </c>
      <c r="C734" s="8">
        <f>25.925 * CHOOSE(CONTROL!$C$15, $D$11, 100%, $F$11)</f>
        <v>25.925000000000001</v>
      </c>
      <c r="D734" s="8">
        <f>25.9514 * CHOOSE( CONTROL!$C$15, $D$11, 100%, $F$11)</f>
        <v>25.9514</v>
      </c>
      <c r="E734" s="12">
        <f>25.9421 * CHOOSE( CONTROL!$C$15, $D$11, 100%, $F$11)</f>
        <v>25.9421</v>
      </c>
      <c r="F734" s="4">
        <f>26.6191 * CHOOSE(CONTROL!$C$15, $D$11, 100%, $F$11)</f>
        <v>26.6191</v>
      </c>
      <c r="G734" s="8">
        <f>25.3038 * CHOOSE( CONTROL!$C$15, $D$11, 100%, $F$11)</f>
        <v>25.303799999999999</v>
      </c>
      <c r="H734" s="4">
        <f>26.2337 * CHOOSE(CONTROL!$C$15, $D$11, 100%, $F$11)</f>
        <v>26.233699999999999</v>
      </c>
      <c r="I734" s="8">
        <f>24.9777 * CHOOSE(CONTROL!$C$15, $D$11, 100%, $F$11)</f>
        <v>24.977699999999999</v>
      </c>
      <c r="J734" s="4">
        <f>24.8578 * CHOOSE(CONTROL!$C$15, $D$11, 100%, $F$11)</f>
        <v>24.857800000000001</v>
      </c>
      <c r="K734" s="4"/>
      <c r="L734" s="9">
        <v>31.095300000000002</v>
      </c>
      <c r="M734" s="9">
        <v>12.063700000000001</v>
      </c>
      <c r="N734" s="9">
        <v>4.9444999999999997</v>
      </c>
      <c r="O734" s="9">
        <v>0.37409999999999999</v>
      </c>
      <c r="P734" s="9">
        <v>1.2183999999999999</v>
      </c>
      <c r="Q734" s="9">
        <v>19.688099999999999</v>
      </c>
      <c r="R734" s="9"/>
      <c r="S734" s="11"/>
    </row>
    <row r="735" spans="1:19" ht="15.75">
      <c r="A735" s="13">
        <v>63888</v>
      </c>
      <c r="B735" s="8">
        <f>27.9518 * CHOOSE(CONTROL!$C$15, $D$11, 100%, $F$11)</f>
        <v>27.951799999999999</v>
      </c>
      <c r="C735" s="8">
        <f>27.957 * CHOOSE(CONTROL!$C$15, $D$11, 100%, $F$11)</f>
        <v>27.957000000000001</v>
      </c>
      <c r="D735" s="8">
        <f>27.9462 * CHOOSE( CONTROL!$C$15, $D$11, 100%, $F$11)</f>
        <v>27.946200000000001</v>
      </c>
      <c r="E735" s="12">
        <f>27.9496 * CHOOSE( CONTROL!$C$15, $D$11, 100%, $F$11)</f>
        <v>27.9496</v>
      </c>
      <c r="F735" s="4">
        <f>28.6007 * CHOOSE(CONTROL!$C$15, $D$11, 100%, $F$11)</f>
        <v>28.6007</v>
      </c>
      <c r="G735" s="8">
        <f>27.2937 * CHOOSE( CONTROL!$C$15, $D$11, 100%, $F$11)</f>
        <v>27.293700000000001</v>
      </c>
      <c r="H735" s="4">
        <f>28.1692 * CHOOSE(CONTROL!$C$15, $D$11, 100%, $F$11)</f>
        <v>28.1692</v>
      </c>
      <c r="I735" s="8">
        <f>26.9558 * CHOOSE(CONTROL!$C$15, $D$11, 100%, $F$11)</f>
        <v>26.9558</v>
      </c>
      <c r="J735" s="4">
        <f>26.8094 * CHOOSE(CONTROL!$C$15, $D$11, 100%, $F$11)</f>
        <v>26.8094</v>
      </c>
      <c r="K735" s="4"/>
      <c r="L735" s="9">
        <v>28.360600000000002</v>
      </c>
      <c r="M735" s="9">
        <v>11.6745</v>
      </c>
      <c r="N735" s="9">
        <v>4.7850000000000001</v>
      </c>
      <c r="O735" s="9">
        <v>0.36199999999999999</v>
      </c>
      <c r="P735" s="9">
        <v>1.2509999999999999</v>
      </c>
      <c r="Q735" s="9">
        <v>19.053000000000001</v>
      </c>
      <c r="R735" s="9"/>
      <c r="S735" s="11"/>
    </row>
    <row r="736" spans="1:19" ht="15.75">
      <c r="A736" s="13">
        <v>63919</v>
      </c>
      <c r="B736" s="8">
        <f>27.901 * CHOOSE(CONTROL!$C$15, $D$11, 100%, $F$11)</f>
        <v>27.901</v>
      </c>
      <c r="C736" s="8">
        <f>27.9062 * CHOOSE(CONTROL!$C$15, $D$11, 100%, $F$11)</f>
        <v>27.906199999999998</v>
      </c>
      <c r="D736" s="8">
        <f>27.8968 * CHOOSE( CONTROL!$C$15, $D$11, 100%, $F$11)</f>
        <v>27.896799999999999</v>
      </c>
      <c r="E736" s="12">
        <f>27.8997 * CHOOSE( CONTROL!$C$15, $D$11, 100%, $F$11)</f>
        <v>27.899699999999999</v>
      </c>
      <c r="F736" s="4">
        <f>28.5499 * CHOOSE(CONTROL!$C$15, $D$11, 100%, $F$11)</f>
        <v>28.549900000000001</v>
      </c>
      <c r="G736" s="8">
        <f>27.2451 * CHOOSE( CONTROL!$C$15, $D$11, 100%, $F$11)</f>
        <v>27.245100000000001</v>
      </c>
      <c r="H736" s="4">
        <f>28.1196 * CHOOSE(CONTROL!$C$15, $D$11, 100%, $F$11)</f>
        <v>28.119599999999998</v>
      </c>
      <c r="I736" s="8">
        <f>26.9114 * CHOOSE(CONTROL!$C$15, $D$11, 100%, $F$11)</f>
        <v>26.9114</v>
      </c>
      <c r="J736" s="4">
        <f>26.7606 * CHOOSE(CONTROL!$C$15, $D$11, 100%, $F$11)</f>
        <v>26.7606</v>
      </c>
      <c r="K736" s="4"/>
      <c r="L736" s="9">
        <v>29.306000000000001</v>
      </c>
      <c r="M736" s="9">
        <v>12.063700000000001</v>
      </c>
      <c r="N736" s="9">
        <v>4.9444999999999997</v>
      </c>
      <c r="O736" s="9">
        <v>0.37409999999999999</v>
      </c>
      <c r="P736" s="9">
        <v>1.2927</v>
      </c>
      <c r="Q736" s="9">
        <v>19.688099999999999</v>
      </c>
      <c r="R736" s="9"/>
      <c r="S736" s="11"/>
    </row>
    <row r="737" spans="1:19" ht="15.75">
      <c r="A737" s="13">
        <v>63950</v>
      </c>
      <c r="B737" s="8">
        <f>28.9663 * CHOOSE(CONTROL!$C$15, $D$11, 100%, $F$11)</f>
        <v>28.9663</v>
      </c>
      <c r="C737" s="8">
        <f>28.9715 * CHOOSE(CONTROL!$C$15, $D$11, 100%, $F$11)</f>
        <v>28.971499999999999</v>
      </c>
      <c r="D737" s="8">
        <f>28.958 * CHOOSE( CONTROL!$C$15, $D$11, 100%, $F$11)</f>
        <v>28.957999999999998</v>
      </c>
      <c r="E737" s="12">
        <f>28.9624 * CHOOSE( CONTROL!$C$15, $D$11, 100%, $F$11)</f>
        <v>28.962399999999999</v>
      </c>
      <c r="F737" s="4">
        <f>29.6152 * CHOOSE(CONTROL!$C$15, $D$11, 100%, $F$11)</f>
        <v>29.615200000000002</v>
      </c>
      <c r="G737" s="8">
        <f>28.2793 * CHOOSE( CONTROL!$C$15, $D$11, 100%, $F$11)</f>
        <v>28.279299999999999</v>
      </c>
      <c r="H737" s="4">
        <f>29.16 * CHOOSE(CONTROL!$C$15, $D$11, 100%, $F$11)</f>
        <v>29.16</v>
      </c>
      <c r="I737" s="8">
        <f>27.9109 * CHOOSE(CONTROL!$C$15, $D$11, 100%, $F$11)</f>
        <v>27.910900000000002</v>
      </c>
      <c r="J737" s="4">
        <f>27.7834 * CHOOSE(CONTROL!$C$15, $D$11, 100%, $F$11)</f>
        <v>27.7834</v>
      </c>
      <c r="K737" s="4"/>
      <c r="L737" s="9">
        <v>29.306000000000001</v>
      </c>
      <c r="M737" s="9">
        <v>12.063700000000001</v>
      </c>
      <c r="N737" s="9">
        <v>4.9444999999999997</v>
      </c>
      <c r="O737" s="9">
        <v>0.37409999999999999</v>
      </c>
      <c r="P737" s="9">
        <v>1.2927</v>
      </c>
      <c r="Q737" s="9">
        <v>19.688099999999999</v>
      </c>
      <c r="R737" s="9"/>
      <c r="S737" s="11"/>
    </row>
    <row r="738" spans="1:19" ht="15.75">
      <c r="A738" s="13">
        <v>63978</v>
      </c>
      <c r="B738" s="8">
        <f>27.0955 * CHOOSE(CONTROL!$C$15, $D$11, 100%, $F$11)</f>
        <v>27.095500000000001</v>
      </c>
      <c r="C738" s="8">
        <f>27.1007 * CHOOSE(CONTROL!$C$15, $D$11, 100%, $F$11)</f>
        <v>27.1007</v>
      </c>
      <c r="D738" s="8">
        <f>27.0872 * CHOOSE( CONTROL!$C$15, $D$11, 100%, $F$11)</f>
        <v>27.087199999999999</v>
      </c>
      <c r="E738" s="12">
        <f>27.0916 * CHOOSE( CONTROL!$C$15, $D$11, 100%, $F$11)</f>
        <v>27.0916</v>
      </c>
      <c r="F738" s="4">
        <f>27.7444 * CHOOSE(CONTROL!$C$15, $D$11, 100%, $F$11)</f>
        <v>27.744399999999999</v>
      </c>
      <c r="G738" s="8">
        <f>26.4521 * CHOOSE( CONTROL!$C$15, $D$11, 100%, $F$11)</f>
        <v>26.452100000000002</v>
      </c>
      <c r="H738" s="4">
        <f>27.3328 * CHOOSE(CONTROL!$C$15, $D$11, 100%, $F$11)</f>
        <v>27.332799999999999</v>
      </c>
      <c r="I738" s="8">
        <f>26.1139 * CHOOSE(CONTROL!$C$15, $D$11, 100%, $F$11)</f>
        <v>26.113900000000001</v>
      </c>
      <c r="J738" s="4">
        <f>25.9872 * CHOOSE(CONTROL!$C$15, $D$11, 100%, $F$11)</f>
        <v>25.987200000000001</v>
      </c>
      <c r="K738" s="4"/>
      <c r="L738" s="9">
        <v>26.469899999999999</v>
      </c>
      <c r="M738" s="9">
        <v>10.8962</v>
      </c>
      <c r="N738" s="9">
        <v>4.4660000000000002</v>
      </c>
      <c r="O738" s="9">
        <v>0.33789999999999998</v>
      </c>
      <c r="P738" s="9">
        <v>1.1676</v>
      </c>
      <c r="Q738" s="9">
        <v>17.782800000000002</v>
      </c>
      <c r="R738" s="9"/>
      <c r="S738" s="11"/>
    </row>
    <row r="739" spans="1:19" ht="15.75">
      <c r="A739" s="13">
        <v>64009</v>
      </c>
      <c r="B739" s="8">
        <f>26.5193 * CHOOSE(CONTROL!$C$15, $D$11, 100%, $F$11)</f>
        <v>26.519300000000001</v>
      </c>
      <c r="C739" s="8">
        <f>26.5245 * CHOOSE(CONTROL!$C$15, $D$11, 100%, $F$11)</f>
        <v>26.5245</v>
      </c>
      <c r="D739" s="8">
        <f>26.5107 * CHOOSE( CONTROL!$C$15, $D$11, 100%, $F$11)</f>
        <v>26.5107</v>
      </c>
      <c r="E739" s="12">
        <f>26.5152 * CHOOSE( CONTROL!$C$15, $D$11, 100%, $F$11)</f>
        <v>26.5152</v>
      </c>
      <c r="F739" s="4">
        <f>27.1682 * CHOOSE(CONTROL!$C$15, $D$11, 100%, $F$11)</f>
        <v>27.168199999999999</v>
      </c>
      <c r="G739" s="8">
        <f>25.8891 * CHOOSE( CONTROL!$C$15, $D$11, 100%, $F$11)</f>
        <v>25.889099999999999</v>
      </c>
      <c r="H739" s="4">
        <f>26.7701 * CHOOSE(CONTROL!$C$15, $D$11, 100%, $F$11)</f>
        <v>26.770099999999999</v>
      </c>
      <c r="I739" s="8">
        <f>25.5594 * CHOOSE(CONTROL!$C$15, $D$11, 100%, $F$11)</f>
        <v>25.5594</v>
      </c>
      <c r="J739" s="4">
        <f>25.434 * CHOOSE(CONTROL!$C$15, $D$11, 100%, $F$11)</f>
        <v>25.434000000000001</v>
      </c>
      <c r="K739" s="4"/>
      <c r="L739" s="9">
        <v>29.306000000000001</v>
      </c>
      <c r="M739" s="9">
        <v>12.063700000000001</v>
      </c>
      <c r="N739" s="9">
        <v>4.9444999999999997</v>
      </c>
      <c r="O739" s="9">
        <v>0.37409999999999999</v>
      </c>
      <c r="P739" s="9">
        <v>1.2927</v>
      </c>
      <c r="Q739" s="9">
        <v>19.688099999999999</v>
      </c>
      <c r="R739" s="9"/>
      <c r="S739" s="11"/>
    </row>
    <row r="740" spans="1:19" ht="15.75">
      <c r="A740" s="13">
        <v>64039</v>
      </c>
      <c r="B740" s="8">
        <f>26.9227 * CHOOSE(CONTROL!$C$15, $D$11, 100%, $F$11)</f>
        <v>26.922699999999999</v>
      </c>
      <c r="C740" s="8">
        <f>26.9273 * CHOOSE(CONTROL!$C$15, $D$11, 100%, $F$11)</f>
        <v>26.927299999999999</v>
      </c>
      <c r="D740" s="8">
        <f>26.9536 * CHOOSE( CONTROL!$C$15, $D$11, 100%, $F$11)</f>
        <v>26.953600000000002</v>
      </c>
      <c r="E740" s="12">
        <f>26.9444 * CHOOSE( CONTROL!$C$15, $D$11, 100%, $F$11)</f>
        <v>26.944400000000002</v>
      </c>
      <c r="F740" s="4">
        <f>27.6219 * CHOOSE(CONTROL!$C$15, $D$11, 100%, $F$11)</f>
        <v>27.6219</v>
      </c>
      <c r="G740" s="8">
        <f>26.2823 * CHOOSE( CONTROL!$C$15, $D$11, 100%, $F$11)</f>
        <v>26.282299999999999</v>
      </c>
      <c r="H740" s="4">
        <f>27.2132 * CHOOSE(CONTROL!$C$15, $D$11, 100%, $F$11)</f>
        <v>27.213200000000001</v>
      </c>
      <c r="I740" s="8">
        <f>25.938 * CHOOSE(CONTROL!$C$15, $D$11, 100%, $F$11)</f>
        <v>25.937999999999999</v>
      </c>
      <c r="J740" s="4">
        <f>25.8206 * CHOOSE(CONTROL!$C$15, $D$11, 100%, $F$11)</f>
        <v>25.820599999999999</v>
      </c>
      <c r="K740" s="4"/>
      <c r="L740" s="9">
        <v>30.092199999999998</v>
      </c>
      <c r="M740" s="9">
        <v>11.6745</v>
      </c>
      <c r="N740" s="9">
        <v>4.7850000000000001</v>
      </c>
      <c r="O740" s="9">
        <v>0.36199999999999999</v>
      </c>
      <c r="P740" s="9">
        <v>1.1791</v>
      </c>
      <c r="Q740" s="9">
        <v>19.053000000000001</v>
      </c>
      <c r="R740" s="9"/>
      <c r="S740" s="11"/>
    </row>
    <row r="741" spans="1:19" ht="15.75">
      <c r="A741" s="13">
        <v>64070</v>
      </c>
      <c r="B741" s="8">
        <f>CHOOSE( CONTROL!$C$32, 27.6455, 27.6407) * CHOOSE(CONTROL!$C$15, $D$11, 100%, $F$11)</f>
        <v>27.645499999999998</v>
      </c>
      <c r="C741" s="8">
        <f>CHOOSE( CONTROL!$C$32, 27.6536, 27.6488) * CHOOSE(CONTROL!$C$15, $D$11, 100%, $F$11)</f>
        <v>27.653600000000001</v>
      </c>
      <c r="D741" s="8">
        <f>CHOOSE( CONTROL!$C$32, 27.6749, 27.6701) * CHOOSE( CONTROL!$C$15, $D$11, 100%, $F$11)</f>
        <v>27.674900000000001</v>
      </c>
      <c r="E741" s="12">
        <f>CHOOSE( CONTROL!$C$32, 27.6659, 27.6611) * CHOOSE( CONTROL!$C$15, $D$11, 100%, $F$11)</f>
        <v>27.665900000000001</v>
      </c>
      <c r="F741" s="4">
        <f>CHOOSE( CONTROL!$C$32, 28.3433, 28.3385) * CHOOSE(CONTROL!$C$15, $D$11, 100%, $F$11)</f>
        <v>28.343299999999999</v>
      </c>
      <c r="G741" s="8">
        <f>CHOOSE( CONTROL!$C$32, 26.9879, 26.9832) * CHOOSE( CONTROL!$C$15, $D$11, 100%, $F$11)</f>
        <v>26.9879</v>
      </c>
      <c r="H741" s="4">
        <f>CHOOSE( CONTROL!$C$32, 27.9178, 27.9131) * CHOOSE(CONTROL!$C$15, $D$11, 100%, $F$11)</f>
        <v>27.9178</v>
      </c>
      <c r="I741" s="8">
        <f>CHOOSE( CONTROL!$C$32, 26.631, 26.6263) * CHOOSE(CONTROL!$C$15, $D$11, 100%, $F$11)</f>
        <v>26.631</v>
      </c>
      <c r="J741" s="4">
        <f>CHOOSE( CONTROL!$C$32, 26.5132, 26.5086) * CHOOSE(CONTROL!$C$15, $D$11, 100%, $F$11)</f>
        <v>26.513200000000001</v>
      </c>
      <c r="K741" s="4"/>
      <c r="L741" s="9">
        <v>30.7165</v>
      </c>
      <c r="M741" s="9">
        <v>12.063700000000001</v>
      </c>
      <c r="N741" s="9">
        <v>4.9444999999999997</v>
      </c>
      <c r="O741" s="9">
        <v>0.37409999999999999</v>
      </c>
      <c r="P741" s="9">
        <v>1.2183999999999999</v>
      </c>
      <c r="Q741" s="9">
        <v>19.688099999999999</v>
      </c>
      <c r="R741" s="9"/>
      <c r="S741" s="11"/>
    </row>
    <row r="742" spans="1:19" ht="15.75">
      <c r="A742" s="13">
        <v>64100</v>
      </c>
      <c r="B742" s="8">
        <f>CHOOSE( CONTROL!$C$32, 27.2016, 27.1968) * CHOOSE(CONTROL!$C$15, $D$11, 100%, $F$11)</f>
        <v>27.201599999999999</v>
      </c>
      <c r="C742" s="8">
        <f>CHOOSE( CONTROL!$C$32, 27.2097, 27.2048) * CHOOSE(CONTROL!$C$15, $D$11, 100%, $F$11)</f>
        <v>27.209700000000002</v>
      </c>
      <c r="D742" s="8">
        <f>CHOOSE( CONTROL!$C$32, 27.2312, 27.2264) * CHOOSE( CONTROL!$C$15, $D$11, 100%, $F$11)</f>
        <v>27.231200000000001</v>
      </c>
      <c r="E742" s="12">
        <f>CHOOSE( CONTROL!$C$32, 27.2222, 27.2174) * CHOOSE( CONTROL!$C$15, $D$11, 100%, $F$11)</f>
        <v>27.222200000000001</v>
      </c>
      <c r="F742" s="4">
        <f>CHOOSE( CONTROL!$C$32, 27.8994, 27.8946) * CHOOSE(CONTROL!$C$15, $D$11, 100%, $F$11)</f>
        <v>27.8994</v>
      </c>
      <c r="G742" s="8">
        <f>CHOOSE( CONTROL!$C$32, 26.5547, 26.5499) * CHOOSE( CONTROL!$C$15, $D$11, 100%, $F$11)</f>
        <v>26.5547</v>
      </c>
      <c r="H742" s="4">
        <f>CHOOSE( CONTROL!$C$32, 27.4842, 27.4795) * CHOOSE(CONTROL!$C$15, $D$11, 100%, $F$11)</f>
        <v>27.484200000000001</v>
      </c>
      <c r="I742" s="8">
        <f>CHOOSE( CONTROL!$C$32, 26.2055, 26.2009) * CHOOSE(CONTROL!$C$15, $D$11, 100%, $F$11)</f>
        <v>26.205500000000001</v>
      </c>
      <c r="J742" s="4">
        <f>CHOOSE( CONTROL!$C$32, 26.087, 26.0824) * CHOOSE(CONTROL!$C$15, $D$11, 100%, $F$11)</f>
        <v>26.087</v>
      </c>
      <c r="K742" s="4"/>
      <c r="L742" s="9">
        <v>29.7257</v>
      </c>
      <c r="M742" s="9">
        <v>11.6745</v>
      </c>
      <c r="N742" s="9">
        <v>4.7850000000000001</v>
      </c>
      <c r="O742" s="9">
        <v>0.36199999999999999</v>
      </c>
      <c r="P742" s="9">
        <v>1.1791</v>
      </c>
      <c r="Q742" s="9">
        <v>19.053000000000001</v>
      </c>
      <c r="R742" s="9"/>
      <c r="S742" s="11"/>
    </row>
    <row r="743" spans="1:19" ht="15.75">
      <c r="A743" s="13">
        <v>64131</v>
      </c>
      <c r="B743" s="8">
        <f>CHOOSE( CONTROL!$C$32, 28.3706, 28.3657) * CHOOSE(CONTROL!$C$15, $D$11, 100%, $F$11)</f>
        <v>28.3706</v>
      </c>
      <c r="C743" s="8">
        <f>CHOOSE( CONTROL!$C$32, 28.3787, 28.3738) * CHOOSE(CONTROL!$C$15, $D$11, 100%, $F$11)</f>
        <v>28.378699999999998</v>
      </c>
      <c r="D743" s="8">
        <f>CHOOSE( CONTROL!$C$32, 28.4004, 28.3956) * CHOOSE( CONTROL!$C$15, $D$11, 100%, $F$11)</f>
        <v>28.400400000000001</v>
      </c>
      <c r="E743" s="12">
        <f>CHOOSE( CONTROL!$C$32, 28.3913, 28.3865) * CHOOSE( CONTROL!$C$15, $D$11, 100%, $F$11)</f>
        <v>28.391300000000001</v>
      </c>
      <c r="F743" s="4">
        <f>CHOOSE( CONTROL!$C$32, 29.0684, 29.0635) * CHOOSE(CONTROL!$C$15, $D$11, 100%, $F$11)</f>
        <v>29.0684</v>
      </c>
      <c r="G743" s="8">
        <f>CHOOSE( CONTROL!$C$32, 27.6968, 27.692) * CHOOSE( CONTROL!$C$15, $D$11, 100%, $F$11)</f>
        <v>27.6968</v>
      </c>
      <c r="H743" s="4">
        <f>CHOOSE( CONTROL!$C$32, 28.626, 28.6212) * CHOOSE(CONTROL!$C$15, $D$11, 100%, $F$11)</f>
        <v>28.626000000000001</v>
      </c>
      <c r="I743" s="8">
        <f>CHOOSE( CONTROL!$C$32, 27.3295, 27.3249) * CHOOSE(CONTROL!$C$15, $D$11, 100%, $F$11)</f>
        <v>27.329499999999999</v>
      </c>
      <c r="J743" s="4">
        <f>CHOOSE( CONTROL!$C$32, 27.2094, 27.2047) * CHOOSE(CONTROL!$C$15, $D$11, 100%, $F$11)</f>
        <v>27.209399999999999</v>
      </c>
      <c r="K743" s="4"/>
      <c r="L743" s="9">
        <v>30.7165</v>
      </c>
      <c r="M743" s="9">
        <v>12.063700000000001</v>
      </c>
      <c r="N743" s="9">
        <v>4.9444999999999997</v>
      </c>
      <c r="O743" s="9">
        <v>0.37409999999999999</v>
      </c>
      <c r="P743" s="9">
        <v>1.2183999999999999</v>
      </c>
      <c r="Q743" s="9">
        <v>19.688099999999999</v>
      </c>
      <c r="R743" s="9"/>
      <c r="S743" s="11"/>
    </row>
    <row r="744" spans="1:19" ht="15.75">
      <c r="A744" s="13">
        <v>64162</v>
      </c>
      <c r="B744" s="8">
        <f>CHOOSE( CONTROL!$C$32, 26.1833, 26.1785) * CHOOSE(CONTROL!$C$15, $D$11, 100%, $F$11)</f>
        <v>26.183299999999999</v>
      </c>
      <c r="C744" s="8">
        <f>CHOOSE( CONTROL!$C$32, 26.1914, 26.1865) * CHOOSE(CONTROL!$C$15, $D$11, 100%, $F$11)</f>
        <v>26.191400000000002</v>
      </c>
      <c r="D744" s="8">
        <f>CHOOSE( CONTROL!$C$32, 26.2132, 26.2083) * CHOOSE( CONTROL!$C$15, $D$11, 100%, $F$11)</f>
        <v>26.213200000000001</v>
      </c>
      <c r="E744" s="12">
        <f>CHOOSE( CONTROL!$C$32, 26.2041, 26.1992) * CHOOSE( CONTROL!$C$15, $D$11, 100%, $F$11)</f>
        <v>26.2041</v>
      </c>
      <c r="F744" s="4">
        <f>CHOOSE( CONTROL!$C$32, 26.8811, 26.8763) * CHOOSE(CONTROL!$C$15, $D$11, 100%, $F$11)</f>
        <v>26.8811</v>
      </c>
      <c r="G744" s="8">
        <f>CHOOSE( CONTROL!$C$32, 25.5605, 25.5558) * CHOOSE( CONTROL!$C$15, $D$11, 100%, $F$11)</f>
        <v>25.560500000000001</v>
      </c>
      <c r="H744" s="4">
        <f>CHOOSE( CONTROL!$C$32, 26.4896, 26.4849) * CHOOSE(CONTROL!$C$15, $D$11, 100%, $F$11)</f>
        <v>26.489599999999999</v>
      </c>
      <c r="I744" s="8">
        <f>CHOOSE( CONTROL!$C$32, 25.2287, 25.2241) * CHOOSE(CONTROL!$C$15, $D$11, 100%, $F$11)</f>
        <v>25.2287</v>
      </c>
      <c r="J744" s="4">
        <f>CHOOSE( CONTROL!$C$32, 25.1094, 25.1047) * CHOOSE(CONTROL!$C$15, $D$11, 100%, $F$11)</f>
        <v>25.109400000000001</v>
      </c>
      <c r="K744" s="4"/>
      <c r="L744" s="9">
        <v>30.7165</v>
      </c>
      <c r="M744" s="9">
        <v>12.063700000000001</v>
      </c>
      <c r="N744" s="9">
        <v>4.9444999999999997</v>
      </c>
      <c r="O744" s="9">
        <v>0.37409999999999999</v>
      </c>
      <c r="P744" s="9">
        <v>1.2183999999999999</v>
      </c>
      <c r="Q744" s="9">
        <v>19.688099999999999</v>
      </c>
      <c r="R744" s="9"/>
      <c r="S744" s="11"/>
    </row>
    <row r="745" spans="1:19" ht="15.75">
      <c r="A745" s="13">
        <v>64192</v>
      </c>
      <c r="B745" s="8">
        <f>CHOOSE( CONTROL!$C$32, 25.6356, 25.6307) * CHOOSE(CONTROL!$C$15, $D$11, 100%, $F$11)</f>
        <v>25.6356</v>
      </c>
      <c r="C745" s="8">
        <f>CHOOSE( CONTROL!$C$32, 25.6437, 25.6388) * CHOOSE(CONTROL!$C$15, $D$11, 100%, $F$11)</f>
        <v>25.643699999999999</v>
      </c>
      <c r="D745" s="8">
        <f>CHOOSE( CONTROL!$C$32, 25.6654, 25.6606) * CHOOSE( CONTROL!$C$15, $D$11, 100%, $F$11)</f>
        <v>25.665400000000002</v>
      </c>
      <c r="E745" s="12">
        <f>CHOOSE( CONTROL!$C$32, 25.6563, 25.6515) * CHOOSE( CONTROL!$C$15, $D$11, 100%, $F$11)</f>
        <v>25.656300000000002</v>
      </c>
      <c r="F745" s="4">
        <f>CHOOSE( CONTROL!$C$32, 26.3334, 26.3285) * CHOOSE(CONTROL!$C$15, $D$11, 100%, $F$11)</f>
        <v>26.333400000000001</v>
      </c>
      <c r="G745" s="8">
        <f>CHOOSE( CONTROL!$C$32, 25.0255, 25.0208) * CHOOSE( CONTROL!$C$15, $D$11, 100%, $F$11)</f>
        <v>25.025500000000001</v>
      </c>
      <c r="H745" s="4">
        <f>CHOOSE( CONTROL!$C$32, 25.9547, 25.95) * CHOOSE(CONTROL!$C$15, $D$11, 100%, $F$11)</f>
        <v>25.954699999999999</v>
      </c>
      <c r="I745" s="8">
        <f>CHOOSE( CONTROL!$C$32, 24.7025, 24.6979) * CHOOSE(CONTROL!$C$15, $D$11, 100%, $F$11)</f>
        <v>24.702500000000001</v>
      </c>
      <c r="J745" s="4">
        <f>CHOOSE( CONTROL!$C$32, 24.5835, 24.5788) * CHOOSE(CONTROL!$C$15, $D$11, 100%, $F$11)</f>
        <v>24.583500000000001</v>
      </c>
      <c r="K745" s="4"/>
      <c r="L745" s="9">
        <v>29.7257</v>
      </c>
      <c r="M745" s="9">
        <v>11.6745</v>
      </c>
      <c r="N745" s="9">
        <v>4.7850000000000001</v>
      </c>
      <c r="O745" s="9">
        <v>0.36199999999999999</v>
      </c>
      <c r="P745" s="9">
        <v>1.1791</v>
      </c>
      <c r="Q745" s="9">
        <v>19.053000000000001</v>
      </c>
      <c r="R745" s="9"/>
      <c r="S745" s="11"/>
    </row>
    <row r="746" spans="1:19" ht="15.75">
      <c r="A746" s="13">
        <v>64223</v>
      </c>
      <c r="B746" s="8">
        <f>26.7663 * CHOOSE(CONTROL!$C$15, $D$11, 100%, $F$11)</f>
        <v>26.766300000000001</v>
      </c>
      <c r="C746" s="8">
        <f>26.7717 * CHOOSE(CONTROL!$C$15, $D$11, 100%, $F$11)</f>
        <v>26.771699999999999</v>
      </c>
      <c r="D746" s="8">
        <f>26.7981 * CHOOSE( CONTROL!$C$15, $D$11, 100%, $F$11)</f>
        <v>26.798100000000002</v>
      </c>
      <c r="E746" s="12">
        <f>26.7888 * CHOOSE( CONTROL!$C$15, $D$11, 100%, $F$11)</f>
        <v>26.788799999999998</v>
      </c>
      <c r="F746" s="4">
        <f>27.4658 * CHOOSE(CONTROL!$C$15, $D$11, 100%, $F$11)</f>
        <v>27.465800000000002</v>
      </c>
      <c r="G746" s="8">
        <f>26.1308 * CHOOSE( CONTROL!$C$15, $D$11, 100%, $F$11)</f>
        <v>26.130800000000001</v>
      </c>
      <c r="H746" s="4">
        <f>27.0607 * CHOOSE(CONTROL!$C$15, $D$11, 100%, $F$11)</f>
        <v>27.060700000000001</v>
      </c>
      <c r="I746" s="8">
        <f>25.7911 * CHOOSE(CONTROL!$C$15, $D$11, 100%, $F$11)</f>
        <v>25.7911</v>
      </c>
      <c r="J746" s="4">
        <f>25.6707 * CHOOSE(CONTROL!$C$15, $D$11, 100%, $F$11)</f>
        <v>25.6707</v>
      </c>
      <c r="K746" s="4"/>
      <c r="L746" s="9">
        <v>31.095300000000002</v>
      </c>
      <c r="M746" s="9">
        <v>12.063700000000001</v>
      </c>
      <c r="N746" s="9">
        <v>4.9444999999999997</v>
      </c>
      <c r="O746" s="9">
        <v>0.37409999999999999</v>
      </c>
      <c r="P746" s="9">
        <v>1.2183999999999999</v>
      </c>
      <c r="Q746" s="9">
        <v>19.688099999999999</v>
      </c>
      <c r="R746" s="9"/>
      <c r="S746" s="11"/>
    </row>
    <row r="747" spans="1:19" ht="15.75">
      <c r="A747" s="13">
        <v>64253</v>
      </c>
      <c r="B747" s="8">
        <f>28.865 * CHOOSE(CONTROL!$C$15, $D$11, 100%, $F$11)</f>
        <v>28.864999999999998</v>
      </c>
      <c r="C747" s="8">
        <f>28.8702 * CHOOSE(CONTROL!$C$15, $D$11, 100%, $F$11)</f>
        <v>28.870200000000001</v>
      </c>
      <c r="D747" s="8">
        <f>28.8594 * CHOOSE( CONTROL!$C$15, $D$11, 100%, $F$11)</f>
        <v>28.859400000000001</v>
      </c>
      <c r="E747" s="12">
        <f>28.8628 * CHOOSE( CONTROL!$C$15, $D$11, 100%, $F$11)</f>
        <v>28.8628</v>
      </c>
      <c r="F747" s="4">
        <f>29.5139 * CHOOSE(CONTROL!$C$15, $D$11, 100%, $F$11)</f>
        <v>29.5139</v>
      </c>
      <c r="G747" s="8">
        <f>28.1856 * CHOOSE( CONTROL!$C$15, $D$11, 100%, $F$11)</f>
        <v>28.185600000000001</v>
      </c>
      <c r="H747" s="4">
        <f>29.0611 * CHOOSE(CONTROL!$C$15, $D$11, 100%, $F$11)</f>
        <v>29.0611</v>
      </c>
      <c r="I747" s="8">
        <f>27.833 * CHOOSE(CONTROL!$C$15, $D$11, 100%, $F$11)</f>
        <v>27.832999999999998</v>
      </c>
      <c r="J747" s="4">
        <f>27.6861 * CHOOSE(CONTROL!$C$15, $D$11, 100%, $F$11)</f>
        <v>27.6861</v>
      </c>
      <c r="K747" s="4"/>
      <c r="L747" s="9">
        <v>28.360600000000002</v>
      </c>
      <c r="M747" s="9">
        <v>11.6745</v>
      </c>
      <c r="N747" s="9">
        <v>4.7850000000000001</v>
      </c>
      <c r="O747" s="9">
        <v>0.36199999999999999</v>
      </c>
      <c r="P747" s="9">
        <v>1.2509999999999999</v>
      </c>
      <c r="Q747" s="9">
        <v>19.053000000000001</v>
      </c>
      <c r="R747" s="9"/>
      <c r="S747" s="11"/>
    </row>
    <row r="748" spans="1:19" ht="15.75">
      <c r="A748" s="13">
        <v>64284</v>
      </c>
      <c r="B748" s="8">
        <f>28.8126 * CHOOSE(CONTROL!$C$15, $D$11, 100%, $F$11)</f>
        <v>28.8126</v>
      </c>
      <c r="C748" s="8">
        <f>28.8177 * CHOOSE(CONTROL!$C$15, $D$11, 100%, $F$11)</f>
        <v>28.817699999999999</v>
      </c>
      <c r="D748" s="8">
        <f>28.8083 * CHOOSE( CONTROL!$C$15, $D$11, 100%, $F$11)</f>
        <v>28.808299999999999</v>
      </c>
      <c r="E748" s="12">
        <f>28.8112 * CHOOSE( CONTROL!$C$15, $D$11, 100%, $F$11)</f>
        <v>28.811199999999999</v>
      </c>
      <c r="F748" s="4">
        <f>29.4615 * CHOOSE(CONTROL!$C$15, $D$11, 100%, $F$11)</f>
        <v>29.461500000000001</v>
      </c>
      <c r="G748" s="8">
        <f>28.1354 * CHOOSE( CONTROL!$C$15, $D$11, 100%, $F$11)</f>
        <v>28.135400000000001</v>
      </c>
      <c r="H748" s="4">
        <f>29.0099 * CHOOSE(CONTROL!$C$15, $D$11, 100%, $F$11)</f>
        <v>29.009899999999998</v>
      </c>
      <c r="I748" s="8">
        <f>27.787 * CHOOSE(CONTROL!$C$15, $D$11, 100%, $F$11)</f>
        <v>27.786999999999999</v>
      </c>
      <c r="J748" s="4">
        <f>27.6358 * CHOOSE(CONTROL!$C$15, $D$11, 100%, $F$11)</f>
        <v>27.6358</v>
      </c>
      <c r="K748" s="4"/>
      <c r="L748" s="9">
        <v>29.306000000000001</v>
      </c>
      <c r="M748" s="9">
        <v>12.063700000000001</v>
      </c>
      <c r="N748" s="9">
        <v>4.9444999999999997</v>
      </c>
      <c r="O748" s="9">
        <v>0.37409999999999999</v>
      </c>
      <c r="P748" s="9">
        <v>1.2927</v>
      </c>
      <c r="Q748" s="9">
        <v>19.688099999999999</v>
      </c>
      <c r="R748" s="9"/>
      <c r="S748" s="11"/>
    </row>
    <row r="749" spans="1:19" ht="15.75">
      <c r="A749" s="13">
        <v>64315</v>
      </c>
      <c r="B749" s="8">
        <f>29.9127 * CHOOSE(CONTROL!$C$15, $D$11, 100%, $F$11)</f>
        <v>29.912700000000001</v>
      </c>
      <c r="C749" s="8">
        <f>29.9179 * CHOOSE(CONTROL!$C$15, $D$11, 100%, $F$11)</f>
        <v>29.917899999999999</v>
      </c>
      <c r="D749" s="8">
        <f>29.9043 * CHOOSE( CONTROL!$C$15, $D$11, 100%, $F$11)</f>
        <v>29.904299999999999</v>
      </c>
      <c r="E749" s="12">
        <f>29.9087 * CHOOSE( CONTROL!$C$15, $D$11, 100%, $F$11)</f>
        <v>29.9087</v>
      </c>
      <c r="F749" s="4">
        <f>30.5616 * CHOOSE(CONTROL!$C$15, $D$11, 100%, $F$11)</f>
        <v>30.561599999999999</v>
      </c>
      <c r="G749" s="8">
        <f>29.2036 * CHOOSE( CONTROL!$C$15, $D$11, 100%, $F$11)</f>
        <v>29.203600000000002</v>
      </c>
      <c r="H749" s="4">
        <f>30.0844 * CHOOSE(CONTROL!$C$15, $D$11, 100%, $F$11)</f>
        <v>30.084399999999999</v>
      </c>
      <c r="I749" s="8">
        <f>28.82 * CHOOSE(CONTROL!$C$15, $D$11, 100%, $F$11)</f>
        <v>28.82</v>
      </c>
      <c r="J749" s="4">
        <f>28.692 * CHOOSE(CONTROL!$C$15, $D$11, 100%, $F$11)</f>
        <v>28.692</v>
      </c>
      <c r="K749" s="4"/>
      <c r="L749" s="9">
        <v>29.306000000000001</v>
      </c>
      <c r="M749" s="9">
        <v>12.063700000000001</v>
      </c>
      <c r="N749" s="9">
        <v>4.9444999999999997</v>
      </c>
      <c r="O749" s="9">
        <v>0.37409999999999999</v>
      </c>
      <c r="P749" s="9">
        <v>1.2927</v>
      </c>
      <c r="Q749" s="9">
        <v>19.688099999999999</v>
      </c>
      <c r="R749" s="9"/>
      <c r="S749" s="11"/>
    </row>
    <row r="750" spans="1:19" ht="15.75">
      <c r="A750" s="13">
        <v>64344</v>
      </c>
      <c r="B750" s="8">
        <f>27.9807 * CHOOSE(CONTROL!$C$15, $D$11, 100%, $F$11)</f>
        <v>27.980699999999999</v>
      </c>
      <c r="C750" s="8">
        <f>27.9859 * CHOOSE(CONTROL!$C$15, $D$11, 100%, $F$11)</f>
        <v>27.985900000000001</v>
      </c>
      <c r="D750" s="8">
        <f>27.9724 * CHOOSE( CONTROL!$C$15, $D$11, 100%, $F$11)</f>
        <v>27.9724</v>
      </c>
      <c r="E750" s="12">
        <f>27.9768 * CHOOSE( CONTROL!$C$15, $D$11, 100%, $F$11)</f>
        <v>27.976800000000001</v>
      </c>
      <c r="F750" s="4">
        <f>28.6296 * CHOOSE(CONTROL!$C$15, $D$11, 100%, $F$11)</f>
        <v>28.6296</v>
      </c>
      <c r="G750" s="8">
        <f>27.3166 * CHOOSE( CONTROL!$C$15, $D$11, 100%, $F$11)</f>
        <v>27.316600000000001</v>
      </c>
      <c r="H750" s="4">
        <f>28.1974 * CHOOSE(CONTROL!$C$15, $D$11, 100%, $F$11)</f>
        <v>28.197399999999998</v>
      </c>
      <c r="I750" s="8">
        <f>26.9642 * CHOOSE(CONTROL!$C$15, $D$11, 100%, $F$11)</f>
        <v>26.964200000000002</v>
      </c>
      <c r="J750" s="4">
        <f>26.8371 * CHOOSE(CONTROL!$C$15, $D$11, 100%, $F$11)</f>
        <v>26.8371</v>
      </c>
      <c r="K750" s="4"/>
      <c r="L750" s="9">
        <v>27.415299999999998</v>
      </c>
      <c r="M750" s="9">
        <v>11.285299999999999</v>
      </c>
      <c r="N750" s="9">
        <v>4.6254999999999997</v>
      </c>
      <c r="O750" s="9">
        <v>0.34989999999999999</v>
      </c>
      <c r="P750" s="9">
        <v>1.2093</v>
      </c>
      <c r="Q750" s="9">
        <v>18.417899999999999</v>
      </c>
      <c r="R750" s="9"/>
      <c r="S750" s="11"/>
    </row>
    <row r="751" spans="1:19" ht="15.75">
      <c r="A751" s="13">
        <v>64375</v>
      </c>
      <c r="B751" s="8">
        <f>27.3857 * CHOOSE(CONTROL!$C$15, $D$11, 100%, $F$11)</f>
        <v>27.3857</v>
      </c>
      <c r="C751" s="8">
        <f>27.3908 * CHOOSE(CONTROL!$C$15, $D$11, 100%, $F$11)</f>
        <v>27.390799999999999</v>
      </c>
      <c r="D751" s="8">
        <f>27.377 * CHOOSE( CONTROL!$C$15, $D$11, 100%, $F$11)</f>
        <v>27.376999999999999</v>
      </c>
      <c r="E751" s="12">
        <f>27.3815 * CHOOSE( CONTROL!$C$15, $D$11, 100%, $F$11)</f>
        <v>27.381499999999999</v>
      </c>
      <c r="F751" s="4">
        <f>28.0346 * CHOOSE(CONTROL!$C$15, $D$11, 100%, $F$11)</f>
        <v>28.034600000000001</v>
      </c>
      <c r="G751" s="8">
        <f>26.7352 * CHOOSE( CONTROL!$C$15, $D$11, 100%, $F$11)</f>
        <v>26.735199999999999</v>
      </c>
      <c r="H751" s="4">
        <f>27.6162 * CHOOSE(CONTROL!$C$15, $D$11, 100%, $F$11)</f>
        <v>27.616199999999999</v>
      </c>
      <c r="I751" s="8">
        <f>26.3916 * CHOOSE(CONTROL!$C$15, $D$11, 100%, $F$11)</f>
        <v>26.3916</v>
      </c>
      <c r="J751" s="4">
        <f>26.2658 * CHOOSE(CONTROL!$C$15, $D$11, 100%, $F$11)</f>
        <v>26.265799999999999</v>
      </c>
      <c r="K751" s="4"/>
      <c r="L751" s="9">
        <v>29.306000000000001</v>
      </c>
      <c r="M751" s="9">
        <v>12.063700000000001</v>
      </c>
      <c r="N751" s="9">
        <v>4.9444999999999997</v>
      </c>
      <c r="O751" s="9">
        <v>0.37409999999999999</v>
      </c>
      <c r="P751" s="9">
        <v>1.2927</v>
      </c>
      <c r="Q751" s="9">
        <v>19.688099999999999</v>
      </c>
      <c r="R751" s="9"/>
      <c r="S751" s="11"/>
    </row>
    <row r="752" spans="1:19" ht="15.75">
      <c r="A752" s="13">
        <v>64405</v>
      </c>
      <c r="B752" s="8">
        <f>27.8022 * CHOOSE(CONTROL!$C$15, $D$11, 100%, $F$11)</f>
        <v>27.802199999999999</v>
      </c>
      <c r="C752" s="8">
        <f>27.8068 * CHOOSE(CONTROL!$C$15, $D$11, 100%, $F$11)</f>
        <v>27.806799999999999</v>
      </c>
      <c r="D752" s="8">
        <f>27.8331 * CHOOSE( CONTROL!$C$15, $D$11, 100%, $F$11)</f>
        <v>27.833100000000002</v>
      </c>
      <c r="E752" s="12">
        <f>27.8239 * CHOOSE( CONTROL!$C$15, $D$11, 100%, $F$11)</f>
        <v>27.823899999999998</v>
      </c>
      <c r="F752" s="4">
        <f>28.5014 * CHOOSE(CONTROL!$C$15, $D$11, 100%, $F$11)</f>
        <v>28.5014</v>
      </c>
      <c r="G752" s="8">
        <f>27.1414 * CHOOSE( CONTROL!$C$15, $D$11, 100%, $F$11)</f>
        <v>27.141400000000001</v>
      </c>
      <c r="H752" s="4">
        <f>28.0722 * CHOOSE(CONTROL!$C$15, $D$11, 100%, $F$11)</f>
        <v>28.072199999999999</v>
      </c>
      <c r="I752" s="8">
        <f>26.7829 * CHOOSE(CONTROL!$C$15, $D$11, 100%, $F$11)</f>
        <v>26.782900000000001</v>
      </c>
      <c r="J752" s="4">
        <f>26.665 * CHOOSE(CONTROL!$C$15, $D$11, 100%, $F$11)</f>
        <v>26.664999999999999</v>
      </c>
      <c r="K752" s="4"/>
      <c r="L752" s="9">
        <v>30.092199999999998</v>
      </c>
      <c r="M752" s="9">
        <v>11.6745</v>
      </c>
      <c r="N752" s="9">
        <v>4.7850000000000001</v>
      </c>
      <c r="O752" s="9">
        <v>0.36199999999999999</v>
      </c>
      <c r="P752" s="9">
        <v>1.1791</v>
      </c>
      <c r="Q752" s="9">
        <v>19.053000000000001</v>
      </c>
      <c r="R752" s="9"/>
      <c r="S752" s="11"/>
    </row>
    <row r="753" spans="1:19" ht="15.75">
      <c r="A753" s="13">
        <v>64436</v>
      </c>
      <c r="B753" s="8">
        <f>CHOOSE( CONTROL!$C$32, 28.5485, 28.5436) * CHOOSE(CONTROL!$C$15, $D$11, 100%, $F$11)</f>
        <v>28.548500000000001</v>
      </c>
      <c r="C753" s="8">
        <f>CHOOSE( CONTROL!$C$32, 28.5565, 28.5517) * CHOOSE(CONTROL!$C$15, $D$11, 100%, $F$11)</f>
        <v>28.5565</v>
      </c>
      <c r="D753" s="8">
        <f>CHOOSE( CONTROL!$C$32, 28.5779, 28.573) * CHOOSE( CONTROL!$C$15, $D$11, 100%, $F$11)</f>
        <v>28.5779</v>
      </c>
      <c r="E753" s="12">
        <f>CHOOSE( CONTROL!$C$32, 28.5689, 28.564) * CHOOSE( CONTROL!$C$15, $D$11, 100%, $F$11)</f>
        <v>28.568899999999999</v>
      </c>
      <c r="F753" s="4">
        <f>CHOOSE( CONTROL!$C$32, 29.2463, 29.2414) * CHOOSE(CONTROL!$C$15, $D$11, 100%, $F$11)</f>
        <v>29.246300000000002</v>
      </c>
      <c r="G753" s="8">
        <f>CHOOSE( CONTROL!$C$32, 27.8699, 27.8651) * CHOOSE( CONTROL!$C$15, $D$11, 100%, $F$11)</f>
        <v>27.869900000000001</v>
      </c>
      <c r="H753" s="4">
        <f>CHOOSE( CONTROL!$C$32, 28.7997, 28.795) * CHOOSE(CONTROL!$C$15, $D$11, 100%, $F$11)</f>
        <v>28.799700000000001</v>
      </c>
      <c r="I753" s="8">
        <f>CHOOSE( CONTROL!$C$32, 27.4983, 27.4937) * CHOOSE(CONTROL!$C$15, $D$11, 100%, $F$11)</f>
        <v>27.4983</v>
      </c>
      <c r="J753" s="4">
        <f>CHOOSE( CONTROL!$C$32, 27.3802, 27.3755) * CHOOSE(CONTROL!$C$15, $D$11, 100%, $F$11)</f>
        <v>27.380199999999999</v>
      </c>
      <c r="K753" s="4"/>
      <c r="L753" s="9">
        <v>30.7165</v>
      </c>
      <c r="M753" s="9">
        <v>12.063700000000001</v>
      </c>
      <c r="N753" s="9">
        <v>4.9444999999999997</v>
      </c>
      <c r="O753" s="9">
        <v>0.37409999999999999</v>
      </c>
      <c r="P753" s="9">
        <v>1.2183999999999999</v>
      </c>
      <c r="Q753" s="9">
        <v>19.688099999999999</v>
      </c>
      <c r="R753" s="9"/>
      <c r="S753" s="11"/>
    </row>
    <row r="754" spans="1:19" ht="15.75">
      <c r="A754" s="13">
        <v>64466</v>
      </c>
      <c r="B754" s="8">
        <f>CHOOSE( CONTROL!$C$32, 28.09, 28.0852) * CHOOSE(CONTROL!$C$15, $D$11, 100%, $F$11)</f>
        <v>28.09</v>
      </c>
      <c r="C754" s="8">
        <f>CHOOSE( CONTROL!$C$32, 28.0981, 28.0933) * CHOOSE(CONTROL!$C$15, $D$11, 100%, $F$11)</f>
        <v>28.098099999999999</v>
      </c>
      <c r="D754" s="8">
        <f>CHOOSE( CONTROL!$C$32, 28.1196, 28.1148) * CHOOSE( CONTROL!$C$15, $D$11, 100%, $F$11)</f>
        <v>28.119599999999998</v>
      </c>
      <c r="E754" s="12">
        <f>CHOOSE( CONTROL!$C$32, 28.1106, 28.1058) * CHOOSE( CONTROL!$C$15, $D$11, 100%, $F$11)</f>
        <v>28.110600000000002</v>
      </c>
      <c r="F754" s="4">
        <f>CHOOSE( CONTROL!$C$32, 28.7878, 28.783) * CHOOSE(CONTROL!$C$15, $D$11, 100%, $F$11)</f>
        <v>28.787800000000001</v>
      </c>
      <c r="G754" s="8">
        <f>CHOOSE( CONTROL!$C$32, 27.4224, 27.4177) * CHOOSE( CONTROL!$C$15, $D$11, 100%, $F$11)</f>
        <v>27.4224</v>
      </c>
      <c r="H754" s="4">
        <f>CHOOSE( CONTROL!$C$32, 28.352, 28.3472) * CHOOSE(CONTROL!$C$15, $D$11, 100%, $F$11)</f>
        <v>28.352</v>
      </c>
      <c r="I754" s="8">
        <f>CHOOSE( CONTROL!$C$32, 27.0589, 27.0543) * CHOOSE(CONTROL!$C$15, $D$11, 100%, $F$11)</f>
        <v>27.058900000000001</v>
      </c>
      <c r="J754" s="4">
        <f>CHOOSE( CONTROL!$C$32, 26.94, 26.9354) * CHOOSE(CONTROL!$C$15, $D$11, 100%, $F$11)</f>
        <v>26.94</v>
      </c>
      <c r="K754" s="4"/>
      <c r="L754" s="9">
        <v>29.7257</v>
      </c>
      <c r="M754" s="9">
        <v>11.6745</v>
      </c>
      <c r="N754" s="9">
        <v>4.7850000000000001</v>
      </c>
      <c r="O754" s="9">
        <v>0.36199999999999999</v>
      </c>
      <c r="P754" s="9">
        <v>1.1791</v>
      </c>
      <c r="Q754" s="9">
        <v>19.053000000000001</v>
      </c>
      <c r="R754" s="9"/>
      <c r="S754" s="11"/>
    </row>
    <row r="755" spans="1:19" ht="15.75">
      <c r="A755" s="13">
        <v>64497</v>
      </c>
      <c r="B755" s="8">
        <f>CHOOSE( CONTROL!$C$32, 29.2972, 29.2924) * CHOOSE(CONTROL!$C$15, $D$11, 100%, $F$11)</f>
        <v>29.2972</v>
      </c>
      <c r="C755" s="8">
        <f>CHOOSE( CONTROL!$C$32, 29.3053, 29.3005) * CHOOSE(CONTROL!$C$15, $D$11, 100%, $F$11)</f>
        <v>29.305299999999999</v>
      </c>
      <c r="D755" s="8">
        <f>CHOOSE( CONTROL!$C$32, 29.3271, 29.3222) * CHOOSE( CONTROL!$C$15, $D$11, 100%, $F$11)</f>
        <v>29.327100000000002</v>
      </c>
      <c r="E755" s="12">
        <f>CHOOSE( CONTROL!$C$32, 29.318, 29.3131) * CHOOSE( CONTROL!$C$15, $D$11, 100%, $F$11)</f>
        <v>29.318000000000001</v>
      </c>
      <c r="F755" s="4">
        <f>CHOOSE( CONTROL!$C$32, 29.995, 29.9902) * CHOOSE(CONTROL!$C$15, $D$11, 100%, $F$11)</f>
        <v>29.995000000000001</v>
      </c>
      <c r="G755" s="8">
        <f>CHOOSE( CONTROL!$C$32, 28.6018, 28.5971) * CHOOSE( CONTROL!$C$15, $D$11, 100%, $F$11)</f>
        <v>28.601800000000001</v>
      </c>
      <c r="H755" s="4">
        <f>CHOOSE( CONTROL!$C$32, 29.531, 29.5263) * CHOOSE(CONTROL!$C$15, $D$11, 100%, $F$11)</f>
        <v>29.530999999999999</v>
      </c>
      <c r="I755" s="8">
        <f>CHOOSE( CONTROL!$C$32, 28.2197, 28.215) * CHOOSE(CONTROL!$C$15, $D$11, 100%, $F$11)</f>
        <v>28.2197</v>
      </c>
      <c r="J755" s="4">
        <f>CHOOSE( CONTROL!$C$32, 28.0991, 28.0944) * CHOOSE(CONTROL!$C$15, $D$11, 100%, $F$11)</f>
        <v>28.0991</v>
      </c>
      <c r="K755" s="4"/>
      <c r="L755" s="9">
        <v>30.7165</v>
      </c>
      <c r="M755" s="9">
        <v>12.063700000000001</v>
      </c>
      <c r="N755" s="9">
        <v>4.9444999999999997</v>
      </c>
      <c r="O755" s="9">
        <v>0.37409999999999999</v>
      </c>
      <c r="P755" s="9">
        <v>1.2183999999999999</v>
      </c>
      <c r="Q755" s="9">
        <v>19.688099999999999</v>
      </c>
      <c r="R755" s="9"/>
      <c r="S755" s="11"/>
    </row>
    <row r="756" spans="1:19" ht="15.75">
      <c r="A756" s="13">
        <v>64528</v>
      </c>
      <c r="B756" s="8">
        <f>CHOOSE( CONTROL!$C$32, 27.0384, 27.0336) * CHOOSE(CONTROL!$C$15, $D$11, 100%, $F$11)</f>
        <v>27.038399999999999</v>
      </c>
      <c r="C756" s="8">
        <f>CHOOSE( CONTROL!$C$32, 27.0465, 27.0417) * CHOOSE(CONTROL!$C$15, $D$11, 100%, $F$11)</f>
        <v>27.046500000000002</v>
      </c>
      <c r="D756" s="8">
        <f>CHOOSE( CONTROL!$C$32, 27.0683, 27.0635) * CHOOSE( CONTROL!$C$15, $D$11, 100%, $F$11)</f>
        <v>27.068300000000001</v>
      </c>
      <c r="E756" s="12">
        <f>CHOOSE( CONTROL!$C$32, 27.0592, 27.0544) * CHOOSE( CONTROL!$C$15, $D$11, 100%, $F$11)</f>
        <v>27.059200000000001</v>
      </c>
      <c r="F756" s="4">
        <f>CHOOSE( CONTROL!$C$32, 27.7362, 27.7314) * CHOOSE(CONTROL!$C$15, $D$11, 100%, $F$11)</f>
        <v>27.7362</v>
      </c>
      <c r="G756" s="8">
        <f>CHOOSE( CONTROL!$C$32, 26.3957, 26.391) * CHOOSE( CONTROL!$C$15, $D$11, 100%, $F$11)</f>
        <v>26.395700000000001</v>
      </c>
      <c r="H756" s="4">
        <f>CHOOSE( CONTROL!$C$32, 27.3249, 27.3201) * CHOOSE(CONTROL!$C$15, $D$11, 100%, $F$11)</f>
        <v>27.3249</v>
      </c>
      <c r="I756" s="8">
        <f>CHOOSE( CONTROL!$C$32, 26.0502, 26.0455) * CHOOSE(CONTROL!$C$15, $D$11, 100%, $F$11)</f>
        <v>26.0502</v>
      </c>
      <c r="J756" s="4">
        <f>CHOOSE( CONTROL!$C$32, 25.9304, 25.9257) * CHOOSE(CONTROL!$C$15, $D$11, 100%, $F$11)</f>
        <v>25.930399999999999</v>
      </c>
      <c r="K756" s="4"/>
      <c r="L756" s="9">
        <v>30.7165</v>
      </c>
      <c r="M756" s="9">
        <v>12.063700000000001</v>
      </c>
      <c r="N756" s="9">
        <v>4.9444999999999997</v>
      </c>
      <c r="O756" s="9">
        <v>0.37409999999999999</v>
      </c>
      <c r="P756" s="9">
        <v>1.2183999999999999</v>
      </c>
      <c r="Q756" s="9">
        <v>19.688099999999999</v>
      </c>
      <c r="R756" s="9"/>
      <c r="S756" s="11"/>
    </row>
    <row r="757" spans="1:19" ht="15.75">
      <c r="A757" s="13">
        <v>64558</v>
      </c>
      <c r="B757" s="8">
        <f>CHOOSE( CONTROL!$C$32, 26.4728, 26.468) * CHOOSE(CONTROL!$C$15, $D$11, 100%, $F$11)</f>
        <v>26.472799999999999</v>
      </c>
      <c r="C757" s="8">
        <f>CHOOSE( CONTROL!$C$32, 26.4809, 26.476) * CHOOSE(CONTROL!$C$15, $D$11, 100%, $F$11)</f>
        <v>26.480899999999998</v>
      </c>
      <c r="D757" s="8">
        <f>CHOOSE( CONTROL!$C$32, 26.5027, 26.4978) * CHOOSE( CONTROL!$C$15, $D$11, 100%, $F$11)</f>
        <v>26.502700000000001</v>
      </c>
      <c r="E757" s="12">
        <f>CHOOSE( CONTROL!$C$32, 26.4936, 26.4887) * CHOOSE( CONTROL!$C$15, $D$11, 100%, $F$11)</f>
        <v>26.493600000000001</v>
      </c>
      <c r="F757" s="4">
        <f>CHOOSE( CONTROL!$C$32, 27.1706, 27.1658) * CHOOSE(CONTROL!$C$15, $D$11, 100%, $F$11)</f>
        <v>27.1706</v>
      </c>
      <c r="G757" s="8">
        <f>CHOOSE( CONTROL!$C$32, 25.8433, 25.8385) * CHOOSE( CONTROL!$C$15, $D$11, 100%, $F$11)</f>
        <v>25.843299999999999</v>
      </c>
      <c r="H757" s="4">
        <f>CHOOSE( CONTROL!$C$32, 26.7724, 26.7677) * CHOOSE(CONTROL!$C$15, $D$11, 100%, $F$11)</f>
        <v>26.772400000000001</v>
      </c>
      <c r="I757" s="8">
        <f>CHOOSE( CONTROL!$C$32, 25.5068, 25.5021) * CHOOSE(CONTROL!$C$15, $D$11, 100%, $F$11)</f>
        <v>25.506799999999998</v>
      </c>
      <c r="J757" s="4">
        <f>CHOOSE( CONTROL!$C$32, 25.3873, 25.3827) * CHOOSE(CONTROL!$C$15, $D$11, 100%, $F$11)</f>
        <v>25.3873</v>
      </c>
      <c r="K757" s="4"/>
      <c r="L757" s="9">
        <v>29.7257</v>
      </c>
      <c r="M757" s="9">
        <v>11.6745</v>
      </c>
      <c r="N757" s="9">
        <v>4.7850000000000001</v>
      </c>
      <c r="O757" s="9">
        <v>0.36199999999999999</v>
      </c>
      <c r="P757" s="9">
        <v>1.1791</v>
      </c>
      <c r="Q757" s="9">
        <v>19.053000000000001</v>
      </c>
      <c r="R757" s="9"/>
      <c r="S757" s="11"/>
    </row>
    <row r="758" spans="1:19" ht="15.75">
      <c r="A758" s="13">
        <v>64589</v>
      </c>
      <c r="B758" s="8">
        <f>27.6407 * CHOOSE(CONTROL!$C$15, $D$11, 100%, $F$11)</f>
        <v>27.640699999999999</v>
      </c>
      <c r="C758" s="8">
        <f>27.6461 * CHOOSE(CONTROL!$C$15, $D$11, 100%, $F$11)</f>
        <v>27.646100000000001</v>
      </c>
      <c r="D758" s="8">
        <f>27.6726 * CHOOSE( CONTROL!$C$15, $D$11, 100%, $F$11)</f>
        <v>27.672599999999999</v>
      </c>
      <c r="E758" s="12">
        <f>27.6633 * CHOOSE( CONTROL!$C$15, $D$11, 100%, $F$11)</f>
        <v>27.6633</v>
      </c>
      <c r="F758" s="4">
        <f>28.3402 * CHOOSE(CONTROL!$C$15, $D$11, 100%, $F$11)</f>
        <v>28.340199999999999</v>
      </c>
      <c r="G758" s="8">
        <f>26.9849 * CHOOSE( CONTROL!$C$15, $D$11, 100%, $F$11)</f>
        <v>26.9849</v>
      </c>
      <c r="H758" s="4">
        <f>27.9148 * CHOOSE(CONTROL!$C$15, $D$11, 100%, $F$11)</f>
        <v>27.9148</v>
      </c>
      <c r="I758" s="8">
        <f>26.631 * CHOOSE(CONTROL!$C$15, $D$11, 100%, $F$11)</f>
        <v>26.631</v>
      </c>
      <c r="J758" s="4">
        <f>26.5103 * CHOOSE(CONTROL!$C$15, $D$11, 100%, $F$11)</f>
        <v>26.510300000000001</v>
      </c>
      <c r="K758" s="4"/>
      <c r="L758" s="9">
        <v>31.095300000000002</v>
      </c>
      <c r="M758" s="9">
        <v>12.063700000000001</v>
      </c>
      <c r="N758" s="9">
        <v>4.9444999999999997</v>
      </c>
      <c r="O758" s="9">
        <v>0.37409999999999999</v>
      </c>
      <c r="P758" s="9">
        <v>1.2183999999999999</v>
      </c>
      <c r="Q758" s="9">
        <v>19.688099999999999</v>
      </c>
      <c r="R758" s="9"/>
      <c r="S758" s="11"/>
    </row>
    <row r="759" spans="1:19" ht="15.75">
      <c r="A759" s="13">
        <v>64619</v>
      </c>
      <c r="B759" s="8">
        <f>29.8081 * CHOOSE(CONTROL!$C$15, $D$11, 100%, $F$11)</f>
        <v>29.8081</v>
      </c>
      <c r="C759" s="8">
        <f>29.8133 * CHOOSE(CONTROL!$C$15, $D$11, 100%, $F$11)</f>
        <v>29.813300000000002</v>
      </c>
      <c r="D759" s="8">
        <f>29.8025 * CHOOSE( CONTROL!$C$15, $D$11, 100%, $F$11)</f>
        <v>29.802499999999998</v>
      </c>
      <c r="E759" s="12">
        <f>29.8059 * CHOOSE( CONTROL!$C$15, $D$11, 100%, $F$11)</f>
        <v>29.805900000000001</v>
      </c>
      <c r="F759" s="4">
        <f>30.457 * CHOOSE(CONTROL!$C$15, $D$11, 100%, $F$11)</f>
        <v>30.457000000000001</v>
      </c>
      <c r="G759" s="8">
        <f>29.1067 * CHOOSE( CONTROL!$C$15, $D$11, 100%, $F$11)</f>
        <v>29.1067</v>
      </c>
      <c r="H759" s="4">
        <f>29.9822 * CHOOSE(CONTROL!$C$15, $D$11, 100%, $F$11)</f>
        <v>29.982199999999999</v>
      </c>
      <c r="I759" s="8">
        <f>28.7389 * CHOOSE(CONTROL!$C$15, $D$11, 100%, $F$11)</f>
        <v>28.738900000000001</v>
      </c>
      <c r="J759" s="4">
        <f>28.5916 * CHOOSE(CONTROL!$C$15, $D$11, 100%, $F$11)</f>
        <v>28.5916</v>
      </c>
      <c r="K759" s="4"/>
      <c r="L759" s="9">
        <v>28.360600000000002</v>
      </c>
      <c r="M759" s="9">
        <v>11.6745</v>
      </c>
      <c r="N759" s="9">
        <v>4.7850000000000001</v>
      </c>
      <c r="O759" s="9">
        <v>0.36199999999999999</v>
      </c>
      <c r="P759" s="9">
        <v>1.2509999999999999</v>
      </c>
      <c r="Q759" s="9">
        <v>19.053000000000001</v>
      </c>
      <c r="R759" s="9"/>
      <c r="S759" s="11"/>
    </row>
    <row r="760" spans="1:19" ht="15.75">
      <c r="A760" s="13">
        <v>64650</v>
      </c>
      <c r="B760" s="8">
        <f>29.7539 * CHOOSE(CONTROL!$C$15, $D$11, 100%, $F$11)</f>
        <v>29.753900000000002</v>
      </c>
      <c r="C760" s="8">
        <f>29.7591 * CHOOSE(CONTROL!$C$15, $D$11, 100%, $F$11)</f>
        <v>29.7591</v>
      </c>
      <c r="D760" s="8">
        <f>29.7497 * CHOOSE( CONTROL!$C$15, $D$11, 100%, $F$11)</f>
        <v>29.749700000000001</v>
      </c>
      <c r="E760" s="12">
        <f>29.7526 * CHOOSE( CONTROL!$C$15, $D$11, 100%, $F$11)</f>
        <v>29.752600000000001</v>
      </c>
      <c r="F760" s="4">
        <f>30.4028 * CHOOSE(CONTROL!$C$15, $D$11, 100%, $F$11)</f>
        <v>30.402799999999999</v>
      </c>
      <c r="G760" s="8">
        <f>29.0548 * CHOOSE( CONTROL!$C$15, $D$11, 100%, $F$11)</f>
        <v>29.0548</v>
      </c>
      <c r="H760" s="4">
        <f>29.9293 * CHOOSE(CONTROL!$C$15, $D$11, 100%, $F$11)</f>
        <v>29.929300000000001</v>
      </c>
      <c r="I760" s="8">
        <f>28.6912 * CHOOSE(CONTROL!$C$15, $D$11, 100%, $F$11)</f>
        <v>28.691199999999998</v>
      </c>
      <c r="J760" s="4">
        <f>28.5396 * CHOOSE(CONTROL!$C$15, $D$11, 100%, $F$11)</f>
        <v>28.5396</v>
      </c>
      <c r="K760" s="4"/>
      <c r="L760" s="9">
        <v>29.306000000000001</v>
      </c>
      <c r="M760" s="9">
        <v>12.063700000000001</v>
      </c>
      <c r="N760" s="9">
        <v>4.9444999999999997</v>
      </c>
      <c r="O760" s="9">
        <v>0.37409999999999999</v>
      </c>
      <c r="P760" s="9">
        <v>1.2927</v>
      </c>
      <c r="Q760" s="9">
        <v>19.688099999999999</v>
      </c>
      <c r="R760" s="9"/>
      <c r="S760" s="11"/>
    </row>
    <row r="761" spans="1:19" ht="15.75">
      <c r="A761" s="13">
        <v>64681</v>
      </c>
      <c r="B761" s="8">
        <f>30.89 * CHOOSE(CONTROL!$C$15, $D$11, 100%, $F$11)</f>
        <v>30.89</v>
      </c>
      <c r="C761" s="8">
        <f>30.8952 * CHOOSE(CONTROL!$C$15, $D$11, 100%, $F$11)</f>
        <v>30.895199999999999</v>
      </c>
      <c r="D761" s="8">
        <f>30.8817 * CHOOSE( CONTROL!$C$15, $D$11, 100%, $F$11)</f>
        <v>30.881699999999999</v>
      </c>
      <c r="E761" s="12">
        <f>30.8861 * CHOOSE( CONTROL!$C$15, $D$11, 100%, $F$11)</f>
        <v>30.886099999999999</v>
      </c>
      <c r="F761" s="4">
        <f>31.5389 * CHOOSE(CONTROL!$C$15, $D$11, 100%, $F$11)</f>
        <v>31.538900000000002</v>
      </c>
      <c r="G761" s="8">
        <f>30.1582 * CHOOSE( CONTROL!$C$15, $D$11, 100%, $F$11)</f>
        <v>30.158200000000001</v>
      </c>
      <c r="H761" s="4">
        <f>31.0389 * CHOOSE(CONTROL!$C$15, $D$11, 100%, $F$11)</f>
        <v>31.038900000000002</v>
      </c>
      <c r="I761" s="8">
        <f>29.7588 * CHOOSE(CONTROL!$C$15, $D$11, 100%, $F$11)</f>
        <v>29.758800000000001</v>
      </c>
      <c r="J761" s="4">
        <f>29.6303 * CHOOSE(CONTROL!$C$15, $D$11, 100%, $F$11)</f>
        <v>29.630299999999998</v>
      </c>
      <c r="K761" s="4"/>
      <c r="L761" s="9">
        <v>29.306000000000001</v>
      </c>
      <c r="M761" s="9">
        <v>12.063700000000001</v>
      </c>
      <c r="N761" s="9">
        <v>4.9444999999999997</v>
      </c>
      <c r="O761" s="9">
        <v>0.37409999999999999</v>
      </c>
      <c r="P761" s="9">
        <v>1.2927</v>
      </c>
      <c r="Q761" s="9">
        <v>19.688099999999999</v>
      </c>
      <c r="R761" s="9"/>
      <c r="S761" s="11"/>
    </row>
    <row r="762" spans="1:19" ht="15.75">
      <c r="A762" s="13">
        <v>64709</v>
      </c>
      <c r="B762" s="8">
        <f>28.8948 * CHOOSE(CONTROL!$C$15, $D$11, 100%, $F$11)</f>
        <v>28.8948</v>
      </c>
      <c r="C762" s="8">
        <f>28.9 * CHOOSE(CONTROL!$C$15, $D$11, 100%, $F$11)</f>
        <v>28.9</v>
      </c>
      <c r="D762" s="8">
        <f>28.8865 * CHOOSE( CONTROL!$C$15, $D$11, 100%, $F$11)</f>
        <v>28.886500000000002</v>
      </c>
      <c r="E762" s="12">
        <f>28.8909 * CHOOSE( CONTROL!$C$15, $D$11, 100%, $F$11)</f>
        <v>28.890899999999998</v>
      </c>
      <c r="F762" s="4">
        <f>29.5438 * CHOOSE(CONTROL!$C$15, $D$11, 100%, $F$11)</f>
        <v>29.543800000000001</v>
      </c>
      <c r="G762" s="8">
        <f>28.2095 * CHOOSE( CONTROL!$C$15, $D$11, 100%, $F$11)</f>
        <v>28.209499999999998</v>
      </c>
      <c r="H762" s="4">
        <f>29.0903 * CHOOSE(CONTROL!$C$15, $D$11, 100%, $F$11)</f>
        <v>29.090299999999999</v>
      </c>
      <c r="I762" s="8">
        <f>27.8423 * CHOOSE(CONTROL!$C$15, $D$11, 100%, $F$11)</f>
        <v>27.842300000000002</v>
      </c>
      <c r="J762" s="4">
        <f>27.7148 * CHOOSE(CONTROL!$C$15, $D$11, 100%, $F$11)</f>
        <v>27.7148</v>
      </c>
      <c r="K762" s="4"/>
      <c r="L762" s="9">
        <v>26.469899999999999</v>
      </c>
      <c r="M762" s="9">
        <v>10.8962</v>
      </c>
      <c r="N762" s="9">
        <v>4.4660000000000002</v>
      </c>
      <c r="O762" s="9">
        <v>0.33789999999999998</v>
      </c>
      <c r="P762" s="9">
        <v>1.1676</v>
      </c>
      <c r="Q762" s="9">
        <v>17.782800000000002</v>
      </c>
      <c r="R762" s="9"/>
      <c r="S762" s="11"/>
    </row>
    <row r="763" spans="1:19" ht="15.75">
      <c r="A763" s="13">
        <v>64740</v>
      </c>
      <c r="B763" s="8">
        <f>28.2803 * CHOOSE(CONTROL!$C$15, $D$11, 100%, $F$11)</f>
        <v>28.2803</v>
      </c>
      <c r="C763" s="8">
        <f>28.2855 * CHOOSE(CONTROL!$C$15, $D$11, 100%, $F$11)</f>
        <v>28.285499999999999</v>
      </c>
      <c r="D763" s="8">
        <f>28.2717 * CHOOSE( CONTROL!$C$15, $D$11, 100%, $F$11)</f>
        <v>28.271699999999999</v>
      </c>
      <c r="E763" s="12">
        <f>28.2762 * CHOOSE( CONTROL!$C$15, $D$11, 100%, $F$11)</f>
        <v>28.276199999999999</v>
      </c>
      <c r="F763" s="4">
        <f>28.9293 * CHOOSE(CONTROL!$C$15, $D$11, 100%, $F$11)</f>
        <v>28.929300000000001</v>
      </c>
      <c r="G763" s="8">
        <f>27.6091 * CHOOSE( CONTROL!$C$15, $D$11, 100%, $F$11)</f>
        <v>27.609100000000002</v>
      </c>
      <c r="H763" s="4">
        <f>28.4901 * CHOOSE(CONTROL!$C$15, $D$11, 100%, $F$11)</f>
        <v>28.490100000000002</v>
      </c>
      <c r="I763" s="8">
        <f>27.251 * CHOOSE(CONTROL!$C$15, $D$11, 100%, $F$11)</f>
        <v>27.251000000000001</v>
      </c>
      <c r="J763" s="4">
        <f>27.1248 * CHOOSE(CONTROL!$C$15, $D$11, 100%, $F$11)</f>
        <v>27.1248</v>
      </c>
      <c r="K763" s="4"/>
      <c r="L763" s="9">
        <v>29.306000000000001</v>
      </c>
      <c r="M763" s="9">
        <v>12.063700000000001</v>
      </c>
      <c r="N763" s="9">
        <v>4.9444999999999997</v>
      </c>
      <c r="O763" s="9">
        <v>0.37409999999999999</v>
      </c>
      <c r="P763" s="9">
        <v>1.2927</v>
      </c>
      <c r="Q763" s="9">
        <v>19.688099999999999</v>
      </c>
      <c r="R763" s="9"/>
      <c r="S763" s="11"/>
    </row>
    <row r="764" spans="1:19" ht="15.75">
      <c r="A764" s="13">
        <v>64770</v>
      </c>
      <c r="B764" s="8">
        <f>28.7105 * CHOOSE(CONTROL!$C$15, $D$11, 100%, $F$11)</f>
        <v>28.7105</v>
      </c>
      <c r="C764" s="8">
        <f>28.7151 * CHOOSE(CONTROL!$C$15, $D$11, 100%, $F$11)</f>
        <v>28.7151</v>
      </c>
      <c r="D764" s="8">
        <f>28.7414 * CHOOSE( CONTROL!$C$15, $D$11, 100%, $F$11)</f>
        <v>28.741399999999999</v>
      </c>
      <c r="E764" s="12">
        <f>28.7322 * CHOOSE( CONTROL!$C$15, $D$11, 100%, $F$11)</f>
        <v>28.732199999999999</v>
      </c>
      <c r="F764" s="4">
        <f>29.4097 * CHOOSE(CONTROL!$C$15, $D$11, 100%, $F$11)</f>
        <v>29.409700000000001</v>
      </c>
      <c r="G764" s="8">
        <f>28.0285 * CHOOSE( CONTROL!$C$15, $D$11, 100%, $F$11)</f>
        <v>28.028500000000001</v>
      </c>
      <c r="H764" s="4">
        <f>28.9593 * CHOOSE(CONTROL!$C$15, $D$11, 100%, $F$11)</f>
        <v>28.959299999999999</v>
      </c>
      <c r="I764" s="8">
        <f>27.6554 * CHOOSE(CONTROL!$C$15, $D$11, 100%, $F$11)</f>
        <v>27.6554</v>
      </c>
      <c r="J764" s="4">
        <f>27.5371 * CHOOSE(CONTROL!$C$15, $D$11, 100%, $F$11)</f>
        <v>27.537099999999999</v>
      </c>
      <c r="K764" s="4"/>
      <c r="L764" s="9">
        <v>30.092199999999998</v>
      </c>
      <c r="M764" s="9">
        <v>11.6745</v>
      </c>
      <c r="N764" s="9">
        <v>4.7850000000000001</v>
      </c>
      <c r="O764" s="9">
        <v>0.36199999999999999</v>
      </c>
      <c r="P764" s="9">
        <v>1.1791</v>
      </c>
      <c r="Q764" s="9">
        <v>19.053000000000001</v>
      </c>
      <c r="R764" s="9"/>
      <c r="S764" s="11"/>
    </row>
    <row r="765" spans="1:19" ht="15.75">
      <c r="A765" s="13">
        <v>64801</v>
      </c>
      <c r="B765" s="8">
        <f>CHOOSE( CONTROL!$C$32, 29.4809, 29.4761) * CHOOSE(CONTROL!$C$15, $D$11, 100%, $F$11)</f>
        <v>29.480899999999998</v>
      </c>
      <c r="C765" s="8">
        <f>CHOOSE( CONTROL!$C$32, 29.489, 29.4842) * CHOOSE(CONTROL!$C$15, $D$11, 100%, $F$11)</f>
        <v>29.489000000000001</v>
      </c>
      <c r="D765" s="8">
        <f>CHOOSE( CONTROL!$C$32, 29.5103, 29.5055) * CHOOSE( CONTROL!$C$15, $D$11, 100%, $F$11)</f>
        <v>29.510300000000001</v>
      </c>
      <c r="E765" s="12">
        <f>CHOOSE( CONTROL!$C$32, 29.5013, 29.4965) * CHOOSE( CONTROL!$C$15, $D$11, 100%, $F$11)</f>
        <v>29.501300000000001</v>
      </c>
      <c r="F765" s="4">
        <f>CHOOSE( CONTROL!$C$32, 30.1788, 30.1739) * CHOOSE(CONTROL!$C$15, $D$11, 100%, $F$11)</f>
        <v>30.178799999999999</v>
      </c>
      <c r="G765" s="8">
        <f>CHOOSE( CONTROL!$C$32, 28.7806, 28.7759) * CHOOSE( CONTROL!$C$15, $D$11, 100%, $F$11)</f>
        <v>28.7806</v>
      </c>
      <c r="H765" s="4">
        <f>CHOOSE( CONTROL!$C$32, 29.7105, 29.7058) * CHOOSE(CONTROL!$C$15, $D$11, 100%, $F$11)</f>
        <v>29.7105</v>
      </c>
      <c r="I765" s="8">
        <f>CHOOSE( CONTROL!$C$32, 28.3941, 28.3894) * CHOOSE(CONTROL!$C$15, $D$11, 100%, $F$11)</f>
        <v>28.394100000000002</v>
      </c>
      <c r="J765" s="4">
        <f>CHOOSE( CONTROL!$C$32, 28.2754, 28.2708) * CHOOSE(CONTROL!$C$15, $D$11, 100%, $F$11)</f>
        <v>28.275400000000001</v>
      </c>
      <c r="K765" s="4"/>
      <c r="L765" s="9">
        <v>30.7165</v>
      </c>
      <c r="M765" s="9">
        <v>12.063700000000001</v>
      </c>
      <c r="N765" s="9">
        <v>4.9444999999999997</v>
      </c>
      <c r="O765" s="9">
        <v>0.37409999999999999</v>
      </c>
      <c r="P765" s="9">
        <v>1.2183999999999999</v>
      </c>
      <c r="Q765" s="9">
        <v>19.688099999999999</v>
      </c>
      <c r="R765" s="9"/>
      <c r="S765" s="11"/>
    </row>
    <row r="766" spans="1:19" ht="15.75">
      <c r="A766" s="13">
        <v>64831</v>
      </c>
      <c r="B766" s="8">
        <f>CHOOSE( CONTROL!$C$32, 29.0075, 29.0027) * CHOOSE(CONTROL!$C$15, $D$11, 100%, $F$11)</f>
        <v>29.0075</v>
      </c>
      <c r="C766" s="8">
        <f>CHOOSE( CONTROL!$C$32, 29.0156, 29.0108) * CHOOSE(CONTROL!$C$15, $D$11, 100%, $F$11)</f>
        <v>29.015599999999999</v>
      </c>
      <c r="D766" s="8">
        <f>CHOOSE( CONTROL!$C$32, 29.0371, 29.0323) * CHOOSE( CONTROL!$C$15, $D$11, 100%, $F$11)</f>
        <v>29.037099999999999</v>
      </c>
      <c r="E766" s="12">
        <f>CHOOSE( CONTROL!$C$32, 29.0281, 29.0233) * CHOOSE( CONTROL!$C$15, $D$11, 100%, $F$11)</f>
        <v>29.028099999999998</v>
      </c>
      <c r="F766" s="4">
        <f>CHOOSE( CONTROL!$C$32, 29.7053, 29.7005) * CHOOSE(CONTROL!$C$15, $D$11, 100%, $F$11)</f>
        <v>29.705300000000001</v>
      </c>
      <c r="G766" s="8">
        <f>CHOOSE( CONTROL!$C$32, 28.3185, 28.3138) * CHOOSE( CONTROL!$C$15, $D$11, 100%, $F$11)</f>
        <v>28.3185</v>
      </c>
      <c r="H766" s="4">
        <f>CHOOSE( CONTROL!$C$32, 29.2481, 29.2434) * CHOOSE(CONTROL!$C$15, $D$11, 100%, $F$11)</f>
        <v>29.248100000000001</v>
      </c>
      <c r="I766" s="8">
        <f>CHOOSE( CONTROL!$C$32, 27.9402, 27.9356) * CHOOSE(CONTROL!$C$15, $D$11, 100%, $F$11)</f>
        <v>27.940200000000001</v>
      </c>
      <c r="J766" s="4">
        <f>CHOOSE( CONTROL!$C$32, 27.8209, 27.8163) * CHOOSE(CONTROL!$C$15, $D$11, 100%, $F$11)</f>
        <v>27.820900000000002</v>
      </c>
      <c r="K766" s="4"/>
      <c r="L766" s="9">
        <v>29.7257</v>
      </c>
      <c r="M766" s="9">
        <v>11.6745</v>
      </c>
      <c r="N766" s="9">
        <v>4.7850000000000001</v>
      </c>
      <c r="O766" s="9">
        <v>0.36199999999999999</v>
      </c>
      <c r="P766" s="9">
        <v>1.1791</v>
      </c>
      <c r="Q766" s="9">
        <v>19.053000000000001</v>
      </c>
      <c r="R766" s="9"/>
      <c r="S766" s="11"/>
    </row>
    <row r="767" spans="1:19" ht="15.75">
      <c r="A767" s="13">
        <v>64862</v>
      </c>
      <c r="B767" s="8">
        <f>CHOOSE( CONTROL!$C$32, 30.2542, 30.2494) * CHOOSE(CONTROL!$C$15, $D$11, 100%, $F$11)</f>
        <v>30.254200000000001</v>
      </c>
      <c r="C767" s="8">
        <f>CHOOSE( CONTROL!$C$32, 30.2623, 30.2575) * CHOOSE(CONTROL!$C$15, $D$11, 100%, $F$11)</f>
        <v>30.2623</v>
      </c>
      <c r="D767" s="8">
        <f>CHOOSE( CONTROL!$C$32, 30.284, 30.2792) * CHOOSE( CONTROL!$C$15, $D$11, 100%, $F$11)</f>
        <v>30.283999999999999</v>
      </c>
      <c r="E767" s="12">
        <f>CHOOSE( CONTROL!$C$32, 30.2749, 30.2701) * CHOOSE( CONTROL!$C$15, $D$11, 100%, $F$11)</f>
        <v>30.274899999999999</v>
      </c>
      <c r="F767" s="4">
        <f>CHOOSE( CONTROL!$C$32, 30.952, 30.9472) * CHOOSE(CONTROL!$C$15, $D$11, 100%, $F$11)</f>
        <v>30.952000000000002</v>
      </c>
      <c r="G767" s="8">
        <f>CHOOSE( CONTROL!$C$32, 29.5365, 29.5318) * CHOOSE( CONTROL!$C$15, $D$11, 100%, $F$11)</f>
        <v>29.5365</v>
      </c>
      <c r="H767" s="4">
        <f>CHOOSE( CONTROL!$C$32, 30.4657, 30.461) * CHOOSE(CONTROL!$C$15, $D$11, 100%, $F$11)</f>
        <v>30.465699999999998</v>
      </c>
      <c r="I767" s="8">
        <f>CHOOSE( CONTROL!$C$32, 29.1389, 29.1343) * CHOOSE(CONTROL!$C$15, $D$11, 100%, $F$11)</f>
        <v>29.1389</v>
      </c>
      <c r="J767" s="4">
        <f>CHOOSE( CONTROL!$C$32, 29.0178, 29.0132) * CHOOSE(CONTROL!$C$15, $D$11, 100%, $F$11)</f>
        <v>29.017800000000001</v>
      </c>
      <c r="K767" s="4"/>
      <c r="L767" s="9">
        <v>30.7165</v>
      </c>
      <c r="M767" s="9">
        <v>12.063700000000001</v>
      </c>
      <c r="N767" s="9">
        <v>4.9444999999999997</v>
      </c>
      <c r="O767" s="9">
        <v>0.37409999999999999</v>
      </c>
      <c r="P767" s="9">
        <v>1.2183999999999999</v>
      </c>
      <c r="Q767" s="9">
        <v>19.688099999999999</v>
      </c>
      <c r="R767" s="9"/>
      <c r="S767" s="11"/>
    </row>
    <row r="768" spans="1:19" ht="15.75">
      <c r="A768" s="13">
        <v>64893</v>
      </c>
      <c r="B768" s="8">
        <f>CHOOSE( CONTROL!$C$32, 27.9215, 27.9167) * CHOOSE(CONTROL!$C$15, $D$11, 100%, $F$11)</f>
        <v>27.921500000000002</v>
      </c>
      <c r="C768" s="8">
        <f>CHOOSE( CONTROL!$C$32, 27.9296, 27.9248) * CHOOSE(CONTROL!$C$15, $D$11, 100%, $F$11)</f>
        <v>27.929600000000001</v>
      </c>
      <c r="D768" s="8">
        <f>CHOOSE( CONTROL!$C$32, 27.9514, 27.9466) * CHOOSE( CONTROL!$C$15, $D$11, 100%, $F$11)</f>
        <v>27.9514</v>
      </c>
      <c r="E768" s="12">
        <f>CHOOSE( CONTROL!$C$32, 27.9423, 27.9375) * CHOOSE( CONTROL!$C$15, $D$11, 100%, $F$11)</f>
        <v>27.942299999999999</v>
      </c>
      <c r="F768" s="4">
        <f>CHOOSE( CONTROL!$C$32, 28.6193, 28.6145) * CHOOSE(CONTROL!$C$15, $D$11, 100%, $F$11)</f>
        <v>28.619299999999999</v>
      </c>
      <c r="G768" s="8">
        <f>CHOOSE( CONTROL!$C$32, 27.2583, 27.2535) * CHOOSE( CONTROL!$C$15, $D$11, 100%, $F$11)</f>
        <v>27.258299999999998</v>
      </c>
      <c r="H768" s="4">
        <f>CHOOSE( CONTROL!$C$32, 28.1874, 28.1827) * CHOOSE(CONTROL!$C$15, $D$11, 100%, $F$11)</f>
        <v>28.1874</v>
      </c>
      <c r="I768" s="8">
        <f>CHOOSE( CONTROL!$C$32, 26.8985, 26.8938) * CHOOSE(CONTROL!$C$15, $D$11, 100%, $F$11)</f>
        <v>26.898499999999999</v>
      </c>
      <c r="J768" s="4">
        <f>CHOOSE( CONTROL!$C$32, 26.7782, 26.7736) * CHOOSE(CONTROL!$C$15, $D$11, 100%, $F$11)</f>
        <v>26.778199999999998</v>
      </c>
      <c r="K768" s="4"/>
      <c r="L768" s="9">
        <v>30.7165</v>
      </c>
      <c r="M768" s="9">
        <v>12.063700000000001</v>
      </c>
      <c r="N768" s="9">
        <v>4.9444999999999997</v>
      </c>
      <c r="O768" s="9">
        <v>0.37409999999999999</v>
      </c>
      <c r="P768" s="9">
        <v>1.2183999999999999</v>
      </c>
      <c r="Q768" s="9">
        <v>19.688099999999999</v>
      </c>
      <c r="R768" s="9"/>
      <c r="S768" s="11"/>
    </row>
    <row r="769" spans="1:19" ht="15.75">
      <c r="A769" s="13">
        <v>64923</v>
      </c>
      <c r="B769" s="8">
        <f>CHOOSE( CONTROL!$C$32, 27.3374, 27.3326) * CHOOSE(CONTROL!$C$15, $D$11, 100%, $F$11)</f>
        <v>27.337399999999999</v>
      </c>
      <c r="C769" s="8">
        <f>CHOOSE( CONTROL!$C$32, 27.3455, 27.3407) * CHOOSE(CONTROL!$C$15, $D$11, 100%, $F$11)</f>
        <v>27.345500000000001</v>
      </c>
      <c r="D769" s="8">
        <f>CHOOSE( CONTROL!$C$32, 27.3673, 27.3624) * CHOOSE( CONTROL!$C$15, $D$11, 100%, $F$11)</f>
        <v>27.3673</v>
      </c>
      <c r="E769" s="12">
        <f>CHOOSE( CONTROL!$C$32, 27.3582, 27.3533) * CHOOSE( CONTROL!$C$15, $D$11, 100%, $F$11)</f>
        <v>27.3582</v>
      </c>
      <c r="F769" s="4">
        <f>CHOOSE( CONTROL!$C$32, 28.0352, 28.0304) * CHOOSE(CONTROL!$C$15, $D$11, 100%, $F$11)</f>
        <v>28.0352</v>
      </c>
      <c r="G769" s="8">
        <f>CHOOSE( CONTROL!$C$32, 26.6877, 26.683) * CHOOSE( CONTROL!$C$15, $D$11, 100%, $F$11)</f>
        <v>26.6877</v>
      </c>
      <c r="H769" s="4">
        <f>CHOOSE( CONTROL!$C$32, 27.6169, 27.6121) * CHOOSE(CONTROL!$C$15, $D$11, 100%, $F$11)</f>
        <v>27.616900000000001</v>
      </c>
      <c r="I769" s="8">
        <f>CHOOSE( CONTROL!$C$32, 26.3373, 26.3326) * CHOOSE(CONTROL!$C$15, $D$11, 100%, $F$11)</f>
        <v>26.337299999999999</v>
      </c>
      <c r="J769" s="4">
        <f>CHOOSE( CONTROL!$C$32, 26.2174, 26.2128) * CHOOSE(CONTROL!$C$15, $D$11, 100%, $F$11)</f>
        <v>26.217400000000001</v>
      </c>
      <c r="K769" s="4"/>
      <c r="L769" s="9">
        <v>29.7257</v>
      </c>
      <c r="M769" s="9">
        <v>11.6745</v>
      </c>
      <c r="N769" s="9">
        <v>4.7850000000000001</v>
      </c>
      <c r="O769" s="9">
        <v>0.36199999999999999</v>
      </c>
      <c r="P769" s="9">
        <v>1.1791</v>
      </c>
      <c r="Q769" s="9">
        <v>19.053000000000001</v>
      </c>
      <c r="R769" s="9"/>
      <c r="S769" s="11"/>
    </row>
    <row r="770" spans="1:19" ht="15.75">
      <c r="A770" s="13">
        <v>64954</v>
      </c>
      <c r="B770" s="8">
        <f>28.5437 * CHOOSE(CONTROL!$C$15, $D$11, 100%, $F$11)</f>
        <v>28.543700000000001</v>
      </c>
      <c r="C770" s="8">
        <f>28.5491 * CHOOSE(CONTROL!$C$15, $D$11, 100%, $F$11)</f>
        <v>28.549099999999999</v>
      </c>
      <c r="D770" s="8">
        <f>28.5756 * CHOOSE( CONTROL!$C$15, $D$11, 100%, $F$11)</f>
        <v>28.575600000000001</v>
      </c>
      <c r="E770" s="12">
        <f>28.5663 * CHOOSE( CONTROL!$C$15, $D$11, 100%, $F$11)</f>
        <v>28.566299999999998</v>
      </c>
      <c r="F770" s="4">
        <f>29.2432 * CHOOSE(CONTROL!$C$15, $D$11, 100%, $F$11)</f>
        <v>29.243200000000002</v>
      </c>
      <c r="G770" s="8">
        <f>27.8668 * CHOOSE( CONTROL!$C$15, $D$11, 100%, $F$11)</f>
        <v>27.866800000000001</v>
      </c>
      <c r="H770" s="4">
        <f>28.7967 * CHOOSE(CONTROL!$C$15, $D$11, 100%, $F$11)</f>
        <v>28.796700000000001</v>
      </c>
      <c r="I770" s="8">
        <f>27.4984 * CHOOSE(CONTROL!$C$15, $D$11, 100%, $F$11)</f>
        <v>27.4984</v>
      </c>
      <c r="J770" s="4">
        <f>27.3772 * CHOOSE(CONTROL!$C$15, $D$11, 100%, $F$11)</f>
        <v>27.377199999999998</v>
      </c>
      <c r="K770" s="4"/>
      <c r="L770" s="9">
        <v>31.095300000000002</v>
      </c>
      <c r="M770" s="9">
        <v>12.063700000000001</v>
      </c>
      <c r="N770" s="9">
        <v>4.9444999999999997</v>
      </c>
      <c r="O770" s="9">
        <v>0.37409999999999999</v>
      </c>
      <c r="P770" s="9">
        <v>1.2183999999999999</v>
      </c>
      <c r="Q770" s="9">
        <v>19.688099999999999</v>
      </c>
      <c r="R770" s="9"/>
      <c r="S770" s="11"/>
    </row>
    <row r="771" spans="1:19" ht="15.75">
      <c r="A771" s="13">
        <v>64984</v>
      </c>
      <c r="B771" s="8">
        <f>30.782 * CHOOSE(CONTROL!$C$15, $D$11, 100%, $F$11)</f>
        <v>30.782</v>
      </c>
      <c r="C771" s="8">
        <f>30.7872 * CHOOSE(CONTROL!$C$15, $D$11, 100%, $F$11)</f>
        <v>30.787199999999999</v>
      </c>
      <c r="D771" s="8">
        <f>30.7764 * CHOOSE( CONTROL!$C$15, $D$11, 100%, $F$11)</f>
        <v>30.776399999999999</v>
      </c>
      <c r="E771" s="12">
        <f>30.7798 * CHOOSE( CONTROL!$C$15, $D$11, 100%, $F$11)</f>
        <v>30.779800000000002</v>
      </c>
      <c r="F771" s="4">
        <f>31.4309 * CHOOSE(CONTROL!$C$15, $D$11, 100%, $F$11)</f>
        <v>31.430900000000001</v>
      </c>
      <c r="G771" s="8">
        <f>30.0579 * CHOOSE( CONTROL!$C$15, $D$11, 100%, $F$11)</f>
        <v>30.0579</v>
      </c>
      <c r="H771" s="4">
        <f>30.9334 * CHOOSE(CONTROL!$C$15, $D$11, 100%, $F$11)</f>
        <v>30.933399999999999</v>
      </c>
      <c r="I771" s="8">
        <f>29.6744 * CHOOSE(CONTROL!$C$15, $D$11, 100%, $F$11)</f>
        <v>29.674399999999999</v>
      </c>
      <c r="J771" s="4">
        <f>29.5266 * CHOOSE(CONTROL!$C$15, $D$11, 100%, $F$11)</f>
        <v>29.526599999999998</v>
      </c>
      <c r="K771" s="4"/>
      <c r="L771" s="9">
        <v>28.360600000000002</v>
      </c>
      <c r="M771" s="9">
        <v>11.6745</v>
      </c>
      <c r="N771" s="9">
        <v>4.7850000000000001</v>
      </c>
      <c r="O771" s="9">
        <v>0.36199999999999999</v>
      </c>
      <c r="P771" s="9">
        <v>1.2509999999999999</v>
      </c>
      <c r="Q771" s="9">
        <v>19.053000000000001</v>
      </c>
      <c r="R771" s="9"/>
      <c r="S771" s="11"/>
    </row>
    <row r="772" spans="1:19" ht="15.75">
      <c r="A772" s="13">
        <v>65015</v>
      </c>
      <c r="B772" s="8">
        <f>30.726 * CHOOSE(CONTROL!$C$15, $D$11, 100%, $F$11)</f>
        <v>30.725999999999999</v>
      </c>
      <c r="C772" s="8">
        <f>30.7312 * CHOOSE(CONTROL!$C$15, $D$11, 100%, $F$11)</f>
        <v>30.731200000000001</v>
      </c>
      <c r="D772" s="8">
        <f>30.7218 * CHOOSE( CONTROL!$C$15, $D$11, 100%, $F$11)</f>
        <v>30.721800000000002</v>
      </c>
      <c r="E772" s="12">
        <f>30.7247 * CHOOSE( CONTROL!$C$15, $D$11, 100%, $F$11)</f>
        <v>30.724699999999999</v>
      </c>
      <c r="F772" s="4">
        <f>31.375 * CHOOSE(CONTROL!$C$15, $D$11, 100%, $F$11)</f>
        <v>31.375</v>
      </c>
      <c r="G772" s="8">
        <f>30.0043 * CHOOSE( CONTROL!$C$15, $D$11, 100%, $F$11)</f>
        <v>30.004300000000001</v>
      </c>
      <c r="H772" s="4">
        <f>30.8788 * CHOOSE(CONTROL!$C$15, $D$11, 100%, $F$11)</f>
        <v>30.878799999999998</v>
      </c>
      <c r="I772" s="8">
        <f>29.625 * CHOOSE(CONTROL!$C$15, $D$11, 100%, $F$11)</f>
        <v>29.625</v>
      </c>
      <c r="J772" s="4">
        <f>29.4729 * CHOOSE(CONTROL!$C$15, $D$11, 100%, $F$11)</f>
        <v>29.472899999999999</v>
      </c>
      <c r="K772" s="4"/>
      <c r="L772" s="9">
        <v>29.306000000000001</v>
      </c>
      <c r="M772" s="9">
        <v>12.063700000000001</v>
      </c>
      <c r="N772" s="9">
        <v>4.9444999999999997</v>
      </c>
      <c r="O772" s="9">
        <v>0.37409999999999999</v>
      </c>
      <c r="P772" s="9">
        <v>1.2927</v>
      </c>
      <c r="Q772" s="9">
        <v>19.688099999999999</v>
      </c>
      <c r="R772" s="9"/>
      <c r="S772" s="11"/>
    </row>
    <row r="773" spans="1:19" ht="15.75">
      <c r="A773" s="13">
        <v>65046</v>
      </c>
      <c r="B773" s="8">
        <f>31.8993 * CHOOSE(CONTROL!$C$15, $D$11, 100%, $F$11)</f>
        <v>31.8993</v>
      </c>
      <c r="C773" s="8">
        <f>31.9045 * CHOOSE(CONTROL!$C$15, $D$11, 100%, $F$11)</f>
        <v>31.904499999999999</v>
      </c>
      <c r="D773" s="8">
        <f>31.891 * CHOOSE( CONTROL!$C$15, $D$11, 100%, $F$11)</f>
        <v>31.890999999999998</v>
      </c>
      <c r="E773" s="12">
        <f>31.8954 * CHOOSE( CONTROL!$C$15, $D$11, 100%, $F$11)</f>
        <v>31.895399999999999</v>
      </c>
      <c r="F773" s="4">
        <f>32.5482 * CHOOSE(CONTROL!$C$15, $D$11, 100%, $F$11)</f>
        <v>32.548200000000001</v>
      </c>
      <c r="G773" s="8">
        <f>31.1439 * CHOOSE( CONTROL!$C$15, $D$11, 100%, $F$11)</f>
        <v>31.143899999999999</v>
      </c>
      <c r="H773" s="4">
        <f>32.0247 * CHOOSE(CONTROL!$C$15, $D$11, 100%, $F$11)</f>
        <v>32.024700000000003</v>
      </c>
      <c r="I773" s="8">
        <f>30.7283 * CHOOSE(CONTROL!$C$15, $D$11, 100%, $F$11)</f>
        <v>30.728300000000001</v>
      </c>
      <c r="J773" s="4">
        <f>30.5993 * CHOOSE(CONTROL!$C$15, $D$11, 100%, $F$11)</f>
        <v>30.599299999999999</v>
      </c>
      <c r="K773" s="4"/>
      <c r="L773" s="9">
        <v>29.306000000000001</v>
      </c>
      <c r="M773" s="9">
        <v>12.063700000000001</v>
      </c>
      <c r="N773" s="9">
        <v>4.9444999999999997</v>
      </c>
      <c r="O773" s="9">
        <v>0.37409999999999999</v>
      </c>
      <c r="P773" s="9">
        <v>1.2927</v>
      </c>
      <c r="Q773" s="9">
        <v>19.688099999999999</v>
      </c>
      <c r="R773" s="9"/>
      <c r="S773" s="11"/>
    </row>
    <row r="774" spans="1:19" ht="15.75">
      <c r="A774" s="13">
        <v>65074</v>
      </c>
      <c r="B774" s="8">
        <f>29.8389 * CHOOSE(CONTROL!$C$15, $D$11, 100%, $F$11)</f>
        <v>29.838899999999999</v>
      </c>
      <c r="C774" s="8">
        <f>29.8441 * CHOOSE(CONTROL!$C$15, $D$11, 100%, $F$11)</f>
        <v>29.844100000000001</v>
      </c>
      <c r="D774" s="8">
        <f>29.8306 * CHOOSE( CONTROL!$C$15, $D$11, 100%, $F$11)</f>
        <v>29.8306</v>
      </c>
      <c r="E774" s="12">
        <f>29.835 * CHOOSE( CONTROL!$C$15, $D$11, 100%, $F$11)</f>
        <v>29.835000000000001</v>
      </c>
      <c r="F774" s="4">
        <f>30.4878 * CHOOSE(CONTROL!$C$15, $D$11, 100%, $F$11)</f>
        <v>30.4878</v>
      </c>
      <c r="G774" s="8">
        <f>29.1315 * CHOOSE( CONTROL!$C$15, $D$11, 100%, $F$11)</f>
        <v>29.131499999999999</v>
      </c>
      <c r="H774" s="4">
        <f>30.0123 * CHOOSE(CONTROL!$C$15, $D$11, 100%, $F$11)</f>
        <v>30.0123</v>
      </c>
      <c r="I774" s="8">
        <f>28.7491 * CHOOSE(CONTROL!$C$15, $D$11, 100%, $F$11)</f>
        <v>28.749099999999999</v>
      </c>
      <c r="J774" s="4">
        <f>28.6211 * CHOOSE(CONTROL!$C$15, $D$11, 100%, $F$11)</f>
        <v>28.621099999999998</v>
      </c>
      <c r="K774" s="4"/>
      <c r="L774" s="9">
        <v>26.469899999999999</v>
      </c>
      <c r="M774" s="9">
        <v>10.8962</v>
      </c>
      <c r="N774" s="9">
        <v>4.4660000000000002</v>
      </c>
      <c r="O774" s="9">
        <v>0.33789999999999998</v>
      </c>
      <c r="P774" s="9">
        <v>1.1676</v>
      </c>
      <c r="Q774" s="9">
        <v>17.782800000000002</v>
      </c>
      <c r="R774" s="9"/>
      <c r="S774" s="11"/>
    </row>
    <row r="775" spans="1:19" ht="15.75">
      <c r="A775" s="13">
        <v>65105</v>
      </c>
      <c r="B775" s="8">
        <f>29.2043 * CHOOSE(CONTROL!$C$15, $D$11, 100%, $F$11)</f>
        <v>29.2043</v>
      </c>
      <c r="C775" s="8">
        <f>29.2095 * CHOOSE(CONTROL!$C$15, $D$11, 100%, $F$11)</f>
        <v>29.209499999999998</v>
      </c>
      <c r="D775" s="8">
        <f>29.1956 * CHOOSE( CONTROL!$C$15, $D$11, 100%, $F$11)</f>
        <v>29.195599999999999</v>
      </c>
      <c r="E775" s="12">
        <f>29.2001 * CHOOSE( CONTROL!$C$15, $D$11, 100%, $F$11)</f>
        <v>29.200099999999999</v>
      </c>
      <c r="F775" s="4">
        <f>29.8532 * CHOOSE(CONTROL!$C$15, $D$11, 100%, $F$11)</f>
        <v>29.853200000000001</v>
      </c>
      <c r="G775" s="8">
        <f>28.5115 * CHOOSE( CONTROL!$C$15, $D$11, 100%, $F$11)</f>
        <v>28.511500000000002</v>
      </c>
      <c r="H775" s="4">
        <f>29.3925 * CHOOSE(CONTROL!$C$15, $D$11, 100%, $F$11)</f>
        <v>29.392499999999998</v>
      </c>
      <c r="I775" s="8">
        <f>28.1386 * CHOOSE(CONTROL!$C$15, $D$11, 100%, $F$11)</f>
        <v>28.1386</v>
      </c>
      <c r="J775" s="4">
        <f>28.0119 * CHOOSE(CONTROL!$C$15, $D$11, 100%, $F$11)</f>
        <v>28.011900000000001</v>
      </c>
      <c r="K775" s="4"/>
      <c r="L775" s="9">
        <v>29.306000000000001</v>
      </c>
      <c r="M775" s="9">
        <v>12.063700000000001</v>
      </c>
      <c r="N775" s="9">
        <v>4.9444999999999997</v>
      </c>
      <c r="O775" s="9">
        <v>0.37409999999999999</v>
      </c>
      <c r="P775" s="9">
        <v>1.2927</v>
      </c>
      <c r="Q775" s="9">
        <v>19.688099999999999</v>
      </c>
      <c r="R775" s="9"/>
      <c r="S775" s="11"/>
    </row>
    <row r="776" spans="1:19" ht="15.75">
      <c r="A776" s="13">
        <v>65135</v>
      </c>
      <c r="B776" s="8">
        <f>29.6485 * CHOOSE(CONTROL!$C$15, $D$11, 100%, $F$11)</f>
        <v>29.648499999999999</v>
      </c>
      <c r="C776" s="8">
        <f>29.6531 * CHOOSE(CONTROL!$C$15, $D$11, 100%, $F$11)</f>
        <v>29.653099999999998</v>
      </c>
      <c r="D776" s="8">
        <f>29.6794 * CHOOSE( CONTROL!$C$15, $D$11, 100%, $F$11)</f>
        <v>29.679400000000001</v>
      </c>
      <c r="E776" s="12">
        <f>29.6702 * CHOOSE( CONTROL!$C$15, $D$11, 100%, $F$11)</f>
        <v>29.670200000000001</v>
      </c>
      <c r="F776" s="4">
        <f>30.3477 * CHOOSE(CONTROL!$C$15, $D$11, 100%, $F$11)</f>
        <v>30.3477</v>
      </c>
      <c r="G776" s="8">
        <f>28.9446 * CHOOSE( CONTROL!$C$15, $D$11, 100%, $F$11)</f>
        <v>28.944600000000001</v>
      </c>
      <c r="H776" s="4">
        <f>29.8755 * CHOOSE(CONTROL!$C$15, $D$11, 100%, $F$11)</f>
        <v>29.875499999999999</v>
      </c>
      <c r="I776" s="8">
        <f>28.5564 * CHOOSE(CONTROL!$C$15, $D$11, 100%, $F$11)</f>
        <v>28.5564</v>
      </c>
      <c r="J776" s="4">
        <f>28.4376 * CHOOSE(CONTROL!$C$15, $D$11, 100%, $F$11)</f>
        <v>28.4376</v>
      </c>
      <c r="K776" s="4"/>
      <c r="L776" s="9">
        <v>30.092199999999998</v>
      </c>
      <c r="M776" s="9">
        <v>11.6745</v>
      </c>
      <c r="N776" s="9">
        <v>4.7850000000000001</v>
      </c>
      <c r="O776" s="9">
        <v>0.36199999999999999</v>
      </c>
      <c r="P776" s="9">
        <v>1.1791</v>
      </c>
      <c r="Q776" s="9">
        <v>19.053000000000001</v>
      </c>
      <c r="R776" s="9"/>
      <c r="S776" s="11"/>
    </row>
    <row r="777" spans="1:19" ht="15.75">
      <c r="A777" s="13">
        <v>65166</v>
      </c>
      <c r="B777" s="8">
        <f>CHOOSE( CONTROL!$C$32, 30.4439, 30.4391) * CHOOSE(CONTROL!$C$15, $D$11, 100%, $F$11)</f>
        <v>30.443899999999999</v>
      </c>
      <c r="C777" s="8">
        <f>CHOOSE( CONTROL!$C$32, 30.452, 30.4472) * CHOOSE(CONTROL!$C$15, $D$11, 100%, $F$11)</f>
        <v>30.452000000000002</v>
      </c>
      <c r="D777" s="8">
        <f>CHOOSE( CONTROL!$C$32, 30.4733, 30.4685) * CHOOSE( CONTROL!$C$15, $D$11, 100%, $F$11)</f>
        <v>30.473299999999998</v>
      </c>
      <c r="E777" s="12">
        <f>CHOOSE( CONTROL!$C$32, 30.4643, 30.4595) * CHOOSE( CONTROL!$C$15, $D$11, 100%, $F$11)</f>
        <v>30.464300000000001</v>
      </c>
      <c r="F777" s="4">
        <f>CHOOSE( CONTROL!$C$32, 31.1417, 31.1369) * CHOOSE(CONTROL!$C$15, $D$11, 100%, $F$11)</f>
        <v>31.1417</v>
      </c>
      <c r="G777" s="8">
        <f>CHOOSE( CONTROL!$C$32, 29.7212, 29.7165) * CHOOSE( CONTROL!$C$15, $D$11, 100%, $F$11)</f>
        <v>29.7212</v>
      </c>
      <c r="H777" s="4">
        <f>CHOOSE( CONTROL!$C$32, 30.651, 30.6463) * CHOOSE(CONTROL!$C$15, $D$11, 100%, $F$11)</f>
        <v>30.651</v>
      </c>
      <c r="I777" s="8">
        <f>CHOOSE( CONTROL!$C$32, 29.3191, 29.3145) * CHOOSE(CONTROL!$C$15, $D$11, 100%, $F$11)</f>
        <v>29.319099999999999</v>
      </c>
      <c r="J777" s="4">
        <f>CHOOSE( CONTROL!$C$32, 29.2, 29.1954) * CHOOSE(CONTROL!$C$15, $D$11, 100%, $F$11)</f>
        <v>29.2</v>
      </c>
      <c r="K777" s="4"/>
      <c r="L777" s="9">
        <v>30.7165</v>
      </c>
      <c r="M777" s="9">
        <v>12.063700000000001</v>
      </c>
      <c r="N777" s="9">
        <v>4.9444999999999997</v>
      </c>
      <c r="O777" s="9">
        <v>0.37409999999999999</v>
      </c>
      <c r="P777" s="9">
        <v>1.2183999999999999</v>
      </c>
      <c r="Q777" s="9">
        <v>19.688099999999999</v>
      </c>
      <c r="R777" s="9"/>
      <c r="S777" s="11"/>
    </row>
    <row r="778" spans="1:19" ht="15.75">
      <c r="A778" s="13">
        <v>65196</v>
      </c>
      <c r="B778" s="8">
        <f>CHOOSE( CONTROL!$C$32, 29.955, 29.9502) * CHOOSE(CONTROL!$C$15, $D$11, 100%, $F$11)</f>
        <v>29.954999999999998</v>
      </c>
      <c r="C778" s="8">
        <f>CHOOSE( CONTROL!$C$32, 29.9631, 29.9583) * CHOOSE(CONTROL!$C$15, $D$11, 100%, $F$11)</f>
        <v>29.963100000000001</v>
      </c>
      <c r="D778" s="8">
        <f>CHOOSE( CONTROL!$C$32, 29.9846, 29.9798) * CHOOSE( CONTROL!$C$15, $D$11, 100%, $F$11)</f>
        <v>29.9846</v>
      </c>
      <c r="E778" s="12">
        <f>CHOOSE( CONTROL!$C$32, 29.9756, 29.9708) * CHOOSE( CONTROL!$C$15, $D$11, 100%, $F$11)</f>
        <v>29.9756</v>
      </c>
      <c r="F778" s="4">
        <f>CHOOSE( CONTROL!$C$32, 30.6528, 30.648) * CHOOSE(CONTROL!$C$15, $D$11, 100%, $F$11)</f>
        <v>30.652799999999999</v>
      </c>
      <c r="G778" s="8">
        <f>CHOOSE( CONTROL!$C$32, 29.244, 29.2392) * CHOOSE( CONTROL!$C$15, $D$11, 100%, $F$11)</f>
        <v>29.244</v>
      </c>
      <c r="H778" s="4">
        <f>CHOOSE( CONTROL!$C$32, 30.1735, 30.1688) * CHOOSE(CONTROL!$C$15, $D$11, 100%, $F$11)</f>
        <v>30.173500000000001</v>
      </c>
      <c r="I778" s="8">
        <f>CHOOSE( CONTROL!$C$32, 28.8504, 28.8457) * CHOOSE(CONTROL!$C$15, $D$11, 100%, $F$11)</f>
        <v>28.8504</v>
      </c>
      <c r="J778" s="4">
        <f>CHOOSE( CONTROL!$C$32, 28.7306, 28.726) * CHOOSE(CONTROL!$C$15, $D$11, 100%, $F$11)</f>
        <v>28.730599999999999</v>
      </c>
      <c r="K778" s="4"/>
      <c r="L778" s="9">
        <v>29.7257</v>
      </c>
      <c r="M778" s="9">
        <v>11.6745</v>
      </c>
      <c r="N778" s="9">
        <v>4.7850000000000001</v>
      </c>
      <c r="O778" s="9">
        <v>0.36199999999999999</v>
      </c>
      <c r="P778" s="9">
        <v>1.1791</v>
      </c>
      <c r="Q778" s="9">
        <v>19.053000000000001</v>
      </c>
      <c r="R778" s="9"/>
      <c r="S778" s="11"/>
    </row>
    <row r="779" spans="1:19" ht="15.75">
      <c r="A779" s="13">
        <v>65227</v>
      </c>
      <c r="B779" s="8">
        <f>CHOOSE( CONTROL!$C$32, 31.2425, 31.2377) * CHOOSE(CONTROL!$C$15, $D$11, 100%, $F$11)</f>
        <v>31.2425</v>
      </c>
      <c r="C779" s="8">
        <f>CHOOSE( CONTROL!$C$32, 31.2506, 31.2457) * CHOOSE(CONTROL!$C$15, $D$11, 100%, $F$11)</f>
        <v>31.250599999999999</v>
      </c>
      <c r="D779" s="8">
        <f>CHOOSE( CONTROL!$C$32, 31.2723, 31.2675) * CHOOSE( CONTROL!$C$15, $D$11, 100%, $F$11)</f>
        <v>31.272300000000001</v>
      </c>
      <c r="E779" s="12">
        <f>CHOOSE( CONTROL!$C$32, 31.2632, 31.2584) * CHOOSE( CONTROL!$C$15, $D$11, 100%, $F$11)</f>
        <v>31.263200000000001</v>
      </c>
      <c r="F779" s="4">
        <f>CHOOSE( CONTROL!$C$32, 31.9403, 31.9355) * CHOOSE(CONTROL!$C$15, $D$11, 100%, $F$11)</f>
        <v>31.940300000000001</v>
      </c>
      <c r="G779" s="8">
        <f>CHOOSE( CONTROL!$C$32, 30.5018, 30.497) * CHOOSE( CONTROL!$C$15, $D$11, 100%, $F$11)</f>
        <v>30.501799999999999</v>
      </c>
      <c r="H779" s="4">
        <f>CHOOSE( CONTROL!$C$32, 31.431, 31.4263) * CHOOSE(CONTROL!$C$15, $D$11, 100%, $F$11)</f>
        <v>31.431000000000001</v>
      </c>
      <c r="I779" s="8">
        <f>CHOOSE( CONTROL!$C$32, 30.0882, 30.0836) * CHOOSE(CONTROL!$C$15, $D$11, 100%, $F$11)</f>
        <v>30.088200000000001</v>
      </c>
      <c r="J779" s="4">
        <f>CHOOSE( CONTROL!$C$32, 29.9667, 29.962) * CHOOSE(CONTROL!$C$15, $D$11, 100%, $F$11)</f>
        <v>29.966699999999999</v>
      </c>
      <c r="K779" s="4"/>
      <c r="L779" s="9">
        <v>30.7165</v>
      </c>
      <c r="M779" s="9">
        <v>12.063700000000001</v>
      </c>
      <c r="N779" s="9">
        <v>4.9444999999999997</v>
      </c>
      <c r="O779" s="9">
        <v>0.37409999999999999</v>
      </c>
      <c r="P779" s="9">
        <v>1.2183999999999999</v>
      </c>
      <c r="Q779" s="9">
        <v>19.688099999999999</v>
      </c>
      <c r="R779" s="9"/>
      <c r="S779" s="11"/>
    </row>
    <row r="780" spans="1:19" ht="15.75">
      <c r="A780" s="13">
        <v>65258</v>
      </c>
      <c r="B780" s="8">
        <f>CHOOSE( CONTROL!$C$32, 28.8335, 28.8287) * CHOOSE(CONTROL!$C$15, $D$11, 100%, $F$11)</f>
        <v>28.833500000000001</v>
      </c>
      <c r="C780" s="8">
        <f>CHOOSE( CONTROL!$C$32, 28.8416, 28.8368) * CHOOSE(CONTROL!$C$15, $D$11, 100%, $F$11)</f>
        <v>28.8416</v>
      </c>
      <c r="D780" s="8">
        <f>CHOOSE( CONTROL!$C$32, 28.8634, 28.8586) * CHOOSE( CONTROL!$C$15, $D$11, 100%, $F$11)</f>
        <v>28.863399999999999</v>
      </c>
      <c r="E780" s="12">
        <f>CHOOSE( CONTROL!$C$32, 28.8543, 28.8495) * CHOOSE( CONTROL!$C$15, $D$11, 100%, $F$11)</f>
        <v>28.854299999999999</v>
      </c>
      <c r="F780" s="4">
        <f>CHOOSE( CONTROL!$C$32, 29.5313, 29.5265) * CHOOSE(CONTROL!$C$15, $D$11, 100%, $F$11)</f>
        <v>29.531300000000002</v>
      </c>
      <c r="G780" s="8">
        <f>CHOOSE( CONTROL!$C$32, 28.149, 28.1443) * CHOOSE( CONTROL!$C$15, $D$11, 100%, $F$11)</f>
        <v>28.149000000000001</v>
      </c>
      <c r="H780" s="4">
        <f>CHOOSE( CONTROL!$C$32, 29.0781, 29.0734) * CHOOSE(CONTROL!$C$15, $D$11, 100%, $F$11)</f>
        <v>29.078099999999999</v>
      </c>
      <c r="I780" s="8">
        <f>CHOOSE( CONTROL!$C$32, 27.7745, 27.7699) * CHOOSE(CONTROL!$C$15, $D$11, 100%, $F$11)</f>
        <v>27.7745</v>
      </c>
      <c r="J780" s="4">
        <f>CHOOSE( CONTROL!$C$32, 27.6538, 27.6492) * CHOOSE(CONTROL!$C$15, $D$11, 100%, $F$11)</f>
        <v>27.6538</v>
      </c>
      <c r="K780" s="4"/>
      <c r="L780" s="9">
        <v>30.7165</v>
      </c>
      <c r="M780" s="9">
        <v>12.063700000000001</v>
      </c>
      <c r="N780" s="9">
        <v>4.9444999999999997</v>
      </c>
      <c r="O780" s="9">
        <v>0.37409999999999999</v>
      </c>
      <c r="P780" s="9">
        <v>1.2183999999999999</v>
      </c>
      <c r="Q780" s="9">
        <v>19.688099999999999</v>
      </c>
      <c r="R780" s="9"/>
      <c r="S780" s="11"/>
    </row>
    <row r="781" spans="1:19" ht="15.75">
      <c r="A781" s="13">
        <v>65288</v>
      </c>
      <c r="B781" s="8">
        <f>CHOOSE( CONTROL!$C$32, 28.2303, 28.2254) * CHOOSE(CONTROL!$C$15, $D$11, 100%, $F$11)</f>
        <v>28.2303</v>
      </c>
      <c r="C781" s="8">
        <f>CHOOSE( CONTROL!$C$32, 28.2384, 28.2335) * CHOOSE(CONTROL!$C$15, $D$11, 100%, $F$11)</f>
        <v>28.238399999999999</v>
      </c>
      <c r="D781" s="8">
        <f>CHOOSE( CONTROL!$C$32, 28.2602, 28.2553) * CHOOSE( CONTROL!$C$15, $D$11, 100%, $F$11)</f>
        <v>28.260200000000001</v>
      </c>
      <c r="E781" s="12">
        <f>CHOOSE( CONTROL!$C$32, 28.2511, 28.2462) * CHOOSE( CONTROL!$C$15, $D$11, 100%, $F$11)</f>
        <v>28.251100000000001</v>
      </c>
      <c r="F781" s="4">
        <f>CHOOSE( CONTROL!$C$32, 28.9281, 28.9233) * CHOOSE(CONTROL!$C$15, $D$11, 100%, $F$11)</f>
        <v>28.928100000000001</v>
      </c>
      <c r="G781" s="8">
        <f>CHOOSE( CONTROL!$C$32, 27.5598, 27.5551) * CHOOSE( CONTROL!$C$15, $D$11, 100%, $F$11)</f>
        <v>27.559799999999999</v>
      </c>
      <c r="H781" s="4">
        <f>CHOOSE( CONTROL!$C$32, 28.4889, 28.4842) * CHOOSE(CONTROL!$C$15, $D$11, 100%, $F$11)</f>
        <v>28.488900000000001</v>
      </c>
      <c r="I781" s="8">
        <f>CHOOSE( CONTROL!$C$32, 27.195, 27.1903) * CHOOSE(CONTROL!$C$15, $D$11, 100%, $F$11)</f>
        <v>27.195</v>
      </c>
      <c r="J781" s="4">
        <f>CHOOSE( CONTROL!$C$32, 27.0747, 27.07) * CHOOSE(CONTROL!$C$15, $D$11, 100%, $F$11)</f>
        <v>27.0747</v>
      </c>
      <c r="K781" s="4"/>
      <c r="L781" s="9">
        <v>29.7257</v>
      </c>
      <c r="M781" s="9">
        <v>11.6745</v>
      </c>
      <c r="N781" s="9">
        <v>4.7850000000000001</v>
      </c>
      <c r="O781" s="9">
        <v>0.36199999999999999</v>
      </c>
      <c r="P781" s="9">
        <v>1.1791</v>
      </c>
      <c r="Q781" s="9">
        <v>19.053000000000001</v>
      </c>
      <c r="R781" s="9"/>
      <c r="S781" s="11"/>
    </row>
    <row r="782" spans="1:19" ht="15.75">
      <c r="A782" s="13">
        <v>65319</v>
      </c>
      <c r="B782" s="8">
        <f>29.4762 * CHOOSE(CONTROL!$C$15, $D$11, 100%, $F$11)</f>
        <v>29.476199999999999</v>
      </c>
      <c r="C782" s="8">
        <f>29.4817 * CHOOSE(CONTROL!$C$15, $D$11, 100%, $F$11)</f>
        <v>29.4817</v>
      </c>
      <c r="D782" s="8">
        <f>29.5081 * CHOOSE( CONTROL!$C$15, $D$11, 100%, $F$11)</f>
        <v>29.508099999999999</v>
      </c>
      <c r="E782" s="12">
        <f>29.4988 * CHOOSE( CONTROL!$C$15, $D$11, 100%, $F$11)</f>
        <v>29.498799999999999</v>
      </c>
      <c r="F782" s="4">
        <f>30.1758 * CHOOSE(CONTROL!$C$15, $D$11, 100%, $F$11)</f>
        <v>30.175799999999999</v>
      </c>
      <c r="G782" s="8">
        <f>28.7777 * CHOOSE( CONTROL!$C$15, $D$11, 100%, $F$11)</f>
        <v>28.777699999999999</v>
      </c>
      <c r="H782" s="4">
        <f>29.7076 * CHOOSE(CONTROL!$C$15, $D$11, 100%, $F$11)</f>
        <v>29.707599999999999</v>
      </c>
      <c r="I782" s="8">
        <f>28.3942 * CHOOSE(CONTROL!$C$15, $D$11, 100%, $F$11)</f>
        <v>28.394200000000001</v>
      </c>
      <c r="J782" s="4">
        <f>28.2726 * CHOOSE(CONTROL!$C$15, $D$11, 100%, $F$11)</f>
        <v>28.272600000000001</v>
      </c>
      <c r="K782" s="4"/>
      <c r="L782" s="9">
        <v>31.095300000000002</v>
      </c>
      <c r="M782" s="9">
        <v>12.063700000000001</v>
      </c>
      <c r="N782" s="9">
        <v>4.9444999999999997</v>
      </c>
      <c r="O782" s="9">
        <v>0.37409999999999999</v>
      </c>
      <c r="P782" s="9">
        <v>1.2183999999999999</v>
      </c>
      <c r="Q782" s="9">
        <v>19.688099999999999</v>
      </c>
      <c r="R782" s="9"/>
      <c r="S782" s="11"/>
    </row>
    <row r="783" spans="1:19" ht="15.75">
      <c r="A783" s="13">
        <v>65349</v>
      </c>
      <c r="B783" s="8">
        <f>31.7877 * CHOOSE(CONTROL!$C$15, $D$11, 100%, $F$11)</f>
        <v>31.787700000000001</v>
      </c>
      <c r="C783" s="8">
        <f>31.7929 * CHOOSE(CONTROL!$C$15, $D$11, 100%, $F$11)</f>
        <v>31.792899999999999</v>
      </c>
      <c r="D783" s="8">
        <f>31.7822 * CHOOSE( CONTROL!$C$15, $D$11, 100%, $F$11)</f>
        <v>31.7822</v>
      </c>
      <c r="E783" s="12">
        <f>31.7856 * CHOOSE( CONTROL!$C$15, $D$11, 100%, $F$11)</f>
        <v>31.785599999999999</v>
      </c>
      <c r="F783" s="4">
        <f>32.4366 * CHOOSE(CONTROL!$C$15, $D$11, 100%, $F$11)</f>
        <v>32.436599999999999</v>
      </c>
      <c r="G783" s="8">
        <f>31.0403 * CHOOSE( CONTROL!$C$15, $D$11, 100%, $F$11)</f>
        <v>31.040299999999998</v>
      </c>
      <c r="H783" s="4">
        <f>31.9158 * CHOOSE(CONTROL!$C$15, $D$11, 100%, $F$11)</f>
        <v>31.915800000000001</v>
      </c>
      <c r="I783" s="8">
        <f>30.6406 * CHOOSE(CONTROL!$C$15, $D$11, 100%, $F$11)</f>
        <v>30.640599999999999</v>
      </c>
      <c r="J783" s="4">
        <f>30.4922 * CHOOSE(CONTROL!$C$15, $D$11, 100%, $F$11)</f>
        <v>30.4922</v>
      </c>
      <c r="K783" s="4"/>
      <c r="L783" s="9">
        <v>28.360600000000002</v>
      </c>
      <c r="M783" s="9">
        <v>11.6745</v>
      </c>
      <c r="N783" s="9">
        <v>4.7850000000000001</v>
      </c>
      <c r="O783" s="9">
        <v>0.36199999999999999</v>
      </c>
      <c r="P783" s="9">
        <v>1.2509999999999999</v>
      </c>
      <c r="Q783" s="9">
        <v>19.053000000000001</v>
      </c>
      <c r="R783" s="9"/>
      <c r="S783" s="11"/>
    </row>
    <row r="784" spans="1:19" ht="15.75">
      <c r="A784" s="13">
        <v>65380</v>
      </c>
      <c r="B784" s="8">
        <f>31.73 * CHOOSE(CONTROL!$C$15, $D$11, 100%, $F$11)</f>
        <v>31.73</v>
      </c>
      <c r="C784" s="8">
        <f>31.7352 * CHOOSE(CONTROL!$C$15, $D$11, 100%, $F$11)</f>
        <v>31.735199999999999</v>
      </c>
      <c r="D784" s="8">
        <f>31.7258 * CHOOSE( CONTROL!$C$15, $D$11, 100%, $F$11)</f>
        <v>31.7258</v>
      </c>
      <c r="E784" s="12">
        <f>31.7287 * CHOOSE( CONTROL!$C$15, $D$11, 100%, $F$11)</f>
        <v>31.7287</v>
      </c>
      <c r="F784" s="4">
        <f>32.3789 * CHOOSE(CONTROL!$C$15, $D$11, 100%, $F$11)</f>
        <v>32.378900000000002</v>
      </c>
      <c r="G784" s="8">
        <f>30.9848 * CHOOSE( CONTROL!$C$15, $D$11, 100%, $F$11)</f>
        <v>30.9848</v>
      </c>
      <c r="H784" s="4">
        <f>31.8593 * CHOOSE(CONTROL!$C$15, $D$11, 100%, $F$11)</f>
        <v>31.859300000000001</v>
      </c>
      <c r="I784" s="8">
        <f>30.5894 * CHOOSE(CONTROL!$C$15, $D$11, 100%, $F$11)</f>
        <v>30.589400000000001</v>
      </c>
      <c r="J784" s="4">
        <f>30.4368 * CHOOSE(CONTROL!$C$15, $D$11, 100%, $F$11)</f>
        <v>30.436800000000002</v>
      </c>
      <c r="K784" s="4"/>
      <c r="L784" s="9">
        <v>29.306000000000001</v>
      </c>
      <c r="M784" s="9">
        <v>12.063700000000001</v>
      </c>
      <c r="N784" s="9">
        <v>4.9444999999999997</v>
      </c>
      <c r="O784" s="9">
        <v>0.37409999999999999</v>
      </c>
      <c r="P784" s="9">
        <v>1.2927</v>
      </c>
      <c r="Q784" s="9">
        <v>19.688099999999999</v>
      </c>
      <c r="R784" s="9"/>
      <c r="S784" s="11"/>
    </row>
    <row r="785" spans="1:19" ht="15.75">
      <c r="A785" s="13">
        <v>65411</v>
      </c>
      <c r="B785" s="8">
        <f>32.9416 * CHOOSE(CONTROL!$C$15, $D$11, 100%, $F$11)</f>
        <v>32.941600000000001</v>
      </c>
      <c r="C785" s="8">
        <f>32.9468 * CHOOSE(CONTROL!$C$15, $D$11, 100%, $F$11)</f>
        <v>32.946800000000003</v>
      </c>
      <c r="D785" s="8">
        <f>32.9333 * CHOOSE( CONTROL!$C$15, $D$11, 100%, $F$11)</f>
        <v>32.933300000000003</v>
      </c>
      <c r="E785" s="12">
        <f>32.9377 * CHOOSE( CONTROL!$C$15, $D$11, 100%, $F$11)</f>
        <v>32.9377</v>
      </c>
      <c r="F785" s="4">
        <f>33.5905 * CHOOSE(CONTROL!$C$15, $D$11, 100%, $F$11)</f>
        <v>33.590499999999999</v>
      </c>
      <c r="G785" s="8">
        <f>32.162 * CHOOSE( CONTROL!$C$15, $D$11, 100%, $F$11)</f>
        <v>32.161999999999999</v>
      </c>
      <c r="H785" s="4">
        <f>33.0427 * CHOOSE(CONTROL!$C$15, $D$11, 100%, $F$11)</f>
        <v>33.042700000000004</v>
      </c>
      <c r="I785" s="8">
        <f>31.7295 * CHOOSE(CONTROL!$C$15, $D$11, 100%, $F$11)</f>
        <v>31.729500000000002</v>
      </c>
      <c r="J785" s="4">
        <f>31.6001 * CHOOSE(CONTROL!$C$15, $D$11, 100%, $F$11)</f>
        <v>31.600100000000001</v>
      </c>
      <c r="K785" s="4"/>
      <c r="L785" s="9">
        <v>29.306000000000001</v>
      </c>
      <c r="M785" s="9">
        <v>12.063700000000001</v>
      </c>
      <c r="N785" s="9">
        <v>4.9444999999999997</v>
      </c>
      <c r="O785" s="9">
        <v>0.37409999999999999</v>
      </c>
      <c r="P785" s="9">
        <v>1.2927</v>
      </c>
      <c r="Q785" s="9">
        <v>19.688099999999999</v>
      </c>
      <c r="R785" s="9"/>
      <c r="S785" s="11"/>
    </row>
    <row r="786" spans="1:19" ht="15.75">
      <c r="A786" s="13">
        <v>65439</v>
      </c>
      <c r="B786" s="8">
        <f>30.8138 * CHOOSE(CONTROL!$C$15, $D$11, 100%, $F$11)</f>
        <v>30.813800000000001</v>
      </c>
      <c r="C786" s="8">
        <f>30.819 * CHOOSE(CONTROL!$C$15, $D$11, 100%, $F$11)</f>
        <v>30.818999999999999</v>
      </c>
      <c r="D786" s="8">
        <f>30.8055 * CHOOSE( CONTROL!$C$15, $D$11, 100%, $F$11)</f>
        <v>30.805499999999999</v>
      </c>
      <c r="E786" s="12">
        <f>30.8099 * CHOOSE( CONTROL!$C$15, $D$11, 100%, $F$11)</f>
        <v>30.809899999999999</v>
      </c>
      <c r="F786" s="4">
        <f>31.4627 * CHOOSE(CONTROL!$C$15, $D$11, 100%, $F$11)</f>
        <v>31.462700000000002</v>
      </c>
      <c r="G786" s="8">
        <f>30.0837 * CHOOSE( CONTROL!$C$15, $D$11, 100%, $F$11)</f>
        <v>30.0837</v>
      </c>
      <c r="H786" s="4">
        <f>30.9645 * CHOOSE(CONTROL!$C$15, $D$11, 100%, $F$11)</f>
        <v>30.964500000000001</v>
      </c>
      <c r="I786" s="8">
        <f>29.6856 * CHOOSE(CONTROL!$C$15, $D$11, 100%, $F$11)</f>
        <v>29.685600000000001</v>
      </c>
      <c r="J786" s="4">
        <f>29.5572 * CHOOSE(CONTROL!$C$15, $D$11, 100%, $F$11)</f>
        <v>29.557200000000002</v>
      </c>
      <c r="K786" s="4"/>
      <c r="L786" s="9">
        <v>26.469899999999999</v>
      </c>
      <c r="M786" s="9">
        <v>10.8962</v>
      </c>
      <c r="N786" s="9">
        <v>4.4660000000000002</v>
      </c>
      <c r="O786" s="9">
        <v>0.33789999999999998</v>
      </c>
      <c r="P786" s="9">
        <v>1.1676</v>
      </c>
      <c r="Q786" s="9">
        <v>17.782800000000002</v>
      </c>
      <c r="R786" s="9"/>
      <c r="S786" s="11"/>
    </row>
    <row r="787" spans="1:19" ht="15.75">
      <c r="A787" s="13">
        <v>65470</v>
      </c>
      <c r="B787" s="8">
        <f>30.1585 * CHOOSE(CONTROL!$C$15, $D$11, 100%, $F$11)</f>
        <v>30.1585</v>
      </c>
      <c r="C787" s="8">
        <f>30.1636 * CHOOSE(CONTROL!$C$15, $D$11, 100%, $F$11)</f>
        <v>30.163599999999999</v>
      </c>
      <c r="D787" s="8">
        <f>30.1498 * CHOOSE( CONTROL!$C$15, $D$11, 100%, $F$11)</f>
        <v>30.149799999999999</v>
      </c>
      <c r="E787" s="12">
        <f>30.1543 * CHOOSE( CONTROL!$C$15, $D$11, 100%, $F$11)</f>
        <v>30.154299999999999</v>
      </c>
      <c r="F787" s="4">
        <f>30.8074 * CHOOSE(CONTROL!$C$15, $D$11, 100%, $F$11)</f>
        <v>30.807400000000001</v>
      </c>
      <c r="G787" s="8">
        <f>29.4434 * CHOOSE( CONTROL!$C$15, $D$11, 100%, $F$11)</f>
        <v>29.4434</v>
      </c>
      <c r="H787" s="4">
        <f>30.3244 * CHOOSE(CONTROL!$C$15, $D$11, 100%, $F$11)</f>
        <v>30.324400000000001</v>
      </c>
      <c r="I787" s="8">
        <f>29.0551 * CHOOSE(CONTROL!$C$15, $D$11, 100%, $F$11)</f>
        <v>29.055099999999999</v>
      </c>
      <c r="J787" s="4">
        <f>28.928 * CHOOSE(CONTROL!$C$15, $D$11, 100%, $F$11)</f>
        <v>28.928000000000001</v>
      </c>
      <c r="K787" s="4"/>
      <c r="L787" s="9">
        <v>29.306000000000001</v>
      </c>
      <c r="M787" s="9">
        <v>12.063700000000001</v>
      </c>
      <c r="N787" s="9">
        <v>4.9444999999999997</v>
      </c>
      <c r="O787" s="9">
        <v>0.37409999999999999</v>
      </c>
      <c r="P787" s="9">
        <v>1.2927</v>
      </c>
      <c r="Q787" s="9">
        <v>19.688099999999999</v>
      </c>
      <c r="R787" s="9"/>
      <c r="S787" s="11"/>
    </row>
    <row r="788" spans="1:19" ht="15.75">
      <c r="A788" s="13">
        <v>65500</v>
      </c>
      <c r="B788" s="8">
        <f>30.6172 * CHOOSE(CONTROL!$C$15, $D$11, 100%, $F$11)</f>
        <v>30.6172</v>
      </c>
      <c r="C788" s="8">
        <f>30.6218 * CHOOSE(CONTROL!$C$15, $D$11, 100%, $F$11)</f>
        <v>30.6218</v>
      </c>
      <c r="D788" s="8">
        <f>30.6481 * CHOOSE( CONTROL!$C$15, $D$11, 100%, $F$11)</f>
        <v>30.648099999999999</v>
      </c>
      <c r="E788" s="12">
        <f>30.6389 * CHOOSE( CONTROL!$C$15, $D$11, 100%, $F$11)</f>
        <v>30.6389</v>
      </c>
      <c r="F788" s="4">
        <f>31.3163 * CHOOSE(CONTROL!$C$15, $D$11, 100%, $F$11)</f>
        <v>31.316299999999998</v>
      </c>
      <c r="G788" s="8">
        <f>29.8907 * CHOOSE( CONTROL!$C$15, $D$11, 100%, $F$11)</f>
        <v>29.890699999999999</v>
      </c>
      <c r="H788" s="4">
        <f>30.8216 * CHOOSE(CONTROL!$C$15, $D$11, 100%, $F$11)</f>
        <v>30.8216</v>
      </c>
      <c r="I788" s="8">
        <f>29.4868 * CHOOSE(CONTROL!$C$15, $D$11, 100%, $F$11)</f>
        <v>29.486799999999999</v>
      </c>
      <c r="J788" s="4">
        <f>29.3676 * CHOOSE(CONTROL!$C$15, $D$11, 100%, $F$11)</f>
        <v>29.367599999999999</v>
      </c>
      <c r="K788" s="4"/>
      <c r="L788" s="9">
        <v>30.092199999999998</v>
      </c>
      <c r="M788" s="9">
        <v>11.6745</v>
      </c>
      <c r="N788" s="9">
        <v>4.7850000000000001</v>
      </c>
      <c r="O788" s="9">
        <v>0.36199999999999999</v>
      </c>
      <c r="P788" s="9">
        <v>1.1791</v>
      </c>
      <c r="Q788" s="9">
        <v>19.053000000000001</v>
      </c>
      <c r="R788" s="9"/>
      <c r="S788" s="11"/>
    </row>
    <row r="789" spans="1:19" ht="15.75">
      <c r="A789" s="13">
        <v>65531</v>
      </c>
      <c r="B789" s="8">
        <f>CHOOSE( CONTROL!$C$32, 31.4384, 31.4336) * CHOOSE(CONTROL!$C$15, $D$11, 100%, $F$11)</f>
        <v>31.438400000000001</v>
      </c>
      <c r="C789" s="8">
        <f>CHOOSE( CONTROL!$C$32, 31.4465, 31.4417) * CHOOSE(CONTROL!$C$15, $D$11, 100%, $F$11)</f>
        <v>31.4465</v>
      </c>
      <c r="D789" s="8">
        <f>CHOOSE( CONTROL!$C$32, 31.4678, 31.463) * CHOOSE( CONTROL!$C$15, $D$11, 100%, $F$11)</f>
        <v>31.4678</v>
      </c>
      <c r="E789" s="12">
        <f>CHOOSE( CONTROL!$C$32, 31.4588, 31.454) * CHOOSE( CONTROL!$C$15, $D$11, 100%, $F$11)</f>
        <v>31.4588</v>
      </c>
      <c r="F789" s="4">
        <f>CHOOSE( CONTROL!$C$32, 32.1362, 32.1314) * CHOOSE(CONTROL!$C$15, $D$11, 100%, $F$11)</f>
        <v>32.136200000000002</v>
      </c>
      <c r="G789" s="8">
        <f>CHOOSE( CONTROL!$C$32, 30.6925, 30.6878) * CHOOSE( CONTROL!$C$15, $D$11, 100%, $F$11)</f>
        <v>30.692499999999999</v>
      </c>
      <c r="H789" s="4">
        <f>CHOOSE( CONTROL!$C$32, 31.6223, 31.6176) * CHOOSE(CONTROL!$C$15, $D$11, 100%, $F$11)</f>
        <v>31.622299999999999</v>
      </c>
      <c r="I789" s="8">
        <f>CHOOSE( CONTROL!$C$32, 30.2744, 30.2697) * CHOOSE(CONTROL!$C$15, $D$11, 100%, $F$11)</f>
        <v>30.2744</v>
      </c>
      <c r="J789" s="4">
        <f>CHOOSE( CONTROL!$C$32, 30.1548, 30.1501) * CHOOSE(CONTROL!$C$15, $D$11, 100%, $F$11)</f>
        <v>30.154800000000002</v>
      </c>
      <c r="K789" s="4"/>
      <c r="L789" s="9">
        <v>30.7165</v>
      </c>
      <c r="M789" s="9">
        <v>12.063700000000001</v>
      </c>
      <c r="N789" s="9">
        <v>4.9444999999999997</v>
      </c>
      <c r="O789" s="9">
        <v>0.37409999999999999</v>
      </c>
      <c r="P789" s="9">
        <v>1.2183999999999999</v>
      </c>
      <c r="Q789" s="9">
        <v>19.688099999999999</v>
      </c>
      <c r="R789" s="9"/>
      <c r="S789" s="11"/>
    </row>
    <row r="790" spans="1:19" ht="15.75">
      <c r="A790" s="13">
        <v>65561</v>
      </c>
      <c r="B790" s="8">
        <f>CHOOSE( CONTROL!$C$32, 30.9335, 30.9287) * CHOOSE(CONTROL!$C$15, $D$11, 100%, $F$11)</f>
        <v>30.933499999999999</v>
      </c>
      <c r="C790" s="8">
        <f>CHOOSE( CONTROL!$C$32, 30.9416, 30.9368) * CHOOSE(CONTROL!$C$15, $D$11, 100%, $F$11)</f>
        <v>30.941600000000001</v>
      </c>
      <c r="D790" s="8">
        <f>CHOOSE( CONTROL!$C$32, 30.9631, 30.9583) * CHOOSE( CONTROL!$C$15, $D$11, 100%, $F$11)</f>
        <v>30.963100000000001</v>
      </c>
      <c r="E790" s="12">
        <f>CHOOSE( CONTROL!$C$32, 30.9541, 30.9493) * CHOOSE( CONTROL!$C$15, $D$11, 100%, $F$11)</f>
        <v>30.9541</v>
      </c>
      <c r="F790" s="4">
        <f>CHOOSE( CONTROL!$C$32, 31.6313, 31.6265) * CHOOSE(CONTROL!$C$15, $D$11, 100%, $F$11)</f>
        <v>31.6313</v>
      </c>
      <c r="G790" s="8">
        <f>CHOOSE( CONTROL!$C$32, 30.1996, 30.1949) * CHOOSE( CONTROL!$C$15, $D$11, 100%, $F$11)</f>
        <v>30.1996</v>
      </c>
      <c r="H790" s="4">
        <f>CHOOSE( CONTROL!$C$32, 31.1292, 31.1245) * CHOOSE(CONTROL!$C$15, $D$11, 100%, $F$11)</f>
        <v>31.129200000000001</v>
      </c>
      <c r="I790" s="8">
        <f>CHOOSE( CONTROL!$C$32, 29.7903, 29.7857) * CHOOSE(CONTROL!$C$15, $D$11, 100%, $F$11)</f>
        <v>29.790299999999998</v>
      </c>
      <c r="J790" s="4">
        <f>CHOOSE( CONTROL!$C$32, 29.67, 29.6654) * CHOOSE(CONTROL!$C$15, $D$11, 100%, $F$11)</f>
        <v>29.67</v>
      </c>
      <c r="K790" s="4"/>
      <c r="L790" s="9">
        <v>29.7257</v>
      </c>
      <c r="M790" s="9">
        <v>11.6745</v>
      </c>
      <c r="N790" s="9">
        <v>4.7850000000000001</v>
      </c>
      <c r="O790" s="9">
        <v>0.36199999999999999</v>
      </c>
      <c r="P790" s="9">
        <v>1.1791</v>
      </c>
      <c r="Q790" s="9">
        <v>19.053000000000001</v>
      </c>
      <c r="R790" s="9"/>
      <c r="S790" s="11"/>
    </row>
    <row r="791" spans="1:19" ht="15.75">
      <c r="A791" s="13">
        <v>65592</v>
      </c>
      <c r="B791" s="8">
        <f>CHOOSE( CONTROL!$C$32, 32.2631, 32.2582) * CHOOSE(CONTROL!$C$15, $D$11, 100%, $F$11)</f>
        <v>32.263100000000001</v>
      </c>
      <c r="C791" s="8">
        <f>CHOOSE( CONTROL!$C$32, 32.2712, 32.2663) * CHOOSE(CONTROL!$C$15, $D$11, 100%, $F$11)</f>
        <v>32.2712</v>
      </c>
      <c r="D791" s="8">
        <f>CHOOSE( CONTROL!$C$32, 32.2929, 32.2881) * CHOOSE( CONTROL!$C$15, $D$11, 100%, $F$11)</f>
        <v>32.292900000000003</v>
      </c>
      <c r="E791" s="12">
        <f>CHOOSE( CONTROL!$C$32, 32.2838, 32.279) * CHOOSE( CONTROL!$C$15, $D$11, 100%, $F$11)</f>
        <v>32.283799999999999</v>
      </c>
      <c r="F791" s="4">
        <f>CHOOSE( CONTROL!$C$32, 32.9609, 32.9561) * CHOOSE(CONTROL!$C$15, $D$11, 100%, $F$11)</f>
        <v>32.960900000000002</v>
      </c>
      <c r="G791" s="8">
        <f>CHOOSE( CONTROL!$C$32, 31.4986, 31.4939) * CHOOSE( CONTROL!$C$15, $D$11, 100%, $F$11)</f>
        <v>31.4986</v>
      </c>
      <c r="H791" s="4">
        <f>CHOOSE( CONTROL!$C$32, 32.4278, 32.4231) * CHOOSE(CONTROL!$C$15, $D$11, 100%, $F$11)</f>
        <v>32.427799999999998</v>
      </c>
      <c r="I791" s="8">
        <f>CHOOSE( CONTROL!$C$32, 31.0686, 31.0639) * CHOOSE(CONTROL!$C$15, $D$11, 100%, $F$11)</f>
        <v>31.0686</v>
      </c>
      <c r="J791" s="4">
        <f>CHOOSE( CONTROL!$C$32, 30.9466, 30.9419) * CHOOSE(CONTROL!$C$15, $D$11, 100%, $F$11)</f>
        <v>30.9466</v>
      </c>
      <c r="K791" s="4"/>
      <c r="L791" s="9">
        <v>30.7165</v>
      </c>
      <c r="M791" s="9">
        <v>12.063700000000001</v>
      </c>
      <c r="N791" s="9">
        <v>4.9444999999999997</v>
      </c>
      <c r="O791" s="9">
        <v>0.37409999999999999</v>
      </c>
      <c r="P791" s="9">
        <v>1.2183999999999999</v>
      </c>
      <c r="Q791" s="9">
        <v>19.688099999999999</v>
      </c>
      <c r="R791" s="9"/>
      <c r="S791" s="11"/>
    </row>
    <row r="792" spans="1:19" ht="15.75">
      <c r="A792" s="13">
        <v>65623</v>
      </c>
      <c r="B792" s="8">
        <f>CHOOSE( CONTROL!$C$32, 29.7753, 29.7705) * CHOOSE(CONTROL!$C$15, $D$11, 100%, $F$11)</f>
        <v>29.775300000000001</v>
      </c>
      <c r="C792" s="8">
        <f>CHOOSE( CONTROL!$C$32, 29.7834, 29.7786) * CHOOSE(CONTROL!$C$15, $D$11, 100%, $F$11)</f>
        <v>29.7834</v>
      </c>
      <c r="D792" s="8">
        <f>CHOOSE( CONTROL!$C$32, 29.8052, 29.8004) * CHOOSE( CONTROL!$C$15, $D$11, 100%, $F$11)</f>
        <v>29.805199999999999</v>
      </c>
      <c r="E792" s="12">
        <f>CHOOSE( CONTROL!$C$32, 29.7961, 29.7913) * CHOOSE( CONTROL!$C$15, $D$11, 100%, $F$11)</f>
        <v>29.796099999999999</v>
      </c>
      <c r="F792" s="4">
        <f>CHOOSE( CONTROL!$C$32, 30.4731, 30.4683) * CHOOSE(CONTROL!$C$15, $D$11, 100%, $F$11)</f>
        <v>30.473099999999999</v>
      </c>
      <c r="G792" s="8">
        <f>CHOOSE( CONTROL!$C$32, 29.0689, 29.0642) * CHOOSE( CONTROL!$C$15, $D$11, 100%, $F$11)</f>
        <v>29.068899999999999</v>
      </c>
      <c r="H792" s="4">
        <f>CHOOSE( CONTROL!$C$32, 29.998, 29.9933) * CHOOSE(CONTROL!$C$15, $D$11, 100%, $F$11)</f>
        <v>29.998000000000001</v>
      </c>
      <c r="I792" s="8">
        <f>CHOOSE( CONTROL!$C$32, 28.6792, 28.6745) * CHOOSE(CONTROL!$C$15, $D$11, 100%, $F$11)</f>
        <v>28.679200000000002</v>
      </c>
      <c r="J792" s="4">
        <f>CHOOSE( CONTROL!$C$32, 28.5581, 28.5534) * CHOOSE(CONTROL!$C$15, $D$11, 100%, $F$11)</f>
        <v>28.5581</v>
      </c>
      <c r="K792" s="4"/>
      <c r="L792" s="9">
        <v>30.7165</v>
      </c>
      <c r="M792" s="9">
        <v>12.063700000000001</v>
      </c>
      <c r="N792" s="9">
        <v>4.9444999999999997</v>
      </c>
      <c r="O792" s="9">
        <v>0.37409999999999999</v>
      </c>
      <c r="P792" s="9">
        <v>1.2183999999999999</v>
      </c>
      <c r="Q792" s="9">
        <v>19.688099999999999</v>
      </c>
      <c r="R792" s="9"/>
      <c r="S792" s="11"/>
    </row>
    <row r="793" spans="1:19" ht="15.75">
      <c r="A793" s="13">
        <v>65653</v>
      </c>
      <c r="B793" s="8">
        <f>CHOOSE( CONTROL!$C$32, 29.1524, 29.1475) * CHOOSE(CONTROL!$C$15, $D$11, 100%, $F$11)</f>
        <v>29.1524</v>
      </c>
      <c r="C793" s="8">
        <f>CHOOSE( CONTROL!$C$32, 29.1604, 29.1556) * CHOOSE(CONTROL!$C$15, $D$11, 100%, $F$11)</f>
        <v>29.160399999999999</v>
      </c>
      <c r="D793" s="8">
        <f>CHOOSE( CONTROL!$C$32, 29.1822, 29.1774) * CHOOSE( CONTROL!$C$15, $D$11, 100%, $F$11)</f>
        <v>29.182200000000002</v>
      </c>
      <c r="E793" s="12">
        <f>CHOOSE( CONTROL!$C$32, 29.1731, 29.1683) * CHOOSE( CONTROL!$C$15, $D$11, 100%, $F$11)</f>
        <v>29.173100000000002</v>
      </c>
      <c r="F793" s="4">
        <f>CHOOSE( CONTROL!$C$32, 29.8502, 29.8453) * CHOOSE(CONTROL!$C$15, $D$11, 100%, $F$11)</f>
        <v>29.850200000000001</v>
      </c>
      <c r="G793" s="8">
        <f>CHOOSE( CONTROL!$C$32, 28.4604, 28.4557) * CHOOSE( CONTROL!$C$15, $D$11, 100%, $F$11)</f>
        <v>28.4604</v>
      </c>
      <c r="H793" s="4">
        <f>CHOOSE( CONTROL!$C$32, 29.3895, 29.3848) * CHOOSE(CONTROL!$C$15, $D$11, 100%, $F$11)</f>
        <v>29.389500000000002</v>
      </c>
      <c r="I793" s="8">
        <f>CHOOSE( CONTROL!$C$32, 28.0807, 28.0761) * CHOOSE(CONTROL!$C$15, $D$11, 100%, $F$11)</f>
        <v>28.0807</v>
      </c>
      <c r="J793" s="4">
        <f>CHOOSE( CONTROL!$C$32, 27.96, 27.9553) * CHOOSE(CONTROL!$C$15, $D$11, 100%, $F$11)</f>
        <v>27.96</v>
      </c>
      <c r="K793" s="4"/>
      <c r="L793" s="9">
        <v>29.7257</v>
      </c>
      <c r="M793" s="9">
        <v>11.6745</v>
      </c>
      <c r="N793" s="9">
        <v>4.7850000000000001</v>
      </c>
      <c r="O793" s="9">
        <v>0.36199999999999999</v>
      </c>
      <c r="P793" s="9">
        <v>1.1791</v>
      </c>
      <c r="Q793" s="9">
        <v>19.053000000000001</v>
      </c>
      <c r="R793" s="9"/>
      <c r="S793" s="11"/>
    </row>
    <row r="794" spans="1:19" ht="15.75">
      <c r="A794" s="13">
        <v>65684</v>
      </c>
      <c r="B794" s="8">
        <f>30.4393 * CHOOSE(CONTROL!$C$15, $D$11, 100%, $F$11)</f>
        <v>30.439299999999999</v>
      </c>
      <c r="C794" s="8">
        <f>30.4447 * CHOOSE(CONTROL!$C$15, $D$11, 100%, $F$11)</f>
        <v>30.444700000000001</v>
      </c>
      <c r="D794" s="8">
        <f>30.4712 * CHOOSE( CONTROL!$C$15, $D$11, 100%, $F$11)</f>
        <v>30.4712</v>
      </c>
      <c r="E794" s="12">
        <f>30.4619 * CHOOSE( CONTROL!$C$15, $D$11, 100%, $F$11)</f>
        <v>30.4619</v>
      </c>
      <c r="F794" s="4">
        <f>31.1388 * CHOOSE(CONTROL!$C$15, $D$11, 100%, $F$11)</f>
        <v>31.1388</v>
      </c>
      <c r="G794" s="8">
        <f>29.7183 * CHOOSE( CONTROL!$C$15, $D$11, 100%, $F$11)</f>
        <v>29.718299999999999</v>
      </c>
      <c r="H794" s="4">
        <f>30.6482 * CHOOSE(CONTROL!$C$15, $D$11, 100%, $F$11)</f>
        <v>30.648199999999999</v>
      </c>
      <c r="I794" s="8">
        <f>29.3193 * CHOOSE(CONTROL!$C$15, $D$11, 100%, $F$11)</f>
        <v>29.319299999999998</v>
      </c>
      <c r="J794" s="4">
        <f>29.1972 * CHOOSE(CONTROL!$C$15, $D$11, 100%, $F$11)</f>
        <v>29.197199999999999</v>
      </c>
      <c r="K794" s="4"/>
      <c r="L794" s="9">
        <v>31.095300000000002</v>
      </c>
      <c r="M794" s="9">
        <v>12.063700000000001</v>
      </c>
      <c r="N794" s="9">
        <v>4.9444999999999997</v>
      </c>
      <c r="O794" s="9">
        <v>0.37409999999999999</v>
      </c>
      <c r="P794" s="9">
        <v>1.2183999999999999</v>
      </c>
      <c r="Q794" s="9">
        <v>19.688099999999999</v>
      </c>
      <c r="R794" s="9"/>
      <c r="S794" s="11"/>
    </row>
    <row r="795" spans="1:19" ht="15.75">
      <c r="A795" s="13">
        <v>65714</v>
      </c>
      <c r="B795" s="8">
        <f>32.8264 * CHOOSE(CONTROL!$C$15, $D$11, 100%, $F$11)</f>
        <v>32.8264</v>
      </c>
      <c r="C795" s="8">
        <f>32.8316 * CHOOSE(CONTROL!$C$15, $D$11, 100%, $F$11)</f>
        <v>32.831600000000002</v>
      </c>
      <c r="D795" s="8">
        <f>32.8208 * CHOOSE( CONTROL!$C$15, $D$11, 100%, $F$11)</f>
        <v>32.820799999999998</v>
      </c>
      <c r="E795" s="12">
        <f>32.8242 * CHOOSE( CONTROL!$C$15, $D$11, 100%, $F$11)</f>
        <v>32.824199999999998</v>
      </c>
      <c r="F795" s="4">
        <f>33.4753 * CHOOSE(CONTROL!$C$15, $D$11, 100%, $F$11)</f>
        <v>33.475299999999997</v>
      </c>
      <c r="G795" s="8">
        <f>32.0547 * CHOOSE( CONTROL!$C$15, $D$11, 100%, $F$11)</f>
        <v>32.054699999999997</v>
      </c>
      <c r="H795" s="4">
        <f>32.9302 * CHOOSE(CONTROL!$C$15, $D$11, 100%, $F$11)</f>
        <v>32.930199999999999</v>
      </c>
      <c r="I795" s="8">
        <f>31.6383 * CHOOSE(CONTROL!$C$15, $D$11, 100%, $F$11)</f>
        <v>31.638300000000001</v>
      </c>
      <c r="J795" s="4">
        <f>31.4894 * CHOOSE(CONTROL!$C$15, $D$11, 100%, $F$11)</f>
        <v>31.4894</v>
      </c>
      <c r="K795" s="4"/>
      <c r="L795" s="9">
        <v>28.360600000000002</v>
      </c>
      <c r="M795" s="9">
        <v>11.6745</v>
      </c>
      <c r="N795" s="9">
        <v>4.7850000000000001</v>
      </c>
      <c r="O795" s="9">
        <v>0.36199999999999999</v>
      </c>
      <c r="P795" s="9">
        <v>1.2509999999999999</v>
      </c>
      <c r="Q795" s="9">
        <v>19.053000000000001</v>
      </c>
      <c r="R795" s="9"/>
      <c r="S795" s="11"/>
    </row>
    <row r="796" spans="1:19" ht="15.75">
      <c r="A796" s="13">
        <v>65745</v>
      </c>
      <c r="B796" s="8">
        <f>32.7667 * CHOOSE(CONTROL!$C$15, $D$11, 100%, $F$11)</f>
        <v>32.7667</v>
      </c>
      <c r="C796" s="8">
        <f>32.7719 * CHOOSE(CONTROL!$C$15, $D$11, 100%, $F$11)</f>
        <v>32.771900000000002</v>
      </c>
      <c r="D796" s="8">
        <f>32.7625 * CHOOSE( CONTROL!$C$15, $D$11, 100%, $F$11)</f>
        <v>32.762500000000003</v>
      </c>
      <c r="E796" s="12">
        <f>32.7654 * CHOOSE( CONTROL!$C$15, $D$11, 100%, $F$11)</f>
        <v>32.7654</v>
      </c>
      <c r="F796" s="4">
        <f>33.4156 * CHOOSE(CONTROL!$C$15, $D$11, 100%, $F$11)</f>
        <v>33.415599999999998</v>
      </c>
      <c r="G796" s="8">
        <f>31.9974 * CHOOSE( CONTROL!$C$15, $D$11, 100%, $F$11)</f>
        <v>31.997399999999999</v>
      </c>
      <c r="H796" s="4">
        <f>32.872 * CHOOSE(CONTROL!$C$15, $D$11, 100%, $F$11)</f>
        <v>32.872</v>
      </c>
      <c r="I796" s="8">
        <f>31.5853 * CHOOSE(CONTROL!$C$15, $D$11, 100%, $F$11)</f>
        <v>31.5853</v>
      </c>
      <c r="J796" s="4">
        <f>31.4322 * CHOOSE(CONTROL!$C$15, $D$11, 100%, $F$11)</f>
        <v>31.432200000000002</v>
      </c>
      <c r="K796" s="4"/>
      <c r="L796" s="9">
        <v>29.306000000000001</v>
      </c>
      <c r="M796" s="9">
        <v>12.063700000000001</v>
      </c>
      <c r="N796" s="9">
        <v>4.9444999999999997</v>
      </c>
      <c r="O796" s="9">
        <v>0.37409999999999999</v>
      </c>
      <c r="P796" s="9">
        <v>1.2927</v>
      </c>
      <c r="Q796" s="9">
        <v>19.688099999999999</v>
      </c>
      <c r="R796" s="9"/>
      <c r="S796" s="11"/>
    </row>
    <row r="797" spans="1:19" ht="15.75">
      <c r="A797" s="13">
        <v>65776</v>
      </c>
      <c r="B797" s="8">
        <f>34.018 * CHOOSE(CONTROL!$C$15, $D$11, 100%, $F$11)</f>
        <v>34.018000000000001</v>
      </c>
      <c r="C797" s="8">
        <f>34.0232 * CHOOSE(CONTROL!$C$15, $D$11, 100%, $F$11)</f>
        <v>34.023200000000003</v>
      </c>
      <c r="D797" s="8">
        <f>34.0096 * CHOOSE( CONTROL!$C$15, $D$11, 100%, $F$11)</f>
        <v>34.009599999999999</v>
      </c>
      <c r="E797" s="12">
        <f>34.014 * CHOOSE( CONTROL!$C$15, $D$11, 100%, $F$11)</f>
        <v>34.014000000000003</v>
      </c>
      <c r="F797" s="4">
        <f>34.6669 * CHOOSE(CONTROL!$C$15, $D$11, 100%, $F$11)</f>
        <v>34.666899999999998</v>
      </c>
      <c r="G797" s="8">
        <f>33.2133 * CHOOSE( CONTROL!$C$15, $D$11, 100%, $F$11)</f>
        <v>33.213299999999997</v>
      </c>
      <c r="H797" s="4">
        <f>34.094 * CHOOSE(CONTROL!$C$15, $D$11, 100%, $F$11)</f>
        <v>34.094000000000001</v>
      </c>
      <c r="I797" s="8">
        <f>32.7635 * CHOOSE(CONTROL!$C$15, $D$11, 100%, $F$11)</f>
        <v>32.763500000000001</v>
      </c>
      <c r="J797" s="4">
        <f>32.6335 * CHOOSE(CONTROL!$C$15, $D$11, 100%, $F$11)</f>
        <v>32.633499999999998</v>
      </c>
      <c r="K797" s="4"/>
      <c r="L797" s="9">
        <v>29.306000000000001</v>
      </c>
      <c r="M797" s="9">
        <v>12.063700000000001</v>
      </c>
      <c r="N797" s="9">
        <v>4.9444999999999997</v>
      </c>
      <c r="O797" s="9">
        <v>0.37409999999999999</v>
      </c>
      <c r="P797" s="9">
        <v>1.2927</v>
      </c>
      <c r="Q797" s="9">
        <v>19.688099999999999</v>
      </c>
      <c r="R797" s="9"/>
      <c r="S797" s="11"/>
    </row>
    <row r="798" spans="1:19" ht="15.75">
      <c r="A798" s="13">
        <v>65805</v>
      </c>
      <c r="B798" s="8">
        <f>31.8206 * CHOOSE(CONTROL!$C$15, $D$11, 100%, $F$11)</f>
        <v>31.820599999999999</v>
      </c>
      <c r="C798" s="8">
        <f>31.8258 * CHOOSE(CONTROL!$C$15, $D$11, 100%, $F$11)</f>
        <v>31.825800000000001</v>
      </c>
      <c r="D798" s="8">
        <f>31.8123 * CHOOSE( CONTROL!$C$15, $D$11, 100%, $F$11)</f>
        <v>31.8123</v>
      </c>
      <c r="E798" s="12">
        <f>31.8167 * CHOOSE( CONTROL!$C$15, $D$11, 100%, $F$11)</f>
        <v>31.816700000000001</v>
      </c>
      <c r="F798" s="4">
        <f>32.4695 * CHOOSE(CONTROL!$C$15, $D$11, 100%, $F$11)</f>
        <v>32.469499999999996</v>
      </c>
      <c r="G798" s="8">
        <f>31.0671 * CHOOSE( CONTROL!$C$15, $D$11, 100%, $F$11)</f>
        <v>31.0671</v>
      </c>
      <c r="H798" s="4">
        <f>31.9479 * CHOOSE(CONTROL!$C$15, $D$11, 100%, $F$11)</f>
        <v>31.947900000000001</v>
      </c>
      <c r="I798" s="8">
        <f>30.6527 * CHOOSE(CONTROL!$C$15, $D$11, 100%, $F$11)</f>
        <v>30.652699999999999</v>
      </c>
      <c r="J798" s="4">
        <f>30.5238 * CHOOSE(CONTROL!$C$15, $D$11, 100%, $F$11)</f>
        <v>30.523800000000001</v>
      </c>
      <c r="K798" s="4"/>
      <c r="L798" s="9">
        <v>27.415299999999998</v>
      </c>
      <c r="M798" s="9">
        <v>11.285299999999999</v>
      </c>
      <c r="N798" s="9">
        <v>4.6254999999999997</v>
      </c>
      <c r="O798" s="9">
        <v>0.34989999999999999</v>
      </c>
      <c r="P798" s="9">
        <v>1.2093</v>
      </c>
      <c r="Q798" s="9">
        <v>18.417899999999999</v>
      </c>
      <c r="R798" s="9"/>
      <c r="S798" s="11"/>
    </row>
    <row r="799" spans="1:19" ht="15.75">
      <c r="A799" s="13">
        <v>65836</v>
      </c>
      <c r="B799" s="8">
        <f>31.1438 * CHOOSE(CONTROL!$C$15, $D$11, 100%, $F$11)</f>
        <v>31.143799999999999</v>
      </c>
      <c r="C799" s="8">
        <f>31.149 * CHOOSE(CONTROL!$C$15, $D$11, 100%, $F$11)</f>
        <v>31.149000000000001</v>
      </c>
      <c r="D799" s="8">
        <f>31.1352 * CHOOSE( CONTROL!$C$15, $D$11, 100%, $F$11)</f>
        <v>31.135200000000001</v>
      </c>
      <c r="E799" s="12">
        <f>31.1397 * CHOOSE( CONTROL!$C$15, $D$11, 100%, $F$11)</f>
        <v>31.139700000000001</v>
      </c>
      <c r="F799" s="4">
        <f>31.7927 * CHOOSE(CONTROL!$C$15, $D$11, 100%, $F$11)</f>
        <v>31.7927</v>
      </c>
      <c r="G799" s="8">
        <f>30.4058 * CHOOSE( CONTROL!$C$15, $D$11, 100%, $F$11)</f>
        <v>30.405799999999999</v>
      </c>
      <c r="H799" s="4">
        <f>31.2868 * CHOOSE(CONTROL!$C$15, $D$11, 100%, $F$11)</f>
        <v>31.286799999999999</v>
      </c>
      <c r="I799" s="8">
        <f>30.0016 * CHOOSE(CONTROL!$C$15, $D$11, 100%, $F$11)</f>
        <v>30.0016</v>
      </c>
      <c r="J799" s="4">
        <f>29.874 * CHOOSE(CONTROL!$C$15, $D$11, 100%, $F$11)</f>
        <v>29.873999999999999</v>
      </c>
      <c r="K799" s="4"/>
      <c r="L799" s="9">
        <v>29.306000000000001</v>
      </c>
      <c r="M799" s="9">
        <v>12.063700000000001</v>
      </c>
      <c r="N799" s="9">
        <v>4.9444999999999997</v>
      </c>
      <c r="O799" s="9">
        <v>0.37409999999999999</v>
      </c>
      <c r="P799" s="9">
        <v>1.2927</v>
      </c>
      <c r="Q799" s="9">
        <v>19.688099999999999</v>
      </c>
      <c r="R799" s="9"/>
      <c r="S799" s="11"/>
    </row>
    <row r="800" spans="1:19" ht="15.75">
      <c r="A800" s="13">
        <v>65866</v>
      </c>
      <c r="B800" s="8">
        <f>31.6175 * CHOOSE(CONTROL!$C$15, $D$11, 100%, $F$11)</f>
        <v>31.6175</v>
      </c>
      <c r="C800" s="8">
        <f>31.6221 * CHOOSE(CONTROL!$C$15, $D$11, 100%, $F$11)</f>
        <v>31.6221</v>
      </c>
      <c r="D800" s="8">
        <f>31.6484 * CHOOSE( CONTROL!$C$15, $D$11, 100%, $F$11)</f>
        <v>31.648399999999999</v>
      </c>
      <c r="E800" s="12">
        <f>31.6392 * CHOOSE( CONTROL!$C$15, $D$11, 100%, $F$11)</f>
        <v>31.639199999999999</v>
      </c>
      <c r="F800" s="4">
        <f>32.3167 * CHOOSE(CONTROL!$C$15, $D$11, 100%, $F$11)</f>
        <v>32.316699999999997</v>
      </c>
      <c r="G800" s="8">
        <f>30.8678 * CHOOSE( CONTROL!$C$15, $D$11, 100%, $F$11)</f>
        <v>30.867799999999999</v>
      </c>
      <c r="H800" s="4">
        <f>31.7986 * CHOOSE(CONTROL!$C$15, $D$11, 100%, $F$11)</f>
        <v>31.7986</v>
      </c>
      <c r="I800" s="8">
        <f>30.4478 * CHOOSE(CONTROL!$C$15, $D$11, 100%, $F$11)</f>
        <v>30.447800000000001</v>
      </c>
      <c r="J800" s="4">
        <f>30.3281 * CHOOSE(CONTROL!$C$15, $D$11, 100%, $F$11)</f>
        <v>30.328099999999999</v>
      </c>
      <c r="K800" s="4"/>
      <c r="L800" s="9">
        <v>30.092199999999998</v>
      </c>
      <c r="M800" s="9">
        <v>11.6745</v>
      </c>
      <c r="N800" s="9">
        <v>4.7850000000000001</v>
      </c>
      <c r="O800" s="9">
        <v>0.36199999999999999</v>
      </c>
      <c r="P800" s="9">
        <v>1.1791</v>
      </c>
      <c r="Q800" s="9">
        <v>19.053000000000001</v>
      </c>
      <c r="R800" s="9"/>
      <c r="S800" s="11"/>
    </row>
    <row r="801" spans="1:19" ht="15.75">
      <c r="A801" s="13">
        <v>65897</v>
      </c>
      <c r="B801" s="8">
        <f>CHOOSE( CONTROL!$C$32, 32.4654, 32.4606) * CHOOSE(CONTROL!$C$15, $D$11, 100%, $F$11)</f>
        <v>32.465400000000002</v>
      </c>
      <c r="C801" s="8">
        <f>CHOOSE( CONTROL!$C$32, 32.4735, 32.4687) * CHOOSE(CONTROL!$C$15, $D$11, 100%, $F$11)</f>
        <v>32.473500000000001</v>
      </c>
      <c r="D801" s="8">
        <f>CHOOSE( CONTROL!$C$32, 32.4948, 32.49) * CHOOSE( CONTROL!$C$15, $D$11, 100%, $F$11)</f>
        <v>32.494799999999998</v>
      </c>
      <c r="E801" s="12">
        <f>CHOOSE( CONTROL!$C$32, 32.4858, 32.481) * CHOOSE( CONTROL!$C$15, $D$11, 100%, $F$11)</f>
        <v>32.485799999999998</v>
      </c>
      <c r="F801" s="4">
        <f>CHOOSE( CONTROL!$C$32, 33.1632, 33.1584) * CHOOSE(CONTROL!$C$15, $D$11, 100%, $F$11)</f>
        <v>33.163200000000003</v>
      </c>
      <c r="G801" s="8">
        <f>CHOOSE( CONTROL!$C$32, 31.6956, 31.6908) * CHOOSE( CONTROL!$C$15, $D$11, 100%, $F$11)</f>
        <v>31.695599999999999</v>
      </c>
      <c r="H801" s="4">
        <f>CHOOSE( CONTROL!$C$32, 32.6254, 32.6207) * CHOOSE(CONTROL!$C$15, $D$11, 100%, $F$11)</f>
        <v>32.625399999999999</v>
      </c>
      <c r="I801" s="8">
        <f>CHOOSE( CONTROL!$C$32, 31.2609, 31.2562) * CHOOSE(CONTROL!$C$15, $D$11, 100%, $F$11)</f>
        <v>31.260899999999999</v>
      </c>
      <c r="J801" s="4">
        <f>CHOOSE( CONTROL!$C$32, 31.1408, 31.1362) * CHOOSE(CONTROL!$C$15, $D$11, 100%, $F$11)</f>
        <v>31.140799999999999</v>
      </c>
      <c r="K801" s="4"/>
      <c r="L801" s="9">
        <v>30.7165</v>
      </c>
      <c r="M801" s="9">
        <v>12.063700000000001</v>
      </c>
      <c r="N801" s="9">
        <v>4.9444999999999997</v>
      </c>
      <c r="O801" s="9">
        <v>0.37409999999999999</v>
      </c>
      <c r="P801" s="9">
        <v>1.2183999999999999</v>
      </c>
      <c r="Q801" s="9">
        <v>19.688099999999999</v>
      </c>
      <c r="R801" s="9"/>
      <c r="S801" s="11"/>
    </row>
    <row r="802" spans="1:19" ht="15.75">
      <c r="A802" s="13">
        <v>65927</v>
      </c>
      <c r="B802" s="8">
        <f>CHOOSE( CONTROL!$C$32, 31.944, 31.9392) * CHOOSE(CONTROL!$C$15, $D$11, 100%, $F$11)</f>
        <v>31.943999999999999</v>
      </c>
      <c r="C802" s="8">
        <f>CHOOSE( CONTROL!$C$32, 31.9521, 31.9473) * CHOOSE(CONTROL!$C$15, $D$11, 100%, $F$11)</f>
        <v>31.952100000000002</v>
      </c>
      <c r="D802" s="8">
        <f>CHOOSE( CONTROL!$C$32, 31.9736, 31.9688) * CHOOSE( CONTROL!$C$15, $D$11, 100%, $F$11)</f>
        <v>31.973600000000001</v>
      </c>
      <c r="E802" s="12">
        <f>CHOOSE( CONTROL!$C$32, 31.9646, 31.9598) * CHOOSE( CONTROL!$C$15, $D$11, 100%, $F$11)</f>
        <v>31.964600000000001</v>
      </c>
      <c r="F802" s="4">
        <f>CHOOSE( CONTROL!$C$32, 32.6418, 32.637) * CHOOSE(CONTROL!$C$15, $D$11, 100%, $F$11)</f>
        <v>32.641800000000003</v>
      </c>
      <c r="G802" s="8">
        <f>CHOOSE( CONTROL!$C$32, 31.1866, 31.1819) * CHOOSE( CONTROL!$C$15, $D$11, 100%, $F$11)</f>
        <v>31.186599999999999</v>
      </c>
      <c r="H802" s="4">
        <f>CHOOSE( CONTROL!$C$32, 32.1161, 32.1114) * CHOOSE(CONTROL!$C$15, $D$11, 100%, $F$11)</f>
        <v>32.116100000000003</v>
      </c>
      <c r="I802" s="8">
        <f>CHOOSE( CONTROL!$C$32, 30.761, 30.7563) * CHOOSE(CONTROL!$C$15, $D$11, 100%, $F$11)</f>
        <v>30.760999999999999</v>
      </c>
      <c r="J802" s="4">
        <f>CHOOSE( CONTROL!$C$32, 30.6402, 30.6356) * CHOOSE(CONTROL!$C$15, $D$11, 100%, $F$11)</f>
        <v>30.6402</v>
      </c>
      <c r="K802" s="4"/>
      <c r="L802" s="9">
        <v>29.7257</v>
      </c>
      <c r="M802" s="9">
        <v>11.6745</v>
      </c>
      <c r="N802" s="9">
        <v>4.7850000000000001</v>
      </c>
      <c r="O802" s="9">
        <v>0.36199999999999999</v>
      </c>
      <c r="P802" s="9">
        <v>1.1791</v>
      </c>
      <c r="Q802" s="9">
        <v>19.053000000000001</v>
      </c>
      <c r="R802" s="9"/>
      <c r="S802" s="11"/>
    </row>
    <row r="803" spans="1:19" ht="15.75">
      <c r="A803" s="13">
        <v>65958</v>
      </c>
      <c r="B803" s="8">
        <f>CHOOSE( CONTROL!$C$32, 33.317, 33.3122) * CHOOSE(CONTROL!$C$15, $D$11, 100%, $F$11)</f>
        <v>33.317</v>
      </c>
      <c r="C803" s="8">
        <f>CHOOSE( CONTROL!$C$32, 33.3251, 33.3203) * CHOOSE(CONTROL!$C$15, $D$11, 100%, $F$11)</f>
        <v>33.325099999999999</v>
      </c>
      <c r="D803" s="8">
        <f>CHOOSE( CONTROL!$C$32, 33.3469, 33.342) * CHOOSE( CONTROL!$C$15, $D$11, 100%, $F$11)</f>
        <v>33.346899999999998</v>
      </c>
      <c r="E803" s="12">
        <f>CHOOSE( CONTROL!$C$32, 33.3378, 33.3329) * CHOOSE( CONTROL!$C$15, $D$11, 100%, $F$11)</f>
        <v>33.337800000000001</v>
      </c>
      <c r="F803" s="4">
        <f>CHOOSE( CONTROL!$C$32, 34.0149, 34.01) * CHOOSE(CONTROL!$C$15, $D$11, 100%, $F$11)</f>
        <v>34.014899999999997</v>
      </c>
      <c r="G803" s="8">
        <f>CHOOSE( CONTROL!$C$32, 32.528, 32.5233) * CHOOSE( CONTROL!$C$15, $D$11, 100%, $F$11)</f>
        <v>32.527999999999999</v>
      </c>
      <c r="H803" s="4">
        <f>CHOOSE( CONTROL!$C$32, 33.4572, 33.4525) * CHOOSE(CONTROL!$C$15, $D$11, 100%, $F$11)</f>
        <v>33.4572</v>
      </c>
      <c r="I803" s="8">
        <f>CHOOSE( CONTROL!$C$32, 32.081, 32.0764) * CHOOSE(CONTROL!$C$15, $D$11, 100%, $F$11)</f>
        <v>32.081000000000003</v>
      </c>
      <c r="J803" s="4">
        <f>CHOOSE( CONTROL!$C$32, 31.9585, 31.9538) * CHOOSE(CONTROL!$C$15, $D$11, 100%, $F$11)</f>
        <v>31.958500000000001</v>
      </c>
      <c r="K803" s="4"/>
      <c r="L803" s="9">
        <v>30.7165</v>
      </c>
      <c r="M803" s="9">
        <v>12.063700000000001</v>
      </c>
      <c r="N803" s="9">
        <v>4.9444999999999997</v>
      </c>
      <c r="O803" s="9">
        <v>0.37409999999999999</v>
      </c>
      <c r="P803" s="9">
        <v>1.2183999999999999</v>
      </c>
      <c r="Q803" s="9">
        <v>19.688099999999999</v>
      </c>
      <c r="R803" s="9"/>
      <c r="S803" s="11"/>
    </row>
    <row r="804" spans="1:19" ht="15.75">
      <c r="A804" s="13">
        <v>65989</v>
      </c>
      <c r="B804" s="8">
        <f>CHOOSE( CONTROL!$C$32, 30.7479, 30.7431) * CHOOSE(CONTROL!$C$15, $D$11, 100%, $F$11)</f>
        <v>30.747900000000001</v>
      </c>
      <c r="C804" s="8">
        <f>CHOOSE( CONTROL!$C$32, 30.756, 30.7512) * CHOOSE(CONTROL!$C$15, $D$11, 100%, $F$11)</f>
        <v>30.756</v>
      </c>
      <c r="D804" s="8">
        <f>CHOOSE( CONTROL!$C$32, 30.7778, 30.773) * CHOOSE( CONTROL!$C$15, $D$11, 100%, $F$11)</f>
        <v>30.777799999999999</v>
      </c>
      <c r="E804" s="12">
        <f>CHOOSE( CONTROL!$C$32, 30.7687, 30.7639) * CHOOSE( CONTROL!$C$15, $D$11, 100%, $F$11)</f>
        <v>30.768699999999999</v>
      </c>
      <c r="F804" s="4">
        <f>CHOOSE( CONTROL!$C$32, 31.4457, 31.4409) * CHOOSE(CONTROL!$C$15, $D$11, 100%, $F$11)</f>
        <v>31.445699999999999</v>
      </c>
      <c r="G804" s="8">
        <f>CHOOSE( CONTROL!$C$32, 30.0188, 30.0141) * CHOOSE( CONTROL!$C$15, $D$11, 100%, $F$11)</f>
        <v>30.018799999999999</v>
      </c>
      <c r="H804" s="4">
        <f>CHOOSE( CONTROL!$C$32, 30.9479, 30.9432) * CHOOSE(CONTROL!$C$15, $D$11, 100%, $F$11)</f>
        <v>30.947900000000001</v>
      </c>
      <c r="I804" s="8">
        <f>CHOOSE( CONTROL!$C$32, 29.6135, 29.6088) * CHOOSE(CONTROL!$C$15, $D$11, 100%, $F$11)</f>
        <v>29.613499999999998</v>
      </c>
      <c r="J804" s="4">
        <f>CHOOSE( CONTROL!$C$32, 29.4919, 29.4872) * CHOOSE(CONTROL!$C$15, $D$11, 100%, $F$11)</f>
        <v>29.491900000000001</v>
      </c>
      <c r="K804" s="4"/>
      <c r="L804" s="9">
        <v>30.7165</v>
      </c>
      <c r="M804" s="9">
        <v>12.063700000000001</v>
      </c>
      <c r="N804" s="9">
        <v>4.9444999999999997</v>
      </c>
      <c r="O804" s="9">
        <v>0.37409999999999999</v>
      </c>
      <c r="P804" s="9">
        <v>1.2183999999999999</v>
      </c>
      <c r="Q804" s="9">
        <v>19.688099999999999</v>
      </c>
      <c r="R804" s="9"/>
      <c r="S804" s="11"/>
    </row>
    <row r="805" spans="1:19" ht="15.75">
      <c r="A805" s="13">
        <v>66019</v>
      </c>
      <c r="B805" s="8">
        <f>CHOOSE( CONTROL!$C$32, 30.1046, 30.0998) * CHOOSE(CONTROL!$C$15, $D$11, 100%, $F$11)</f>
        <v>30.104600000000001</v>
      </c>
      <c r="C805" s="8">
        <f>CHOOSE( CONTROL!$C$32, 30.1127, 30.1079) * CHOOSE(CONTROL!$C$15, $D$11, 100%, $F$11)</f>
        <v>30.1127</v>
      </c>
      <c r="D805" s="8">
        <f>CHOOSE( CONTROL!$C$32, 30.1345, 30.1296) * CHOOSE( CONTROL!$C$15, $D$11, 100%, $F$11)</f>
        <v>30.134499999999999</v>
      </c>
      <c r="E805" s="12">
        <f>CHOOSE( CONTROL!$C$32, 30.1254, 30.1205) * CHOOSE( CONTROL!$C$15, $D$11, 100%, $F$11)</f>
        <v>30.125399999999999</v>
      </c>
      <c r="F805" s="4">
        <f>CHOOSE( CONTROL!$C$32, 30.8024, 30.7976) * CHOOSE(CONTROL!$C$15, $D$11, 100%, $F$11)</f>
        <v>30.802399999999999</v>
      </c>
      <c r="G805" s="8">
        <f>CHOOSE( CONTROL!$C$32, 29.3905, 29.3857) * CHOOSE( CONTROL!$C$15, $D$11, 100%, $F$11)</f>
        <v>29.390499999999999</v>
      </c>
      <c r="H805" s="4">
        <f>CHOOSE( CONTROL!$C$32, 30.3196, 30.3149) * CHOOSE(CONTROL!$C$15, $D$11, 100%, $F$11)</f>
        <v>30.319600000000001</v>
      </c>
      <c r="I805" s="8">
        <f>CHOOSE( CONTROL!$C$32, 28.9954, 28.9908) * CHOOSE(CONTROL!$C$15, $D$11, 100%, $F$11)</f>
        <v>28.9954</v>
      </c>
      <c r="J805" s="4">
        <f>CHOOSE( CONTROL!$C$32, 28.8742, 28.8696) * CHOOSE(CONTROL!$C$15, $D$11, 100%, $F$11)</f>
        <v>28.874199999999998</v>
      </c>
      <c r="K805" s="4"/>
      <c r="L805" s="9">
        <v>29.7257</v>
      </c>
      <c r="M805" s="9">
        <v>11.6745</v>
      </c>
      <c r="N805" s="9">
        <v>4.7850000000000001</v>
      </c>
      <c r="O805" s="9">
        <v>0.36199999999999999</v>
      </c>
      <c r="P805" s="9">
        <v>1.1791</v>
      </c>
      <c r="Q805" s="9">
        <v>19.053000000000001</v>
      </c>
      <c r="R805" s="9"/>
      <c r="S805" s="11"/>
    </row>
    <row r="806" spans="1:19" ht="15.75">
      <c r="A806" s="13">
        <v>66050</v>
      </c>
      <c r="B806" s="8">
        <f>31.4338 * CHOOSE(CONTROL!$C$15, $D$11, 100%, $F$11)</f>
        <v>31.433800000000002</v>
      </c>
      <c r="C806" s="8">
        <f>31.4393 * CHOOSE(CONTROL!$C$15, $D$11, 100%, $F$11)</f>
        <v>31.439299999999999</v>
      </c>
      <c r="D806" s="8">
        <f>31.4657 * CHOOSE( CONTROL!$C$15, $D$11, 100%, $F$11)</f>
        <v>31.465699999999998</v>
      </c>
      <c r="E806" s="12">
        <f>31.4564 * CHOOSE( CONTROL!$C$15, $D$11, 100%, $F$11)</f>
        <v>31.456399999999999</v>
      </c>
      <c r="F806" s="4">
        <f>32.1334 * CHOOSE(CONTROL!$C$15, $D$11, 100%, $F$11)</f>
        <v>32.133400000000002</v>
      </c>
      <c r="G806" s="8">
        <f>30.6896 * CHOOSE( CONTROL!$C$15, $D$11, 100%, $F$11)</f>
        <v>30.689599999999999</v>
      </c>
      <c r="H806" s="4">
        <f>31.6195 * CHOOSE(CONTROL!$C$15, $D$11, 100%, $F$11)</f>
        <v>31.619499999999999</v>
      </c>
      <c r="I806" s="8">
        <f>30.2746 * CHOOSE(CONTROL!$C$15, $D$11, 100%, $F$11)</f>
        <v>30.2746</v>
      </c>
      <c r="J806" s="4">
        <f>30.1521 * CHOOSE(CONTROL!$C$15, $D$11, 100%, $F$11)</f>
        <v>30.152100000000001</v>
      </c>
      <c r="K806" s="4"/>
      <c r="L806" s="9">
        <v>31.095300000000002</v>
      </c>
      <c r="M806" s="9">
        <v>12.063700000000001</v>
      </c>
      <c r="N806" s="9">
        <v>4.9444999999999997</v>
      </c>
      <c r="O806" s="9">
        <v>0.37409999999999999</v>
      </c>
      <c r="P806" s="9">
        <v>1.2183999999999999</v>
      </c>
      <c r="Q806" s="9">
        <v>19.688099999999999</v>
      </c>
      <c r="R806" s="9"/>
      <c r="S806" s="11"/>
    </row>
    <row r="807" spans="1:19" ht="15.75">
      <c r="A807" s="13">
        <v>66080</v>
      </c>
      <c r="B807" s="8">
        <f>33.899 * CHOOSE(CONTROL!$C$15, $D$11, 100%, $F$11)</f>
        <v>33.899000000000001</v>
      </c>
      <c r="C807" s="8">
        <f>33.9042 * CHOOSE(CONTROL!$C$15, $D$11, 100%, $F$11)</f>
        <v>33.904200000000003</v>
      </c>
      <c r="D807" s="8">
        <f>33.8934 * CHOOSE( CONTROL!$C$15, $D$11, 100%, $F$11)</f>
        <v>33.8934</v>
      </c>
      <c r="E807" s="12">
        <f>33.8968 * CHOOSE( CONTROL!$C$15, $D$11, 100%, $F$11)</f>
        <v>33.896799999999999</v>
      </c>
      <c r="F807" s="4">
        <f>34.5479 * CHOOSE(CONTROL!$C$15, $D$11, 100%, $F$11)</f>
        <v>34.547899999999998</v>
      </c>
      <c r="G807" s="8">
        <f>33.1023 * CHOOSE( CONTROL!$C$15, $D$11, 100%, $F$11)</f>
        <v>33.1023</v>
      </c>
      <c r="H807" s="4">
        <f>33.9778 * CHOOSE(CONTROL!$C$15, $D$11, 100%, $F$11)</f>
        <v>33.977800000000002</v>
      </c>
      <c r="I807" s="8">
        <f>32.6686 * CHOOSE(CONTROL!$C$15, $D$11, 100%, $F$11)</f>
        <v>32.668599999999998</v>
      </c>
      <c r="J807" s="4">
        <f>32.5193 * CHOOSE(CONTROL!$C$15, $D$11, 100%, $F$11)</f>
        <v>32.519300000000001</v>
      </c>
      <c r="K807" s="4"/>
      <c r="L807" s="9">
        <v>28.360600000000002</v>
      </c>
      <c r="M807" s="9">
        <v>11.6745</v>
      </c>
      <c r="N807" s="9">
        <v>4.7850000000000001</v>
      </c>
      <c r="O807" s="9">
        <v>0.36199999999999999</v>
      </c>
      <c r="P807" s="9">
        <v>1.2509999999999999</v>
      </c>
      <c r="Q807" s="9">
        <v>19.053000000000001</v>
      </c>
      <c r="R807" s="9"/>
      <c r="S807" s="11"/>
    </row>
    <row r="808" spans="1:19" ht="15.75">
      <c r="A808" s="13">
        <v>66111</v>
      </c>
      <c r="B808" s="8">
        <f>33.8374 * CHOOSE(CONTROL!$C$15, $D$11, 100%, $F$11)</f>
        <v>33.837400000000002</v>
      </c>
      <c r="C808" s="8">
        <f>33.8426 * CHOOSE(CONTROL!$C$15, $D$11, 100%, $F$11)</f>
        <v>33.842599999999997</v>
      </c>
      <c r="D808" s="8">
        <f>33.8332 * CHOOSE( CONTROL!$C$15, $D$11, 100%, $F$11)</f>
        <v>33.833199999999998</v>
      </c>
      <c r="E808" s="12">
        <f>33.8361 * CHOOSE( CONTROL!$C$15, $D$11, 100%, $F$11)</f>
        <v>33.836100000000002</v>
      </c>
      <c r="F808" s="4">
        <f>34.4863 * CHOOSE(CONTROL!$C$15, $D$11, 100%, $F$11)</f>
        <v>34.4863</v>
      </c>
      <c r="G808" s="8">
        <f>33.0432 * CHOOSE( CONTROL!$C$15, $D$11, 100%, $F$11)</f>
        <v>33.043199999999999</v>
      </c>
      <c r="H808" s="4">
        <f>33.9177 * CHOOSE(CONTROL!$C$15, $D$11, 100%, $F$11)</f>
        <v>33.917700000000004</v>
      </c>
      <c r="I808" s="8">
        <f>32.6138 * CHOOSE(CONTROL!$C$15, $D$11, 100%, $F$11)</f>
        <v>32.613799999999998</v>
      </c>
      <c r="J808" s="4">
        <f>32.4601 * CHOOSE(CONTROL!$C$15, $D$11, 100%, $F$11)</f>
        <v>32.460099999999997</v>
      </c>
      <c r="K808" s="4"/>
      <c r="L808" s="9">
        <v>29.306000000000001</v>
      </c>
      <c r="M808" s="9">
        <v>12.063700000000001</v>
      </c>
      <c r="N808" s="9">
        <v>4.9444999999999997</v>
      </c>
      <c r="O808" s="9">
        <v>0.37409999999999999</v>
      </c>
      <c r="P808" s="9">
        <v>1.2927</v>
      </c>
      <c r="Q808" s="9">
        <v>19.688099999999999</v>
      </c>
      <c r="R808" s="9"/>
      <c r="S808" s="11"/>
    </row>
    <row r="809" spans="1:19" ht="15.75">
      <c r="A809" s="13">
        <v>66142</v>
      </c>
      <c r="B809" s="8">
        <f>35.1296 * CHOOSE(CONTROL!$C$15, $D$11, 100%, $F$11)</f>
        <v>35.129600000000003</v>
      </c>
      <c r="C809" s="8">
        <f>35.1348 * CHOOSE(CONTROL!$C$15, $D$11, 100%, $F$11)</f>
        <v>35.134799999999998</v>
      </c>
      <c r="D809" s="8">
        <f>35.1212 * CHOOSE( CONTROL!$C$15, $D$11, 100%, $F$11)</f>
        <v>35.121200000000002</v>
      </c>
      <c r="E809" s="12">
        <f>35.1256 * CHOOSE( CONTROL!$C$15, $D$11, 100%, $F$11)</f>
        <v>35.125599999999999</v>
      </c>
      <c r="F809" s="4">
        <f>35.7785 * CHOOSE(CONTROL!$C$15, $D$11, 100%, $F$11)</f>
        <v>35.778500000000001</v>
      </c>
      <c r="G809" s="8">
        <f>34.299 * CHOOSE( CONTROL!$C$15, $D$11, 100%, $F$11)</f>
        <v>34.298999999999999</v>
      </c>
      <c r="H809" s="4">
        <f>35.1797 * CHOOSE(CONTROL!$C$15, $D$11, 100%, $F$11)</f>
        <v>35.179699999999997</v>
      </c>
      <c r="I809" s="8">
        <f>33.8313 * CHOOSE(CONTROL!$C$15, $D$11, 100%, $F$11)</f>
        <v>33.831299999999999</v>
      </c>
      <c r="J809" s="4">
        <f>33.7007 * CHOOSE(CONTROL!$C$15, $D$11, 100%, $F$11)</f>
        <v>33.700699999999998</v>
      </c>
      <c r="K809" s="4"/>
      <c r="L809" s="9">
        <v>29.306000000000001</v>
      </c>
      <c r="M809" s="9">
        <v>12.063700000000001</v>
      </c>
      <c r="N809" s="9">
        <v>4.9444999999999997</v>
      </c>
      <c r="O809" s="9">
        <v>0.37409999999999999</v>
      </c>
      <c r="P809" s="9">
        <v>1.2927</v>
      </c>
      <c r="Q809" s="9">
        <v>19.688099999999999</v>
      </c>
      <c r="R809" s="9"/>
      <c r="S809" s="11"/>
    </row>
    <row r="810" spans="1:19" ht="15.75">
      <c r="A810" s="13">
        <v>66170</v>
      </c>
      <c r="B810" s="8">
        <f>32.8603 * CHOOSE(CONTROL!$C$15, $D$11, 100%, $F$11)</f>
        <v>32.860300000000002</v>
      </c>
      <c r="C810" s="8">
        <f>32.8655 * CHOOSE(CONTROL!$C$15, $D$11, 100%, $F$11)</f>
        <v>32.865499999999997</v>
      </c>
      <c r="D810" s="8">
        <f>32.852 * CHOOSE( CONTROL!$C$15, $D$11, 100%, $F$11)</f>
        <v>32.851999999999997</v>
      </c>
      <c r="E810" s="12">
        <f>32.8564 * CHOOSE( CONTROL!$C$15, $D$11, 100%, $F$11)</f>
        <v>32.856400000000001</v>
      </c>
      <c r="F810" s="4">
        <f>33.5092 * CHOOSE(CONTROL!$C$15, $D$11, 100%, $F$11)</f>
        <v>33.5092</v>
      </c>
      <c r="G810" s="8">
        <f>32.0826 * CHOOSE( CONTROL!$C$15, $D$11, 100%, $F$11)</f>
        <v>32.082599999999999</v>
      </c>
      <c r="H810" s="4">
        <f>32.9634 * CHOOSE(CONTROL!$C$15, $D$11, 100%, $F$11)</f>
        <v>32.9634</v>
      </c>
      <c r="I810" s="8">
        <f>31.6515 * CHOOSE(CONTROL!$C$15, $D$11, 100%, $F$11)</f>
        <v>31.651499999999999</v>
      </c>
      <c r="J810" s="4">
        <f>31.522 * CHOOSE(CONTROL!$C$15, $D$11, 100%, $F$11)</f>
        <v>31.521999999999998</v>
      </c>
      <c r="K810" s="4"/>
      <c r="L810" s="9">
        <v>26.469899999999999</v>
      </c>
      <c r="M810" s="9">
        <v>10.8962</v>
      </c>
      <c r="N810" s="9">
        <v>4.4660000000000002</v>
      </c>
      <c r="O810" s="9">
        <v>0.33789999999999998</v>
      </c>
      <c r="P810" s="9">
        <v>1.1676</v>
      </c>
      <c r="Q810" s="9">
        <v>17.782800000000002</v>
      </c>
      <c r="R810" s="9"/>
      <c r="S810" s="11"/>
    </row>
    <row r="811" spans="1:19" ht="15.75">
      <c r="A811" s="13">
        <v>66201</v>
      </c>
      <c r="B811" s="8">
        <f>32.1614 * CHOOSE(CONTROL!$C$15, $D$11, 100%, $F$11)</f>
        <v>32.1614</v>
      </c>
      <c r="C811" s="8">
        <f>32.1666 * CHOOSE(CONTROL!$C$15, $D$11, 100%, $F$11)</f>
        <v>32.166600000000003</v>
      </c>
      <c r="D811" s="8">
        <f>32.1528 * CHOOSE( CONTROL!$C$15, $D$11, 100%, $F$11)</f>
        <v>32.152799999999999</v>
      </c>
      <c r="E811" s="12">
        <f>32.1573 * CHOOSE( CONTROL!$C$15, $D$11, 100%, $F$11)</f>
        <v>32.157299999999999</v>
      </c>
      <c r="F811" s="4">
        <f>32.8103 * CHOOSE(CONTROL!$C$15, $D$11, 100%, $F$11)</f>
        <v>32.810299999999998</v>
      </c>
      <c r="G811" s="8">
        <f>31.3997 * CHOOSE( CONTROL!$C$15, $D$11, 100%, $F$11)</f>
        <v>31.399699999999999</v>
      </c>
      <c r="H811" s="4">
        <f>32.2807 * CHOOSE(CONTROL!$C$15, $D$11, 100%, $F$11)</f>
        <v>32.280700000000003</v>
      </c>
      <c r="I811" s="8">
        <f>30.9791 * CHOOSE(CONTROL!$C$15, $D$11, 100%, $F$11)</f>
        <v>30.979099999999999</v>
      </c>
      <c r="J811" s="4">
        <f>30.851 * CHOOSE(CONTROL!$C$15, $D$11, 100%, $F$11)</f>
        <v>30.850999999999999</v>
      </c>
      <c r="K811" s="4"/>
      <c r="L811" s="9">
        <v>29.306000000000001</v>
      </c>
      <c r="M811" s="9">
        <v>12.063700000000001</v>
      </c>
      <c r="N811" s="9">
        <v>4.9444999999999997</v>
      </c>
      <c r="O811" s="9">
        <v>0.37409999999999999</v>
      </c>
      <c r="P811" s="9">
        <v>1.2927</v>
      </c>
      <c r="Q811" s="9">
        <v>19.688099999999999</v>
      </c>
      <c r="R811" s="9"/>
      <c r="S811" s="11"/>
    </row>
    <row r="812" spans="1:19" ht="15.75">
      <c r="A812" s="13">
        <v>66231</v>
      </c>
      <c r="B812" s="8">
        <f>32.6506 * CHOOSE(CONTROL!$C$15, $D$11, 100%, $F$11)</f>
        <v>32.650599999999997</v>
      </c>
      <c r="C812" s="8">
        <f>32.6552 * CHOOSE(CONTROL!$C$15, $D$11, 100%, $F$11)</f>
        <v>32.655200000000001</v>
      </c>
      <c r="D812" s="8">
        <f>32.6815 * CHOOSE( CONTROL!$C$15, $D$11, 100%, $F$11)</f>
        <v>32.6815</v>
      </c>
      <c r="E812" s="12">
        <f>32.6723 * CHOOSE( CONTROL!$C$15, $D$11, 100%, $F$11)</f>
        <v>32.6723</v>
      </c>
      <c r="F812" s="4">
        <f>33.3497 * CHOOSE(CONTROL!$C$15, $D$11, 100%, $F$11)</f>
        <v>33.349699999999999</v>
      </c>
      <c r="G812" s="8">
        <f>31.8768 * CHOOSE( CONTROL!$C$15, $D$11, 100%, $F$11)</f>
        <v>31.876799999999999</v>
      </c>
      <c r="H812" s="4">
        <f>32.8076 * CHOOSE(CONTROL!$C$15, $D$11, 100%, $F$11)</f>
        <v>32.807600000000001</v>
      </c>
      <c r="I812" s="8">
        <f>31.4401 * CHOOSE(CONTROL!$C$15, $D$11, 100%, $F$11)</f>
        <v>31.440100000000001</v>
      </c>
      <c r="J812" s="4">
        <f>31.3199 * CHOOSE(CONTROL!$C$15, $D$11, 100%, $F$11)</f>
        <v>31.319900000000001</v>
      </c>
      <c r="K812" s="4"/>
      <c r="L812" s="9">
        <v>30.092199999999998</v>
      </c>
      <c r="M812" s="9">
        <v>11.6745</v>
      </c>
      <c r="N812" s="9">
        <v>4.7850000000000001</v>
      </c>
      <c r="O812" s="9">
        <v>0.36199999999999999</v>
      </c>
      <c r="P812" s="9">
        <v>1.1791</v>
      </c>
      <c r="Q812" s="9">
        <v>19.053000000000001</v>
      </c>
      <c r="R812" s="9"/>
      <c r="S812" s="11"/>
    </row>
    <row r="813" spans="1:19" ht="15.75">
      <c r="A813" s="13">
        <v>66262</v>
      </c>
      <c r="B813" s="8">
        <f>CHOOSE( CONTROL!$C$32, 33.526, 33.5212) * CHOOSE(CONTROL!$C$15, $D$11, 100%, $F$11)</f>
        <v>33.526000000000003</v>
      </c>
      <c r="C813" s="8">
        <f>CHOOSE( CONTROL!$C$32, 33.5341, 33.5292) * CHOOSE(CONTROL!$C$15, $D$11, 100%, $F$11)</f>
        <v>33.534100000000002</v>
      </c>
      <c r="D813" s="8">
        <f>CHOOSE( CONTROL!$C$32, 33.5554, 33.5506) * CHOOSE( CONTROL!$C$15, $D$11, 100%, $F$11)</f>
        <v>33.555399999999999</v>
      </c>
      <c r="E813" s="12">
        <f>CHOOSE( CONTROL!$C$32, 33.5464, 33.5416) * CHOOSE( CONTROL!$C$15, $D$11, 100%, $F$11)</f>
        <v>33.546399999999998</v>
      </c>
      <c r="F813" s="4">
        <f>CHOOSE( CONTROL!$C$32, 34.2238, 34.219) * CHOOSE(CONTROL!$C$15, $D$11, 100%, $F$11)</f>
        <v>34.223799999999997</v>
      </c>
      <c r="G813" s="8">
        <f>CHOOSE( CONTROL!$C$32, 32.7314, 32.7267) * CHOOSE( CONTROL!$C$15, $D$11, 100%, $F$11)</f>
        <v>32.731400000000001</v>
      </c>
      <c r="H813" s="4">
        <f>CHOOSE( CONTROL!$C$32, 33.6613, 33.6566) * CHOOSE(CONTROL!$C$15, $D$11, 100%, $F$11)</f>
        <v>33.661299999999997</v>
      </c>
      <c r="I813" s="8">
        <f>CHOOSE( CONTROL!$C$32, 32.2797, 32.275) * CHOOSE(CONTROL!$C$15, $D$11, 100%, $F$11)</f>
        <v>32.279699999999998</v>
      </c>
      <c r="J813" s="4">
        <f>CHOOSE( CONTROL!$C$32, 32.1591, 32.1544) * CHOOSE(CONTROL!$C$15, $D$11, 100%, $F$11)</f>
        <v>32.159100000000002</v>
      </c>
      <c r="K813" s="4"/>
      <c r="L813" s="9">
        <v>30.7165</v>
      </c>
      <c r="M813" s="9">
        <v>12.063700000000001</v>
      </c>
      <c r="N813" s="9">
        <v>4.9444999999999997</v>
      </c>
      <c r="O813" s="9">
        <v>0.37409999999999999</v>
      </c>
      <c r="P813" s="9">
        <v>1.2183999999999999</v>
      </c>
      <c r="Q813" s="9">
        <v>19.688099999999999</v>
      </c>
      <c r="R813" s="9"/>
      <c r="S813" s="11"/>
    </row>
    <row r="814" spans="1:19" ht="15.75">
      <c r="A814" s="13">
        <v>66292</v>
      </c>
      <c r="B814" s="8">
        <f>CHOOSE( CONTROL!$C$32, 32.9875, 32.9827) * CHOOSE(CONTROL!$C$15, $D$11, 100%, $F$11)</f>
        <v>32.987499999999997</v>
      </c>
      <c r="C814" s="8">
        <f>CHOOSE( CONTROL!$C$32, 32.9956, 32.9908) * CHOOSE(CONTROL!$C$15, $D$11, 100%, $F$11)</f>
        <v>32.995600000000003</v>
      </c>
      <c r="D814" s="8">
        <f>CHOOSE( CONTROL!$C$32, 33.0171, 33.0123) * CHOOSE( CONTROL!$C$15, $D$11, 100%, $F$11)</f>
        <v>33.017099999999999</v>
      </c>
      <c r="E814" s="12">
        <f>CHOOSE( CONTROL!$C$32, 33.0081, 33.0033) * CHOOSE( CONTROL!$C$15, $D$11, 100%, $F$11)</f>
        <v>33.008099999999999</v>
      </c>
      <c r="F814" s="4">
        <f>CHOOSE( CONTROL!$C$32, 33.6853, 33.6805) * CHOOSE(CONTROL!$C$15, $D$11, 100%, $F$11)</f>
        <v>33.685299999999998</v>
      </c>
      <c r="G814" s="8">
        <f>CHOOSE( CONTROL!$C$32, 32.2058, 32.2011) * CHOOSE( CONTROL!$C$15, $D$11, 100%, $F$11)</f>
        <v>32.205800000000004</v>
      </c>
      <c r="H814" s="4">
        <f>CHOOSE( CONTROL!$C$32, 33.1354, 33.1307) * CHOOSE(CONTROL!$C$15, $D$11, 100%, $F$11)</f>
        <v>33.135399999999997</v>
      </c>
      <c r="I814" s="8">
        <f>CHOOSE( CONTROL!$C$32, 31.7634, 31.7587) * CHOOSE(CONTROL!$C$15, $D$11, 100%, $F$11)</f>
        <v>31.763400000000001</v>
      </c>
      <c r="J814" s="4">
        <f>CHOOSE( CONTROL!$C$32, 31.6421, 31.6375) * CHOOSE(CONTROL!$C$15, $D$11, 100%, $F$11)</f>
        <v>31.642099999999999</v>
      </c>
      <c r="K814" s="4"/>
      <c r="L814" s="9">
        <v>29.7257</v>
      </c>
      <c r="M814" s="9">
        <v>11.6745</v>
      </c>
      <c r="N814" s="9">
        <v>4.7850000000000001</v>
      </c>
      <c r="O814" s="9">
        <v>0.36199999999999999</v>
      </c>
      <c r="P814" s="9">
        <v>1.1791</v>
      </c>
      <c r="Q814" s="9">
        <v>19.053000000000001</v>
      </c>
      <c r="R814" s="9"/>
      <c r="S814" s="11"/>
    </row>
    <row r="815" spans="1:19" ht="15.75">
      <c r="A815" s="13">
        <v>66323</v>
      </c>
      <c r="B815" s="8">
        <f>CHOOSE( CONTROL!$C$32, 34.4055, 34.4007) * CHOOSE(CONTROL!$C$15, $D$11, 100%, $F$11)</f>
        <v>34.405500000000004</v>
      </c>
      <c r="C815" s="8">
        <f>CHOOSE( CONTROL!$C$32, 34.4136, 34.4087) * CHOOSE(CONTROL!$C$15, $D$11, 100%, $F$11)</f>
        <v>34.413600000000002</v>
      </c>
      <c r="D815" s="8">
        <f>CHOOSE( CONTROL!$C$32, 34.4353, 34.4305) * CHOOSE( CONTROL!$C$15, $D$11, 100%, $F$11)</f>
        <v>34.435299999999998</v>
      </c>
      <c r="E815" s="12">
        <f>CHOOSE( CONTROL!$C$32, 34.4262, 34.4214) * CHOOSE( CONTROL!$C$15, $D$11, 100%, $F$11)</f>
        <v>34.426200000000001</v>
      </c>
      <c r="F815" s="4">
        <f>CHOOSE( CONTROL!$C$32, 35.1033, 35.0985) * CHOOSE(CONTROL!$C$15, $D$11, 100%, $F$11)</f>
        <v>35.103299999999997</v>
      </c>
      <c r="G815" s="8">
        <f>CHOOSE( CONTROL!$C$32, 33.5911, 33.5864) * CHOOSE( CONTROL!$C$15, $D$11, 100%, $F$11)</f>
        <v>33.591099999999997</v>
      </c>
      <c r="H815" s="4">
        <f>CHOOSE( CONTROL!$C$32, 34.5203, 34.5156) * CHOOSE(CONTROL!$C$15, $D$11, 100%, $F$11)</f>
        <v>34.520299999999999</v>
      </c>
      <c r="I815" s="8">
        <f>CHOOSE( CONTROL!$C$32, 33.1265, 33.1219) * CHOOSE(CONTROL!$C$15, $D$11, 100%, $F$11)</f>
        <v>33.1265</v>
      </c>
      <c r="J815" s="4">
        <f>CHOOSE( CONTROL!$C$32, 33.0035, 32.9988) * CHOOSE(CONTROL!$C$15, $D$11, 100%, $F$11)</f>
        <v>33.003500000000003</v>
      </c>
      <c r="K815" s="4"/>
      <c r="L815" s="9">
        <v>30.7165</v>
      </c>
      <c r="M815" s="9">
        <v>12.063700000000001</v>
      </c>
      <c r="N815" s="9">
        <v>4.9444999999999997</v>
      </c>
      <c r="O815" s="9">
        <v>0.37409999999999999</v>
      </c>
      <c r="P815" s="9">
        <v>1.2183999999999999</v>
      </c>
      <c r="Q815" s="9">
        <v>19.688099999999999</v>
      </c>
      <c r="R815" s="9"/>
      <c r="S815" s="11"/>
    </row>
    <row r="816" spans="1:19" ht="15.75">
      <c r="A816" s="13">
        <v>66354</v>
      </c>
      <c r="B816" s="8">
        <f>CHOOSE( CONTROL!$C$32, 31.7524, 31.7475) * CHOOSE(CONTROL!$C$15, $D$11, 100%, $F$11)</f>
        <v>31.752400000000002</v>
      </c>
      <c r="C816" s="8">
        <f>CHOOSE( CONTROL!$C$32, 31.7604, 31.7556) * CHOOSE(CONTROL!$C$15, $D$11, 100%, $F$11)</f>
        <v>31.760400000000001</v>
      </c>
      <c r="D816" s="8">
        <f>CHOOSE( CONTROL!$C$32, 31.7822, 31.7774) * CHOOSE( CONTROL!$C$15, $D$11, 100%, $F$11)</f>
        <v>31.7822</v>
      </c>
      <c r="E816" s="12">
        <f>CHOOSE( CONTROL!$C$32, 31.7731, 31.7683) * CHOOSE( CONTROL!$C$15, $D$11, 100%, $F$11)</f>
        <v>31.773099999999999</v>
      </c>
      <c r="F816" s="4">
        <f>CHOOSE( CONTROL!$C$32, 32.4502, 32.4453) * CHOOSE(CONTROL!$C$15, $D$11, 100%, $F$11)</f>
        <v>32.450200000000002</v>
      </c>
      <c r="G816" s="8">
        <f>CHOOSE( CONTROL!$C$32, 30.9998, 30.9951) * CHOOSE( CONTROL!$C$15, $D$11, 100%, $F$11)</f>
        <v>30.9998</v>
      </c>
      <c r="H816" s="4">
        <f>CHOOSE( CONTROL!$C$32, 31.929, 31.9242) * CHOOSE(CONTROL!$C$15, $D$11, 100%, $F$11)</f>
        <v>31.928999999999998</v>
      </c>
      <c r="I816" s="8">
        <f>CHOOSE( CONTROL!$C$32, 30.5783, 30.5736) * CHOOSE(CONTROL!$C$15, $D$11, 100%, $F$11)</f>
        <v>30.578299999999999</v>
      </c>
      <c r="J816" s="4">
        <f>CHOOSE( CONTROL!$C$32, 30.4562, 30.4516) * CHOOSE(CONTROL!$C$15, $D$11, 100%, $F$11)</f>
        <v>30.456199999999999</v>
      </c>
      <c r="K816" s="4"/>
      <c r="L816" s="9">
        <v>30.7165</v>
      </c>
      <c r="M816" s="9">
        <v>12.063700000000001</v>
      </c>
      <c r="N816" s="9">
        <v>4.9444999999999997</v>
      </c>
      <c r="O816" s="9">
        <v>0.37409999999999999</v>
      </c>
      <c r="P816" s="9">
        <v>1.2183999999999999</v>
      </c>
      <c r="Q816" s="9">
        <v>19.688099999999999</v>
      </c>
      <c r="R816" s="9"/>
      <c r="S816" s="11"/>
    </row>
    <row r="817" spans="1:19" ht="15.75">
      <c r="A817" s="13">
        <v>66384</v>
      </c>
      <c r="B817" s="8">
        <f>CHOOSE( CONTROL!$C$32, 31.088, 31.0831) * CHOOSE(CONTROL!$C$15, $D$11, 100%, $F$11)</f>
        <v>31.088000000000001</v>
      </c>
      <c r="C817" s="8">
        <f>CHOOSE( CONTROL!$C$32, 31.0961, 31.0912) * CHOOSE(CONTROL!$C$15, $D$11, 100%, $F$11)</f>
        <v>31.0961</v>
      </c>
      <c r="D817" s="8">
        <f>CHOOSE( CONTROL!$C$32, 31.1178, 31.113) * CHOOSE( CONTROL!$C$15, $D$11, 100%, $F$11)</f>
        <v>31.117799999999999</v>
      </c>
      <c r="E817" s="12">
        <f>CHOOSE( CONTROL!$C$32, 31.1087, 31.1039) * CHOOSE( CONTROL!$C$15, $D$11, 100%, $F$11)</f>
        <v>31.108699999999999</v>
      </c>
      <c r="F817" s="4">
        <f>CHOOSE( CONTROL!$C$32, 31.7858, 31.781) * CHOOSE(CONTROL!$C$15, $D$11, 100%, $F$11)</f>
        <v>31.785799999999998</v>
      </c>
      <c r="G817" s="8">
        <f>CHOOSE( CONTROL!$C$32, 30.3509, 30.3462) * CHOOSE( CONTROL!$C$15, $D$11, 100%, $F$11)</f>
        <v>30.350899999999999</v>
      </c>
      <c r="H817" s="4">
        <f>CHOOSE( CONTROL!$C$32, 31.2801, 31.2753) * CHOOSE(CONTROL!$C$15, $D$11, 100%, $F$11)</f>
        <v>31.280100000000001</v>
      </c>
      <c r="I817" s="8">
        <f>CHOOSE( CONTROL!$C$32, 29.94, 29.9354) * CHOOSE(CONTROL!$C$15, $D$11, 100%, $F$11)</f>
        <v>29.94</v>
      </c>
      <c r="J817" s="4">
        <f>CHOOSE( CONTROL!$C$32, 29.8183, 29.8137) * CHOOSE(CONTROL!$C$15, $D$11, 100%, $F$11)</f>
        <v>29.818300000000001</v>
      </c>
      <c r="K817" s="4"/>
      <c r="L817" s="9">
        <v>29.7257</v>
      </c>
      <c r="M817" s="9">
        <v>11.6745</v>
      </c>
      <c r="N817" s="9">
        <v>4.7850000000000001</v>
      </c>
      <c r="O817" s="9">
        <v>0.36199999999999999</v>
      </c>
      <c r="P817" s="9">
        <v>1.1791</v>
      </c>
      <c r="Q817" s="9">
        <v>19.053000000000001</v>
      </c>
      <c r="R817" s="9"/>
      <c r="S817" s="11"/>
    </row>
    <row r="818" spans="1:19" ht="15.75">
      <c r="A818" s="13">
        <v>66415</v>
      </c>
      <c r="B818" s="8">
        <f>32.4609 * CHOOSE(CONTROL!$C$15, $D$11, 100%, $F$11)</f>
        <v>32.460900000000002</v>
      </c>
      <c r="C818" s="8">
        <f>32.4663 * CHOOSE(CONTROL!$C$15, $D$11, 100%, $F$11)</f>
        <v>32.466299999999997</v>
      </c>
      <c r="D818" s="8">
        <f>32.4928 * CHOOSE( CONTROL!$C$15, $D$11, 100%, $F$11)</f>
        <v>32.492800000000003</v>
      </c>
      <c r="E818" s="12">
        <f>32.4835 * CHOOSE( CONTROL!$C$15, $D$11, 100%, $F$11)</f>
        <v>32.483499999999999</v>
      </c>
      <c r="F818" s="4">
        <f>33.1604 * CHOOSE(CONTROL!$C$15, $D$11, 100%, $F$11)</f>
        <v>33.160400000000003</v>
      </c>
      <c r="G818" s="8">
        <f>31.6928 * CHOOSE( CONTROL!$C$15, $D$11, 100%, $F$11)</f>
        <v>31.692799999999998</v>
      </c>
      <c r="H818" s="4">
        <f>32.6227 * CHOOSE(CONTROL!$C$15, $D$11, 100%, $F$11)</f>
        <v>32.622700000000002</v>
      </c>
      <c r="I818" s="8">
        <f>31.2612 * CHOOSE(CONTROL!$C$15, $D$11, 100%, $F$11)</f>
        <v>31.261199999999999</v>
      </c>
      <c r="J818" s="4">
        <f>31.1381 * CHOOSE(CONTROL!$C$15, $D$11, 100%, $F$11)</f>
        <v>31.138100000000001</v>
      </c>
      <c r="K818" s="4"/>
      <c r="L818" s="9">
        <v>31.095300000000002</v>
      </c>
      <c r="M818" s="9">
        <v>12.063700000000001</v>
      </c>
      <c r="N818" s="9">
        <v>4.9444999999999997</v>
      </c>
      <c r="O818" s="9">
        <v>0.37409999999999999</v>
      </c>
      <c r="P818" s="9">
        <v>1.2183999999999999</v>
      </c>
      <c r="Q818" s="9">
        <v>19.688099999999999</v>
      </c>
      <c r="R818" s="9"/>
      <c r="S818" s="11"/>
    </row>
    <row r="819" spans="1:19" ht="15.75">
      <c r="A819" s="13">
        <v>66445</v>
      </c>
      <c r="B819" s="8">
        <f>35.0067 * CHOOSE(CONTROL!$C$15, $D$11, 100%, $F$11)</f>
        <v>35.006700000000002</v>
      </c>
      <c r="C819" s="8">
        <f>35.0119 * CHOOSE(CONTROL!$C$15, $D$11, 100%, $F$11)</f>
        <v>35.011899999999997</v>
      </c>
      <c r="D819" s="8">
        <f>35.0011 * CHOOSE( CONTROL!$C$15, $D$11, 100%, $F$11)</f>
        <v>35.001100000000001</v>
      </c>
      <c r="E819" s="12">
        <f>35.0045 * CHOOSE( CONTROL!$C$15, $D$11, 100%, $F$11)</f>
        <v>35.0045</v>
      </c>
      <c r="F819" s="4">
        <f>35.6556 * CHOOSE(CONTROL!$C$15, $D$11, 100%, $F$11)</f>
        <v>35.6556</v>
      </c>
      <c r="G819" s="8">
        <f>34.1842 * CHOOSE( CONTROL!$C$15, $D$11, 100%, $F$11)</f>
        <v>34.184199999999997</v>
      </c>
      <c r="H819" s="4">
        <f>35.0597 * CHOOSE(CONTROL!$C$15, $D$11, 100%, $F$11)</f>
        <v>35.059699999999999</v>
      </c>
      <c r="I819" s="8">
        <f>33.7326 * CHOOSE(CONTROL!$C$15, $D$11, 100%, $F$11)</f>
        <v>33.732599999999998</v>
      </c>
      <c r="J819" s="4">
        <f>33.5828 * CHOOSE(CONTROL!$C$15, $D$11, 100%, $F$11)</f>
        <v>33.582799999999999</v>
      </c>
      <c r="K819" s="4"/>
      <c r="L819" s="9">
        <v>28.360600000000002</v>
      </c>
      <c r="M819" s="9">
        <v>11.6745</v>
      </c>
      <c r="N819" s="9">
        <v>4.7850000000000001</v>
      </c>
      <c r="O819" s="9">
        <v>0.36199999999999999</v>
      </c>
      <c r="P819" s="9">
        <v>1.2509999999999999</v>
      </c>
      <c r="Q819" s="9">
        <v>19.053000000000001</v>
      </c>
      <c r="R819" s="9"/>
      <c r="S819" s="11"/>
    </row>
    <row r="820" spans="1:19" ht="15.75">
      <c r="A820" s="13">
        <v>66476</v>
      </c>
      <c r="B820" s="8">
        <f>34.9431 * CHOOSE(CONTROL!$C$15, $D$11, 100%, $F$11)</f>
        <v>34.943100000000001</v>
      </c>
      <c r="C820" s="8">
        <f>34.9483 * CHOOSE(CONTROL!$C$15, $D$11, 100%, $F$11)</f>
        <v>34.948300000000003</v>
      </c>
      <c r="D820" s="8">
        <f>34.9389 * CHOOSE( CONTROL!$C$15, $D$11, 100%, $F$11)</f>
        <v>34.938899999999997</v>
      </c>
      <c r="E820" s="12">
        <f>34.9418 * CHOOSE( CONTROL!$C$15, $D$11, 100%, $F$11)</f>
        <v>34.941800000000001</v>
      </c>
      <c r="F820" s="4">
        <f>35.592 * CHOOSE(CONTROL!$C$15, $D$11, 100%, $F$11)</f>
        <v>35.591999999999999</v>
      </c>
      <c r="G820" s="8">
        <f>34.1231 * CHOOSE( CONTROL!$C$15, $D$11, 100%, $F$11)</f>
        <v>34.123100000000001</v>
      </c>
      <c r="H820" s="4">
        <f>34.9976 * CHOOSE(CONTROL!$C$15, $D$11, 100%, $F$11)</f>
        <v>34.997599999999998</v>
      </c>
      <c r="I820" s="8">
        <f>33.6759 * CHOOSE(CONTROL!$C$15, $D$11, 100%, $F$11)</f>
        <v>33.675899999999999</v>
      </c>
      <c r="J820" s="4">
        <f>33.5217 * CHOOSE(CONTROL!$C$15, $D$11, 100%, $F$11)</f>
        <v>33.521700000000003</v>
      </c>
      <c r="K820" s="4"/>
      <c r="L820" s="9">
        <v>29.306000000000001</v>
      </c>
      <c r="M820" s="9">
        <v>12.063700000000001</v>
      </c>
      <c r="N820" s="9">
        <v>4.9444999999999997</v>
      </c>
      <c r="O820" s="9">
        <v>0.37409999999999999</v>
      </c>
      <c r="P820" s="9">
        <v>1.2927</v>
      </c>
      <c r="Q820" s="9">
        <v>19.688099999999999</v>
      </c>
      <c r="R820" s="9"/>
      <c r="S820" s="11"/>
    </row>
    <row r="821" spans="1:19" ht="15.75">
      <c r="A821" s="13">
        <v>66507</v>
      </c>
      <c r="B821" s="8">
        <f>36.2775 * CHOOSE(CONTROL!$C$15, $D$11, 100%, $F$11)</f>
        <v>36.277500000000003</v>
      </c>
      <c r="C821" s="8">
        <f>36.2827 * CHOOSE(CONTROL!$C$15, $D$11, 100%, $F$11)</f>
        <v>36.282699999999998</v>
      </c>
      <c r="D821" s="8">
        <f>36.2692 * CHOOSE( CONTROL!$C$15, $D$11, 100%, $F$11)</f>
        <v>36.269199999999998</v>
      </c>
      <c r="E821" s="12">
        <f>36.2736 * CHOOSE( CONTROL!$C$15, $D$11, 100%, $F$11)</f>
        <v>36.273600000000002</v>
      </c>
      <c r="F821" s="4">
        <f>36.9264 * CHOOSE(CONTROL!$C$15, $D$11, 100%, $F$11)</f>
        <v>36.926400000000001</v>
      </c>
      <c r="G821" s="8">
        <f>35.4202 * CHOOSE( CONTROL!$C$15, $D$11, 100%, $F$11)</f>
        <v>35.420200000000001</v>
      </c>
      <c r="H821" s="4">
        <f>36.3009 * CHOOSE(CONTROL!$C$15, $D$11, 100%, $F$11)</f>
        <v>36.300899999999999</v>
      </c>
      <c r="I821" s="8">
        <f>34.934 * CHOOSE(CONTROL!$C$15, $D$11, 100%, $F$11)</f>
        <v>34.933999999999997</v>
      </c>
      <c r="J821" s="4">
        <f>34.8029 * CHOOSE(CONTROL!$C$15, $D$11, 100%, $F$11)</f>
        <v>34.802900000000001</v>
      </c>
      <c r="K821" s="4"/>
      <c r="L821" s="9">
        <v>29.306000000000001</v>
      </c>
      <c r="M821" s="9">
        <v>12.063700000000001</v>
      </c>
      <c r="N821" s="9">
        <v>4.9444999999999997</v>
      </c>
      <c r="O821" s="9">
        <v>0.37409999999999999</v>
      </c>
      <c r="P821" s="9">
        <v>1.2927</v>
      </c>
      <c r="Q821" s="9">
        <v>19.688099999999999</v>
      </c>
      <c r="R821" s="9"/>
      <c r="S821" s="11"/>
    </row>
    <row r="822" spans="1:19" ht="15.75">
      <c r="A822" s="13">
        <v>66535</v>
      </c>
      <c r="B822" s="8">
        <f>33.9341 * CHOOSE(CONTROL!$C$15, $D$11, 100%, $F$11)</f>
        <v>33.934100000000001</v>
      </c>
      <c r="C822" s="8">
        <f>33.9393 * CHOOSE(CONTROL!$C$15, $D$11, 100%, $F$11)</f>
        <v>33.939300000000003</v>
      </c>
      <c r="D822" s="8">
        <f>33.9257 * CHOOSE( CONTROL!$C$15, $D$11, 100%, $F$11)</f>
        <v>33.925699999999999</v>
      </c>
      <c r="E822" s="12">
        <f>33.9301 * CHOOSE( CONTROL!$C$15, $D$11, 100%, $F$11)</f>
        <v>33.930100000000003</v>
      </c>
      <c r="F822" s="4">
        <f>34.583 * CHOOSE(CONTROL!$C$15, $D$11, 100%, $F$11)</f>
        <v>34.582999999999998</v>
      </c>
      <c r="G822" s="8">
        <f>33.1313 * CHOOSE( CONTROL!$C$15, $D$11, 100%, $F$11)</f>
        <v>33.131300000000003</v>
      </c>
      <c r="H822" s="4">
        <f>34.0121 * CHOOSE(CONTROL!$C$15, $D$11, 100%, $F$11)</f>
        <v>34.012099999999997</v>
      </c>
      <c r="I822" s="8">
        <f>32.6829 * CHOOSE(CONTROL!$C$15, $D$11, 100%, $F$11)</f>
        <v>32.682899999999997</v>
      </c>
      <c r="J822" s="4">
        <f>32.5529 * CHOOSE(CONTROL!$C$15, $D$11, 100%, $F$11)</f>
        <v>32.552900000000001</v>
      </c>
      <c r="K822" s="4"/>
      <c r="L822" s="9">
        <v>26.469899999999999</v>
      </c>
      <c r="M822" s="9">
        <v>10.8962</v>
      </c>
      <c r="N822" s="9">
        <v>4.4660000000000002</v>
      </c>
      <c r="O822" s="9">
        <v>0.33789999999999998</v>
      </c>
      <c r="P822" s="9">
        <v>1.1676</v>
      </c>
      <c r="Q822" s="9">
        <v>17.782800000000002</v>
      </c>
      <c r="R822" s="9"/>
      <c r="S822" s="11"/>
    </row>
    <row r="823" spans="1:19" ht="15.75">
      <c r="A823" s="13">
        <v>66566</v>
      </c>
      <c r="B823" s="8">
        <f>33.2123 * CHOOSE(CONTROL!$C$15, $D$11, 100%, $F$11)</f>
        <v>33.212299999999999</v>
      </c>
      <c r="C823" s="8">
        <f>33.2175 * CHOOSE(CONTROL!$C$15, $D$11, 100%, $F$11)</f>
        <v>33.217500000000001</v>
      </c>
      <c r="D823" s="8">
        <f>33.2036 * CHOOSE( CONTROL!$C$15, $D$11, 100%, $F$11)</f>
        <v>33.203600000000002</v>
      </c>
      <c r="E823" s="12">
        <f>33.2081 * CHOOSE( CONTROL!$C$15, $D$11, 100%, $F$11)</f>
        <v>33.208100000000002</v>
      </c>
      <c r="F823" s="4">
        <f>33.8612 * CHOOSE(CONTROL!$C$15, $D$11, 100%, $F$11)</f>
        <v>33.861199999999997</v>
      </c>
      <c r="G823" s="8">
        <f>32.4261 * CHOOSE( CONTROL!$C$15, $D$11, 100%, $F$11)</f>
        <v>32.426099999999998</v>
      </c>
      <c r="H823" s="4">
        <f>33.3071 * CHOOSE(CONTROL!$C$15, $D$11, 100%, $F$11)</f>
        <v>33.307099999999998</v>
      </c>
      <c r="I823" s="8">
        <f>31.9886 * CHOOSE(CONTROL!$C$15, $D$11, 100%, $F$11)</f>
        <v>31.988600000000002</v>
      </c>
      <c r="J823" s="4">
        <f>31.8599 * CHOOSE(CONTROL!$C$15, $D$11, 100%, $F$11)</f>
        <v>31.8599</v>
      </c>
      <c r="K823" s="4"/>
      <c r="L823" s="9">
        <v>29.306000000000001</v>
      </c>
      <c r="M823" s="9">
        <v>12.063700000000001</v>
      </c>
      <c r="N823" s="9">
        <v>4.9444999999999997</v>
      </c>
      <c r="O823" s="9">
        <v>0.37409999999999999</v>
      </c>
      <c r="P823" s="9">
        <v>1.2927</v>
      </c>
      <c r="Q823" s="9">
        <v>19.688099999999999</v>
      </c>
      <c r="R823" s="9"/>
      <c r="S823" s="11"/>
    </row>
    <row r="824" spans="1:19" ht="15.75">
      <c r="A824" s="13">
        <v>66596</v>
      </c>
      <c r="B824" s="8">
        <f>33.7174 * CHOOSE(CONTROL!$C$15, $D$11, 100%, $F$11)</f>
        <v>33.717399999999998</v>
      </c>
      <c r="C824" s="8">
        <f>33.722 * CHOOSE(CONTROL!$C$15, $D$11, 100%, $F$11)</f>
        <v>33.722000000000001</v>
      </c>
      <c r="D824" s="8">
        <f>33.7483 * CHOOSE( CONTROL!$C$15, $D$11, 100%, $F$11)</f>
        <v>33.7483</v>
      </c>
      <c r="E824" s="12">
        <f>33.7391 * CHOOSE( CONTROL!$C$15, $D$11, 100%, $F$11)</f>
        <v>33.739100000000001</v>
      </c>
      <c r="F824" s="4">
        <f>34.4166 * CHOOSE(CONTROL!$C$15, $D$11, 100%, $F$11)</f>
        <v>34.416600000000003</v>
      </c>
      <c r="G824" s="8">
        <f>32.9188 * CHOOSE( CONTROL!$C$15, $D$11, 100%, $F$11)</f>
        <v>32.918799999999997</v>
      </c>
      <c r="H824" s="4">
        <f>33.8496 * CHOOSE(CONTROL!$C$15, $D$11, 100%, $F$11)</f>
        <v>33.849600000000002</v>
      </c>
      <c r="I824" s="8">
        <f>32.4649 * CHOOSE(CONTROL!$C$15, $D$11, 100%, $F$11)</f>
        <v>32.4649</v>
      </c>
      <c r="J824" s="4">
        <f>32.3442 * CHOOSE(CONTROL!$C$15, $D$11, 100%, $F$11)</f>
        <v>32.344200000000001</v>
      </c>
      <c r="K824" s="4"/>
      <c r="L824" s="9">
        <v>30.092199999999998</v>
      </c>
      <c r="M824" s="9">
        <v>11.6745</v>
      </c>
      <c r="N824" s="9">
        <v>4.7850000000000001</v>
      </c>
      <c r="O824" s="9">
        <v>0.36199999999999999</v>
      </c>
      <c r="P824" s="9">
        <v>1.1791</v>
      </c>
      <c r="Q824" s="9">
        <v>19.053000000000001</v>
      </c>
      <c r="R824" s="9"/>
      <c r="S824" s="11"/>
    </row>
    <row r="825" spans="1:19" ht="15.75">
      <c r="A825" s="13">
        <v>66627</v>
      </c>
      <c r="B825" s="8">
        <f>CHOOSE( CONTROL!$C$32, 34.6213, 34.6164) * CHOOSE(CONTROL!$C$15, $D$11, 100%, $F$11)</f>
        <v>34.621299999999998</v>
      </c>
      <c r="C825" s="8">
        <f>CHOOSE( CONTROL!$C$32, 34.6293, 34.6245) * CHOOSE(CONTROL!$C$15, $D$11, 100%, $F$11)</f>
        <v>34.629300000000001</v>
      </c>
      <c r="D825" s="8">
        <f>CHOOSE( CONTROL!$C$32, 34.6507, 34.6458) * CHOOSE( CONTROL!$C$15, $D$11, 100%, $F$11)</f>
        <v>34.650700000000001</v>
      </c>
      <c r="E825" s="12">
        <f>CHOOSE( CONTROL!$C$32, 34.6417, 34.6368) * CHOOSE( CONTROL!$C$15, $D$11, 100%, $F$11)</f>
        <v>34.6417</v>
      </c>
      <c r="F825" s="4">
        <f>CHOOSE( CONTROL!$C$32, 35.3191, 35.3142) * CHOOSE(CONTROL!$C$15, $D$11, 100%, $F$11)</f>
        <v>35.319099999999999</v>
      </c>
      <c r="G825" s="8">
        <f>CHOOSE( CONTROL!$C$32, 33.8012, 33.7965) * CHOOSE( CONTROL!$C$15, $D$11, 100%, $F$11)</f>
        <v>33.801200000000001</v>
      </c>
      <c r="H825" s="4">
        <f>CHOOSE( CONTROL!$C$32, 34.731, 34.7263) * CHOOSE(CONTROL!$C$15, $D$11, 100%, $F$11)</f>
        <v>34.731000000000002</v>
      </c>
      <c r="I825" s="8">
        <f>CHOOSE( CONTROL!$C$32, 33.3318, 33.3271) * CHOOSE(CONTROL!$C$15, $D$11, 100%, $F$11)</f>
        <v>33.331800000000001</v>
      </c>
      <c r="J825" s="4">
        <f>CHOOSE( CONTROL!$C$32, 33.2106, 33.206) * CHOOSE(CONTROL!$C$15, $D$11, 100%, $F$11)</f>
        <v>33.210599999999999</v>
      </c>
      <c r="K825" s="4"/>
      <c r="L825" s="9">
        <v>30.7165</v>
      </c>
      <c r="M825" s="9">
        <v>12.063700000000001</v>
      </c>
      <c r="N825" s="9">
        <v>4.9444999999999997</v>
      </c>
      <c r="O825" s="9">
        <v>0.37409999999999999</v>
      </c>
      <c r="P825" s="9">
        <v>1.2183999999999999</v>
      </c>
      <c r="Q825" s="9">
        <v>19.688099999999999</v>
      </c>
      <c r="R825" s="9"/>
      <c r="S825" s="11"/>
    </row>
    <row r="826" spans="1:19" ht="15.75">
      <c r="A826" s="13">
        <v>66657</v>
      </c>
      <c r="B826" s="8">
        <f>CHOOSE( CONTROL!$C$32, 34.0652, 34.0604) * CHOOSE(CONTROL!$C$15, $D$11, 100%, $F$11)</f>
        <v>34.065199999999997</v>
      </c>
      <c r="C826" s="8">
        <f>CHOOSE( CONTROL!$C$32, 34.0733, 34.0685) * CHOOSE(CONTROL!$C$15, $D$11, 100%, $F$11)</f>
        <v>34.073300000000003</v>
      </c>
      <c r="D826" s="8">
        <f>CHOOSE( CONTROL!$C$32, 34.0948, 34.09) * CHOOSE( CONTROL!$C$15, $D$11, 100%, $F$11)</f>
        <v>34.094799999999999</v>
      </c>
      <c r="E826" s="12">
        <f>CHOOSE( CONTROL!$C$32, 34.0858, 34.081) * CHOOSE( CONTROL!$C$15, $D$11, 100%, $F$11)</f>
        <v>34.085799999999999</v>
      </c>
      <c r="F826" s="4">
        <f>CHOOSE( CONTROL!$C$32, 34.763, 34.7582) * CHOOSE(CONTROL!$C$15, $D$11, 100%, $F$11)</f>
        <v>34.762999999999998</v>
      </c>
      <c r="G826" s="8">
        <f>CHOOSE( CONTROL!$C$32, 33.2584, 33.2537) * CHOOSE( CONTROL!$C$15, $D$11, 100%, $F$11)</f>
        <v>33.258400000000002</v>
      </c>
      <c r="H826" s="4">
        <f>CHOOSE( CONTROL!$C$32, 34.1879, 34.1832) * CHOOSE(CONTROL!$C$15, $D$11, 100%, $F$11)</f>
        <v>34.187899999999999</v>
      </c>
      <c r="I826" s="8">
        <f>CHOOSE( CONTROL!$C$32, 32.7985, 32.7939) * CHOOSE(CONTROL!$C$15, $D$11, 100%, $F$11)</f>
        <v>32.798499999999997</v>
      </c>
      <c r="J826" s="4">
        <f>CHOOSE( CONTROL!$C$32, 32.6768, 32.6721) * CHOOSE(CONTROL!$C$15, $D$11, 100%, $F$11)</f>
        <v>32.6768</v>
      </c>
      <c r="K826" s="4"/>
      <c r="L826" s="9">
        <v>29.7257</v>
      </c>
      <c r="M826" s="9">
        <v>11.6745</v>
      </c>
      <c r="N826" s="9">
        <v>4.7850000000000001</v>
      </c>
      <c r="O826" s="9">
        <v>0.36199999999999999</v>
      </c>
      <c r="P826" s="9">
        <v>1.1791</v>
      </c>
      <c r="Q826" s="9">
        <v>19.053000000000001</v>
      </c>
      <c r="R826" s="9"/>
      <c r="S826" s="11"/>
    </row>
    <row r="827" spans="1:19" ht="15.75">
      <c r="A827" s="13">
        <v>66688</v>
      </c>
      <c r="B827" s="8">
        <f>CHOOSE( CONTROL!$C$32, 35.5295, 35.5247) * CHOOSE(CONTROL!$C$15, $D$11, 100%, $F$11)</f>
        <v>35.529499999999999</v>
      </c>
      <c r="C827" s="8">
        <f>CHOOSE( CONTROL!$C$32, 35.5376, 35.5328) * CHOOSE(CONTROL!$C$15, $D$11, 100%, $F$11)</f>
        <v>35.537599999999998</v>
      </c>
      <c r="D827" s="8">
        <f>CHOOSE( CONTROL!$C$32, 35.5593, 35.5545) * CHOOSE( CONTROL!$C$15, $D$11, 100%, $F$11)</f>
        <v>35.5593</v>
      </c>
      <c r="E827" s="12">
        <f>CHOOSE( CONTROL!$C$32, 35.5502, 35.5454) * CHOOSE( CONTROL!$C$15, $D$11, 100%, $F$11)</f>
        <v>35.550199999999997</v>
      </c>
      <c r="F827" s="4">
        <f>CHOOSE( CONTROL!$C$32, 36.2273, 36.2225) * CHOOSE(CONTROL!$C$15, $D$11, 100%, $F$11)</f>
        <v>36.2273</v>
      </c>
      <c r="G827" s="8">
        <f>CHOOSE( CONTROL!$C$32, 34.6889, 34.6842) * CHOOSE( CONTROL!$C$15, $D$11, 100%, $F$11)</f>
        <v>34.688899999999997</v>
      </c>
      <c r="H827" s="4">
        <f>CHOOSE( CONTROL!$C$32, 35.6181, 35.6134) * CHOOSE(CONTROL!$C$15, $D$11, 100%, $F$11)</f>
        <v>35.618099999999998</v>
      </c>
      <c r="I827" s="8">
        <f>CHOOSE( CONTROL!$C$32, 34.2063, 34.2016) * CHOOSE(CONTROL!$C$15, $D$11, 100%, $F$11)</f>
        <v>34.206299999999999</v>
      </c>
      <c r="J827" s="4">
        <f>CHOOSE( CONTROL!$C$32, 34.0827, 34.078) * CHOOSE(CONTROL!$C$15, $D$11, 100%, $F$11)</f>
        <v>34.082700000000003</v>
      </c>
      <c r="K827" s="4"/>
      <c r="L827" s="9">
        <v>30.7165</v>
      </c>
      <c r="M827" s="9">
        <v>12.063700000000001</v>
      </c>
      <c r="N827" s="9">
        <v>4.9444999999999997</v>
      </c>
      <c r="O827" s="9">
        <v>0.37409999999999999</v>
      </c>
      <c r="P827" s="9">
        <v>1.2183999999999999</v>
      </c>
      <c r="Q827" s="9">
        <v>19.688099999999999</v>
      </c>
      <c r="R827" s="9"/>
      <c r="S827" s="11"/>
    </row>
    <row r="828" spans="1:19" ht="15.75">
      <c r="A828" s="13">
        <v>66719</v>
      </c>
      <c r="B828" s="8">
        <f>CHOOSE( CONTROL!$C$32, 32.7896, 32.7848) * CHOOSE(CONTROL!$C$15, $D$11, 100%, $F$11)</f>
        <v>32.7896</v>
      </c>
      <c r="C828" s="8">
        <f>CHOOSE( CONTROL!$C$32, 32.7977, 32.7929) * CHOOSE(CONTROL!$C$15, $D$11, 100%, $F$11)</f>
        <v>32.797699999999999</v>
      </c>
      <c r="D828" s="8">
        <f>CHOOSE( CONTROL!$C$32, 32.8195, 32.8147) * CHOOSE( CONTROL!$C$15, $D$11, 100%, $F$11)</f>
        <v>32.819499999999998</v>
      </c>
      <c r="E828" s="12">
        <f>CHOOSE( CONTROL!$C$32, 32.8104, 32.8056) * CHOOSE( CONTROL!$C$15, $D$11, 100%, $F$11)</f>
        <v>32.810400000000001</v>
      </c>
      <c r="F828" s="4">
        <f>CHOOSE( CONTROL!$C$32, 33.4874, 33.4826) * CHOOSE(CONTROL!$C$15, $D$11, 100%, $F$11)</f>
        <v>33.487400000000001</v>
      </c>
      <c r="G828" s="8">
        <f>CHOOSE( CONTROL!$C$32, 32.0129, 32.0082) * CHOOSE( CONTROL!$C$15, $D$11, 100%, $F$11)</f>
        <v>32.012900000000002</v>
      </c>
      <c r="H828" s="4">
        <f>CHOOSE( CONTROL!$C$32, 32.9421, 32.9373) * CHOOSE(CONTROL!$C$15, $D$11, 100%, $F$11)</f>
        <v>32.942100000000003</v>
      </c>
      <c r="I828" s="8">
        <f>CHOOSE( CONTROL!$C$32, 31.5747, 31.57) * CHOOSE(CONTROL!$C$15, $D$11, 100%, $F$11)</f>
        <v>31.5747</v>
      </c>
      <c r="J828" s="4">
        <f>CHOOSE( CONTROL!$C$32, 31.4521, 31.4475) * CHOOSE(CONTROL!$C$15, $D$11, 100%, $F$11)</f>
        <v>31.452100000000002</v>
      </c>
      <c r="K828" s="4"/>
      <c r="L828" s="9">
        <v>30.7165</v>
      </c>
      <c r="M828" s="9">
        <v>12.063700000000001</v>
      </c>
      <c r="N828" s="9">
        <v>4.9444999999999997</v>
      </c>
      <c r="O828" s="9">
        <v>0.37409999999999999</v>
      </c>
      <c r="P828" s="9">
        <v>1.2183999999999999</v>
      </c>
      <c r="Q828" s="9">
        <v>19.688099999999999</v>
      </c>
      <c r="R828" s="9"/>
      <c r="S828" s="11"/>
    </row>
    <row r="829" spans="1:19" ht="15.75">
      <c r="A829" s="13">
        <v>66749</v>
      </c>
      <c r="B829" s="8">
        <f>CHOOSE( CONTROL!$C$32, 32.1035, 32.0987) * CHOOSE(CONTROL!$C$15, $D$11, 100%, $F$11)</f>
        <v>32.103499999999997</v>
      </c>
      <c r="C829" s="8">
        <f>CHOOSE( CONTROL!$C$32, 32.1116, 32.1068) * CHOOSE(CONTROL!$C$15, $D$11, 100%, $F$11)</f>
        <v>32.111600000000003</v>
      </c>
      <c r="D829" s="8">
        <f>CHOOSE( CONTROL!$C$32, 32.1334, 32.1286) * CHOOSE( CONTROL!$C$15, $D$11, 100%, $F$11)</f>
        <v>32.133400000000002</v>
      </c>
      <c r="E829" s="12">
        <f>CHOOSE( CONTROL!$C$32, 32.1243, 32.1195) * CHOOSE( CONTROL!$C$15, $D$11, 100%, $F$11)</f>
        <v>32.124299999999998</v>
      </c>
      <c r="F829" s="4">
        <f>CHOOSE( CONTROL!$C$32, 32.8013, 32.7965) * CHOOSE(CONTROL!$C$15, $D$11, 100%, $F$11)</f>
        <v>32.801299999999998</v>
      </c>
      <c r="G829" s="8">
        <f>CHOOSE( CONTROL!$C$32, 31.3428, 31.3381) * CHOOSE( CONTROL!$C$15, $D$11, 100%, $F$11)</f>
        <v>31.3428</v>
      </c>
      <c r="H829" s="4">
        <f>CHOOSE( CONTROL!$C$32, 32.2719, 32.2672) * CHOOSE(CONTROL!$C$15, $D$11, 100%, $F$11)</f>
        <v>32.271900000000002</v>
      </c>
      <c r="I829" s="8">
        <f>CHOOSE( CONTROL!$C$32, 30.9155, 30.9109) * CHOOSE(CONTROL!$C$15, $D$11, 100%, $F$11)</f>
        <v>30.915500000000002</v>
      </c>
      <c r="J829" s="4">
        <f>CHOOSE( CONTROL!$C$32, 30.7934, 30.7887) * CHOOSE(CONTROL!$C$15, $D$11, 100%, $F$11)</f>
        <v>30.793399999999998</v>
      </c>
      <c r="K829" s="4"/>
      <c r="L829" s="9">
        <v>29.7257</v>
      </c>
      <c r="M829" s="9">
        <v>11.6745</v>
      </c>
      <c r="N829" s="9">
        <v>4.7850000000000001</v>
      </c>
      <c r="O829" s="9">
        <v>0.36199999999999999</v>
      </c>
      <c r="P829" s="9">
        <v>1.1791</v>
      </c>
      <c r="Q829" s="9">
        <v>19.053000000000001</v>
      </c>
      <c r="R829" s="9"/>
      <c r="S829" s="11"/>
    </row>
    <row r="830" spans="1:19" ht="15.75">
      <c r="A830" s="13">
        <v>66780</v>
      </c>
      <c r="B830" s="8">
        <f>33.5215 * CHOOSE(CONTROL!$C$15, $D$11, 100%, $F$11)</f>
        <v>33.521500000000003</v>
      </c>
      <c r="C830" s="8">
        <f>33.527 * CHOOSE(CONTROL!$C$15, $D$11, 100%, $F$11)</f>
        <v>33.527000000000001</v>
      </c>
      <c r="D830" s="8">
        <f>33.5534 * CHOOSE( CONTROL!$C$15, $D$11, 100%, $F$11)</f>
        <v>33.553400000000003</v>
      </c>
      <c r="E830" s="12">
        <f>33.5441 * CHOOSE( CONTROL!$C$15, $D$11, 100%, $F$11)</f>
        <v>33.5441</v>
      </c>
      <c r="F830" s="4">
        <f>34.2211 * CHOOSE(CONTROL!$C$15, $D$11, 100%, $F$11)</f>
        <v>34.2211</v>
      </c>
      <c r="G830" s="8">
        <f>32.7287 * CHOOSE( CONTROL!$C$15, $D$11, 100%, $F$11)</f>
        <v>32.728700000000003</v>
      </c>
      <c r="H830" s="4">
        <f>33.6586 * CHOOSE(CONTROL!$C$15, $D$11, 100%, $F$11)</f>
        <v>33.6586</v>
      </c>
      <c r="I830" s="8">
        <f>32.28 * CHOOSE(CONTROL!$C$15, $D$11, 100%, $F$11)</f>
        <v>32.28</v>
      </c>
      <c r="J830" s="4">
        <f>32.1565 * CHOOSE(CONTROL!$C$15, $D$11, 100%, $F$11)</f>
        <v>32.156500000000001</v>
      </c>
      <c r="K830" s="4"/>
      <c r="L830" s="9">
        <v>31.095300000000002</v>
      </c>
      <c r="M830" s="9">
        <v>12.063700000000001</v>
      </c>
      <c r="N830" s="9">
        <v>4.9444999999999997</v>
      </c>
      <c r="O830" s="9">
        <v>0.37409999999999999</v>
      </c>
      <c r="P830" s="9">
        <v>1.2183999999999999</v>
      </c>
      <c r="Q830" s="9">
        <v>19.688099999999999</v>
      </c>
      <c r="R830" s="9"/>
      <c r="S830" s="11"/>
    </row>
    <row r="831" spans="1:19" ht="15.75">
      <c r="A831" s="13">
        <v>66810</v>
      </c>
      <c r="B831" s="8">
        <f>36.1506 * CHOOSE(CONTROL!$C$15, $D$11, 100%, $F$11)</f>
        <v>36.150599999999997</v>
      </c>
      <c r="C831" s="8">
        <f>36.1558 * CHOOSE(CONTROL!$C$15, $D$11, 100%, $F$11)</f>
        <v>36.155799999999999</v>
      </c>
      <c r="D831" s="8">
        <f>36.1451 * CHOOSE( CONTROL!$C$15, $D$11, 100%, $F$11)</f>
        <v>36.145099999999999</v>
      </c>
      <c r="E831" s="12">
        <f>36.1485 * CHOOSE( CONTROL!$C$15, $D$11, 100%, $F$11)</f>
        <v>36.148499999999999</v>
      </c>
      <c r="F831" s="4">
        <f>36.7995 * CHOOSE(CONTROL!$C$15, $D$11, 100%, $F$11)</f>
        <v>36.799500000000002</v>
      </c>
      <c r="G831" s="8">
        <f>35.3015 * CHOOSE( CONTROL!$C$15, $D$11, 100%, $F$11)</f>
        <v>35.301499999999997</v>
      </c>
      <c r="H831" s="4">
        <f>36.177 * CHOOSE(CONTROL!$C$15, $D$11, 100%, $F$11)</f>
        <v>36.177</v>
      </c>
      <c r="I831" s="8">
        <f>34.8315 * CHOOSE(CONTROL!$C$15, $D$11, 100%, $F$11)</f>
        <v>34.831499999999998</v>
      </c>
      <c r="J831" s="4">
        <f>34.681 * CHOOSE(CONTROL!$C$15, $D$11, 100%, $F$11)</f>
        <v>34.680999999999997</v>
      </c>
      <c r="K831" s="4"/>
      <c r="L831" s="9">
        <v>28.360600000000002</v>
      </c>
      <c r="M831" s="9">
        <v>11.6745</v>
      </c>
      <c r="N831" s="9">
        <v>4.7850000000000001</v>
      </c>
      <c r="O831" s="9">
        <v>0.36199999999999999</v>
      </c>
      <c r="P831" s="9">
        <v>1.2509999999999999</v>
      </c>
      <c r="Q831" s="9">
        <v>19.053000000000001</v>
      </c>
      <c r="R831" s="9"/>
      <c r="S831" s="11"/>
    </row>
    <row r="832" spans="1:19" ht="15.75">
      <c r="A832" s="13">
        <v>66841</v>
      </c>
      <c r="B832" s="8">
        <f>36.0849 * CHOOSE(CONTROL!$C$15, $D$11, 100%, $F$11)</f>
        <v>36.084899999999998</v>
      </c>
      <c r="C832" s="8">
        <f>36.0901 * CHOOSE(CONTROL!$C$15, $D$11, 100%, $F$11)</f>
        <v>36.0901</v>
      </c>
      <c r="D832" s="8">
        <f>36.0807 * CHOOSE( CONTROL!$C$15, $D$11, 100%, $F$11)</f>
        <v>36.0807</v>
      </c>
      <c r="E832" s="12">
        <f>36.0836 * CHOOSE( CONTROL!$C$15, $D$11, 100%, $F$11)</f>
        <v>36.083599999999997</v>
      </c>
      <c r="F832" s="4">
        <f>36.7338 * CHOOSE(CONTROL!$C$15, $D$11, 100%, $F$11)</f>
        <v>36.733800000000002</v>
      </c>
      <c r="G832" s="8">
        <f>35.2383 * CHOOSE( CONTROL!$C$15, $D$11, 100%, $F$11)</f>
        <v>35.238300000000002</v>
      </c>
      <c r="H832" s="4">
        <f>36.1128 * CHOOSE(CONTROL!$C$15, $D$11, 100%, $F$11)</f>
        <v>36.1128</v>
      </c>
      <c r="I832" s="8">
        <f>34.7727 * CHOOSE(CONTROL!$C$15, $D$11, 100%, $F$11)</f>
        <v>34.7727</v>
      </c>
      <c r="J832" s="4">
        <f>34.618 * CHOOSE(CONTROL!$C$15, $D$11, 100%, $F$11)</f>
        <v>34.618000000000002</v>
      </c>
      <c r="K832" s="4"/>
      <c r="L832" s="9">
        <v>29.306000000000001</v>
      </c>
      <c r="M832" s="9">
        <v>12.063700000000001</v>
      </c>
      <c r="N832" s="9">
        <v>4.9444999999999997</v>
      </c>
      <c r="O832" s="9">
        <v>0.37409999999999999</v>
      </c>
      <c r="P832" s="9">
        <v>1.2927</v>
      </c>
      <c r="Q832" s="9">
        <v>19.688099999999999</v>
      </c>
      <c r="R832" s="9"/>
      <c r="S832" s="11"/>
    </row>
    <row r="833" spans="1:19" ht="15.75">
      <c r="A833" s="13">
        <v>66872</v>
      </c>
      <c r="B833" s="8">
        <f>37.463 * CHOOSE(CONTROL!$C$15, $D$11, 100%, $F$11)</f>
        <v>37.463000000000001</v>
      </c>
      <c r="C833" s="8">
        <f>37.4682 * CHOOSE(CONTROL!$C$15, $D$11, 100%, $F$11)</f>
        <v>37.468200000000003</v>
      </c>
      <c r="D833" s="8">
        <f>37.4547 * CHOOSE( CONTROL!$C$15, $D$11, 100%, $F$11)</f>
        <v>37.454700000000003</v>
      </c>
      <c r="E833" s="12">
        <f>37.4591 * CHOOSE( CONTROL!$C$15, $D$11, 100%, $F$11)</f>
        <v>37.459099999999999</v>
      </c>
      <c r="F833" s="4">
        <f>38.1119 * CHOOSE(CONTROL!$C$15, $D$11, 100%, $F$11)</f>
        <v>38.111899999999999</v>
      </c>
      <c r="G833" s="8">
        <f>36.578 * CHOOSE( CONTROL!$C$15, $D$11, 100%, $F$11)</f>
        <v>36.578000000000003</v>
      </c>
      <c r="H833" s="4">
        <f>37.4588 * CHOOSE(CONTROL!$C$15, $D$11, 100%, $F$11)</f>
        <v>37.458799999999997</v>
      </c>
      <c r="I833" s="8">
        <f>36.0727 * CHOOSE(CONTROL!$C$15, $D$11, 100%, $F$11)</f>
        <v>36.072699999999998</v>
      </c>
      <c r="J833" s="4">
        <f>35.941 * CHOOSE(CONTROL!$C$15, $D$11, 100%, $F$11)</f>
        <v>35.941000000000003</v>
      </c>
      <c r="K833" s="4"/>
      <c r="L833" s="9">
        <v>29.306000000000001</v>
      </c>
      <c r="M833" s="9">
        <v>12.063700000000001</v>
      </c>
      <c r="N833" s="9">
        <v>4.9444999999999997</v>
      </c>
      <c r="O833" s="9">
        <v>0.37409999999999999</v>
      </c>
      <c r="P833" s="9">
        <v>1.2927</v>
      </c>
      <c r="Q833" s="9">
        <v>19.688099999999999</v>
      </c>
      <c r="R833" s="9"/>
      <c r="S833" s="11"/>
    </row>
    <row r="834" spans="1:19" ht="15.75">
      <c r="A834" s="13">
        <v>66900</v>
      </c>
      <c r="B834" s="8">
        <f>35.0429 * CHOOSE(CONTROL!$C$15, $D$11, 100%, $F$11)</f>
        <v>35.042900000000003</v>
      </c>
      <c r="C834" s="8">
        <f>35.0481 * CHOOSE(CONTROL!$C$15, $D$11, 100%, $F$11)</f>
        <v>35.048099999999998</v>
      </c>
      <c r="D834" s="8">
        <f>35.0346 * CHOOSE( CONTROL!$C$15, $D$11, 100%, $F$11)</f>
        <v>35.034599999999998</v>
      </c>
      <c r="E834" s="12">
        <f>35.039 * CHOOSE( CONTROL!$C$15, $D$11, 100%, $F$11)</f>
        <v>35.039000000000001</v>
      </c>
      <c r="F834" s="4">
        <f>35.6918 * CHOOSE(CONTROL!$C$15, $D$11, 100%, $F$11)</f>
        <v>35.691800000000001</v>
      </c>
      <c r="G834" s="8">
        <f>34.2143 * CHOOSE( CONTROL!$C$15, $D$11, 100%, $F$11)</f>
        <v>34.214300000000001</v>
      </c>
      <c r="H834" s="4">
        <f>35.0951 * CHOOSE(CONTROL!$C$15, $D$11, 100%, $F$11)</f>
        <v>35.095100000000002</v>
      </c>
      <c r="I834" s="8">
        <f>33.748 * CHOOSE(CONTROL!$C$15, $D$11, 100%, $F$11)</f>
        <v>33.747999999999998</v>
      </c>
      <c r="J834" s="4">
        <f>33.6175 * CHOOSE(CONTROL!$C$15, $D$11, 100%, $F$11)</f>
        <v>33.6175</v>
      </c>
      <c r="K834" s="4"/>
      <c r="L834" s="9">
        <v>26.469899999999999</v>
      </c>
      <c r="M834" s="9">
        <v>10.8962</v>
      </c>
      <c r="N834" s="9">
        <v>4.4660000000000002</v>
      </c>
      <c r="O834" s="9">
        <v>0.33789999999999998</v>
      </c>
      <c r="P834" s="9">
        <v>1.1676</v>
      </c>
      <c r="Q834" s="9">
        <v>17.782800000000002</v>
      </c>
      <c r="R834" s="9"/>
      <c r="S834" s="11"/>
    </row>
    <row r="835" spans="1:19" ht="15.75">
      <c r="A835" s="13">
        <v>66931</v>
      </c>
      <c r="B835" s="8">
        <f>34.2975 * CHOOSE(CONTROL!$C$15, $D$11, 100%, $F$11)</f>
        <v>34.297499999999999</v>
      </c>
      <c r="C835" s="8">
        <f>34.3027 * CHOOSE(CONTROL!$C$15, $D$11, 100%, $F$11)</f>
        <v>34.302700000000002</v>
      </c>
      <c r="D835" s="8">
        <f>34.2889 * CHOOSE( CONTROL!$C$15, $D$11, 100%, $F$11)</f>
        <v>34.288899999999998</v>
      </c>
      <c r="E835" s="12">
        <f>34.2934 * CHOOSE( CONTROL!$C$15, $D$11, 100%, $F$11)</f>
        <v>34.293399999999998</v>
      </c>
      <c r="F835" s="4">
        <f>34.9464 * CHOOSE(CONTROL!$C$15, $D$11, 100%, $F$11)</f>
        <v>34.946399999999997</v>
      </c>
      <c r="G835" s="8">
        <f>33.4861 * CHOOSE( CONTROL!$C$15, $D$11, 100%, $F$11)</f>
        <v>33.4861</v>
      </c>
      <c r="H835" s="4">
        <f>34.3671 * CHOOSE(CONTROL!$C$15, $D$11, 100%, $F$11)</f>
        <v>34.367100000000001</v>
      </c>
      <c r="I835" s="8">
        <f>33.031 * CHOOSE(CONTROL!$C$15, $D$11, 100%, $F$11)</f>
        <v>33.030999999999999</v>
      </c>
      <c r="J835" s="4">
        <f>32.9019 * CHOOSE(CONTROL!$C$15, $D$11, 100%, $F$11)</f>
        <v>32.901899999999998</v>
      </c>
      <c r="K835" s="4"/>
      <c r="L835" s="9">
        <v>29.306000000000001</v>
      </c>
      <c r="M835" s="9">
        <v>12.063700000000001</v>
      </c>
      <c r="N835" s="9">
        <v>4.9444999999999997</v>
      </c>
      <c r="O835" s="9">
        <v>0.37409999999999999</v>
      </c>
      <c r="P835" s="9">
        <v>1.2927</v>
      </c>
      <c r="Q835" s="9">
        <v>19.688099999999999</v>
      </c>
      <c r="R835" s="9"/>
      <c r="S835" s="11"/>
    </row>
    <row r="836" spans="1:19" ht="15.75">
      <c r="A836" s="13">
        <v>66961</v>
      </c>
      <c r="B836" s="8">
        <f>34.8192 * CHOOSE(CONTROL!$C$15, $D$11, 100%, $F$11)</f>
        <v>34.819200000000002</v>
      </c>
      <c r="C836" s="8">
        <f>34.8238 * CHOOSE(CONTROL!$C$15, $D$11, 100%, $F$11)</f>
        <v>34.823799999999999</v>
      </c>
      <c r="D836" s="8">
        <f>34.8501 * CHOOSE( CONTROL!$C$15, $D$11, 100%, $F$11)</f>
        <v>34.850099999999998</v>
      </c>
      <c r="E836" s="12">
        <f>34.8409 * CHOOSE( CONTROL!$C$15, $D$11, 100%, $F$11)</f>
        <v>34.840899999999998</v>
      </c>
      <c r="F836" s="4">
        <f>35.5183 * CHOOSE(CONTROL!$C$15, $D$11, 100%, $F$11)</f>
        <v>35.518300000000004</v>
      </c>
      <c r="G836" s="8">
        <f>33.9948 * CHOOSE( CONTROL!$C$15, $D$11, 100%, $F$11)</f>
        <v>33.994799999999998</v>
      </c>
      <c r="H836" s="4">
        <f>34.9257 * CHOOSE(CONTROL!$C$15, $D$11, 100%, $F$11)</f>
        <v>34.925699999999999</v>
      </c>
      <c r="I836" s="8">
        <f>33.5232 * CHOOSE(CONTROL!$C$15, $D$11, 100%, $F$11)</f>
        <v>33.523200000000003</v>
      </c>
      <c r="J836" s="4">
        <f>33.402 * CHOOSE(CONTROL!$C$15, $D$11, 100%, $F$11)</f>
        <v>33.402000000000001</v>
      </c>
      <c r="K836" s="4"/>
      <c r="L836" s="9">
        <v>30.092199999999998</v>
      </c>
      <c r="M836" s="9">
        <v>11.6745</v>
      </c>
      <c r="N836" s="9">
        <v>4.7850000000000001</v>
      </c>
      <c r="O836" s="9">
        <v>0.36199999999999999</v>
      </c>
      <c r="P836" s="9">
        <v>1.1791</v>
      </c>
      <c r="Q836" s="9">
        <v>19.053000000000001</v>
      </c>
      <c r="R836" s="9"/>
      <c r="S836" s="11"/>
    </row>
    <row r="837" spans="1:19" ht="15.75">
      <c r="A837" s="13">
        <v>66992</v>
      </c>
      <c r="B837" s="8">
        <f>CHOOSE( CONTROL!$C$32, 35.7524, 35.7475) * CHOOSE(CONTROL!$C$15, $D$11, 100%, $F$11)</f>
        <v>35.752400000000002</v>
      </c>
      <c r="C837" s="8">
        <f>CHOOSE( CONTROL!$C$32, 35.7604, 35.7556) * CHOOSE(CONTROL!$C$15, $D$11, 100%, $F$11)</f>
        <v>35.760399999999997</v>
      </c>
      <c r="D837" s="8">
        <f>CHOOSE( CONTROL!$C$32, 35.7817, 35.7769) * CHOOSE( CONTROL!$C$15, $D$11, 100%, $F$11)</f>
        <v>35.781700000000001</v>
      </c>
      <c r="E837" s="12">
        <f>CHOOSE( CONTROL!$C$32, 35.7728, 35.7679) * CHOOSE( CONTROL!$C$15, $D$11, 100%, $F$11)</f>
        <v>35.772799999999997</v>
      </c>
      <c r="F837" s="4">
        <f>CHOOSE( CONTROL!$C$32, 36.4502, 36.4453) * CHOOSE(CONTROL!$C$15, $D$11, 100%, $F$11)</f>
        <v>36.450200000000002</v>
      </c>
      <c r="G837" s="8">
        <f>CHOOSE( CONTROL!$C$32, 34.9059, 34.9012) * CHOOSE( CONTROL!$C$15, $D$11, 100%, $F$11)</f>
        <v>34.905900000000003</v>
      </c>
      <c r="H837" s="4">
        <f>CHOOSE( CONTROL!$C$32, 35.8358, 35.8311) * CHOOSE(CONTROL!$C$15, $D$11, 100%, $F$11)</f>
        <v>35.835799999999999</v>
      </c>
      <c r="I837" s="8">
        <f>CHOOSE( CONTROL!$C$32, 34.4183, 34.4136) * CHOOSE(CONTROL!$C$15, $D$11, 100%, $F$11)</f>
        <v>34.418300000000002</v>
      </c>
      <c r="J837" s="4">
        <f>CHOOSE( CONTROL!$C$32, 34.2966, 34.292) * CHOOSE(CONTROL!$C$15, $D$11, 100%, $F$11)</f>
        <v>34.296599999999998</v>
      </c>
      <c r="K837" s="4"/>
      <c r="L837" s="9">
        <v>30.7165</v>
      </c>
      <c r="M837" s="9">
        <v>12.063700000000001</v>
      </c>
      <c r="N837" s="9">
        <v>4.9444999999999997</v>
      </c>
      <c r="O837" s="9">
        <v>0.37409999999999999</v>
      </c>
      <c r="P837" s="9">
        <v>1.2183999999999999</v>
      </c>
      <c r="Q837" s="9">
        <v>19.688099999999999</v>
      </c>
      <c r="R837" s="9"/>
      <c r="S837" s="11"/>
    </row>
    <row r="838" spans="1:19" ht="15.75">
      <c r="A838" s="13">
        <v>67022</v>
      </c>
      <c r="B838" s="8">
        <f>CHOOSE( CONTROL!$C$32, 35.1781, 35.1733) * CHOOSE(CONTROL!$C$15, $D$11, 100%, $F$11)</f>
        <v>35.178100000000001</v>
      </c>
      <c r="C838" s="8">
        <f>CHOOSE( CONTROL!$C$32, 35.1862, 35.1814) * CHOOSE(CONTROL!$C$15, $D$11, 100%, $F$11)</f>
        <v>35.186199999999999</v>
      </c>
      <c r="D838" s="8">
        <f>CHOOSE( CONTROL!$C$32, 35.2077, 35.2029) * CHOOSE( CONTROL!$C$15, $D$11, 100%, $F$11)</f>
        <v>35.207700000000003</v>
      </c>
      <c r="E838" s="12">
        <f>CHOOSE( CONTROL!$C$32, 35.1987, 35.1939) * CHOOSE( CONTROL!$C$15, $D$11, 100%, $F$11)</f>
        <v>35.198700000000002</v>
      </c>
      <c r="F838" s="4">
        <f>CHOOSE( CONTROL!$C$32, 35.8759, 35.8711) * CHOOSE(CONTROL!$C$15, $D$11, 100%, $F$11)</f>
        <v>35.875900000000001</v>
      </c>
      <c r="G838" s="8">
        <f>CHOOSE( CONTROL!$C$32, 34.3453, 34.3406) * CHOOSE( CONTROL!$C$15, $D$11, 100%, $F$11)</f>
        <v>34.345300000000002</v>
      </c>
      <c r="H838" s="4">
        <f>CHOOSE( CONTROL!$C$32, 35.2749, 35.2702) * CHOOSE(CONTROL!$C$15, $D$11, 100%, $F$11)</f>
        <v>35.274900000000002</v>
      </c>
      <c r="I838" s="8">
        <f>CHOOSE( CONTROL!$C$32, 33.8676, 33.8629) * CHOOSE(CONTROL!$C$15, $D$11, 100%, $F$11)</f>
        <v>33.867600000000003</v>
      </c>
      <c r="J838" s="4">
        <f>CHOOSE( CONTROL!$C$32, 33.7453, 33.7406) * CHOOSE(CONTROL!$C$15, $D$11, 100%, $F$11)</f>
        <v>33.7453</v>
      </c>
      <c r="K838" s="4"/>
      <c r="L838" s="9">
        <v>29.7257</v>
      </c>
      <c r="M838" s="9">
        <v>11.6745</v>
      </c>
      <c r="N838" s="9">
        <v>4.7850000000000001</v>
      </c>
      <c r="O838" s="9">
        <v>0.36199999999999999</v>
      </c>
      <c r="P838" s="9">
        <v>1.1791</v>
      </c>
      <c r="Q838" s="9">
        <v>19.053000000000001</v>
      </c>
      <c r="R838" s="9"/>
      <c r="S838" s="11"/>
    </row>
    <row r="839" spans="1:19" ht="15.75">
      <c r="A839" s="13">
        <v>67053</v>
      </c>
      <c r="B839" s="8">
        <f>CHOOSE( CONTROL!$C$32, 36.6903, 36.6855) * CHOOSE(CONTROL!$C$15, $D$11, 100%, $F$11)</f>
        <v>36.690300000000001</v>
      </c>
      <c r="C839" s="8">
        <f>CHOOSE( CONTROL!$C$32, 36.6984, 36.6936) * CHOOSE(CONTROL!$C$15, $D$11, 100%, $F$11)</f>
        <v>36.698399999999999</v>
      </c>
      <c r="D839" s="8">
        <f>CHOOSE( CONTROL!$C$32, 36.7201, 36.7153) * CHOOSE( CONTROL!$C$15, $D$11, 100%, $F$11)</f>
        <v>36.720100000000002</v>
      </c>
      <c r="E839" s="12">
        <f>CHOOSE( CONTROL!$C$32, 36.711, 36.7062) * CHOOSE( CONTROL!$C$15, $D$11, 100%, $F$11)</f>
        <v>36.710999999999999</v>
      </c>
      <c r="F839" s="4">
        <f>CHOOSE( CONTROL!$C$32, 37.3881, 37.3833) * CHOOSE(CONTROL!$C$15, $D$11, 100%, $F$11)</f>
        <v>37.388100000000001</v>
      </c>
      <c r="G839" s="8">
        <f>CHOOSE( CONTROL!$C$32, 35.8227, 35.818) * CHOOSE( CONTROL!$C$15, $D$11, 100%, $F$11)</f>
        <v>35.822699999999998</v>
      </c>
      <c r="H839" s="4">
        <f>CHOOSE( CONTROL!$C$32, 36.7519, 36.7472) * CHOOSE(CONTROL!$C$15, $D$11, 100%, $F$11)</f>
        <v>36.751899999999999</v>
      </c>
      <c r="I839" s="8">
        <f>CHOOSE( CONTROL!$C$32, 35.3213, 35.3167) * CHOOSE(CONTROL!$C$15, $D$11, 100%, $F$11)</f>
        <v>35.321300000000001</v>
      </c>
      <c r="J839" s="4">
        <f>CHOOSE( CONTROL!$C$32, 35.1971, 35.1925) * CHOOSE(CONTROL!$C$15, $D$11, 100%, $F$11)</f>
        <v>35.197099999999999</v>
      </c>
      <c r="K839" s="4"/>
      <c r="L839" s="9">
        <v>30.7165</v>
      </c>
      <c r="M839" s="9">
        <v>12.063700000000001</v>
      </c>
      <c r="N839" s="9">
        <v>4.9444999999999997</v>
      </c>
      <c r="O839" s="9">
        <v>0.37409999999999999</v>
      </c>
      <c r="P839" s="9">
        <v>1.2183999999999999</v>
      </c>
      <c r="Q839" s="9">
        <v>19.688099999999999</v>
      </c>
      <c r="R839" s="9"/>
      <c r="S839" s="11"/>
    </row>
    <row r="840" spans="1:19" ht="15.75">
      <c r="A840" s="13">
        <v>67084</v>
      </c>
      <c r="B840" s="8">
        <f>CHOOSE( CONTROL!$C$32, 33.8608, 33.856) * CHOOSE(CONTROL!$C$15, $D$11, 100%, $F$11)</f>
        <v>33.860799999999998</v>
      </c>
      <c r="C840" s="8">
        <f>CHOOSE( CONTROL!$C$32, 33.8689, 33.8641) * CHOOSE(CONTROL!$C$15, $D$11, 100%, $F$11)</f>
        <v>33.868899999999996</v>
      </c>
      <c r="D840" s="8">
        <f>CHOOSE( CONTROL!$C$32, 33.8907, 33.8859) * CHOOSE( CONTROL!$C$15, $D$11, 100%, $F$11)</f>
        <v>33.890700000000002</v>
      </c>
      <c r="E840" s="12">
        <f>CHOOSE( CONTROL!$C$32, 33.8816, 33.8768) * CHOOSE( CONTROL!$C$15, $D$11, 100%, $F$11)</f>
        <v>33.881599999999999</v>
      </c>
      <c r="F840" s="4">
        <f>CHOOSE( CONTROL!$C$32, 34.5586, 34.5538) * CHOOSE(CONTROL!$C$15, $D$11, 100%, $F$11)</f>
        <v>34.558599999999998</v>
      </c>
      <c r="G840" s="8">
        <f>CHOOSE( CONTROL!$C$32, 33.0592, 33.0545) * CHOOSE( CONTROL!$C$15, $D$11, 100%, $F$11)</f>
        <v>33.059199999999997</v>
      </c>
      <c r="H840" s="4">
        <f>CHOOSE( CONTROL!$C$32, 33.9883, 33.9836) * CHOOSE(CONTROL!$C$15, $D$11, 100%, $F$11)</f>
        <v>33.988300000000002</v>
      </c>
      <c r="I840" s="8">
        <f>CHOOSE( CONTROL!$C$32, 32.6036, 32.599) * CHOOSE(CONTROL!$C$15, $D$11, 100%, $F$11)</f>
        <v>32.6036</v>
      </c>
      <c r="J840" s="4">
        <f>CHOOSE( CONTROL!$C$32, 32.4805, 32.4759) * CHOOSE(CONTROL!$C$15, $D$11, 100%, $F$11)</f>
        <v>32.480499999999999</v>
      </c>
      <c r="K840" s="4"/>
      <c r="L840" s="9">
        <v>30.7165</v>
      </c>
      <c r="M840" s="9">
        <v>12.063700000000001</v>
      </c>
      <c r="N840" s="9">
        <v>4.9444999999999997</v>
      </c>
      <c r="O840" s="9">
        <v>0.37409999999999999</v>
      </c>
      <c r="P840" s="9">
        <v>1.2183999999999999</v>
      </c>
      <c r="Q840" s="9">
        <v>19.688099999999999</v>
      </c>
      <c r="R840" s="9"/>
      <c r="S840" s="11"/>
    </row>
    <row r="841" spans="1:19" ht="15.75">
      <c r="A841" s="13">
        <v>67114</v>
      </c>
      <c r="B841" s="8">
        <f>CHOOSE( CONTROL!$C$32, 33.1523, 33.1474) * CHOOSE(CONTROL!$C$15, $D$11, 100%, $F$11)</f>
        <v>33.152299999999997</v>
      </c>
      <c r="C841" s="8">
        <f>CHOOSE( CONTROL!$C$32, 33.1604, 33.1555) * CHOOSE(CONTROL!$C$15, $D$11, 100%, $F$11)</f>
        <v>33.160400000000003</v>
      </c>
      <c r="D841" s="8">
        <f>CHOOSE( CONTROL!$C$32, 33.1821, 33.1773) * CHOOSE( CONTROL!$C$15, $D$11, 100%, $F$11)</f>
        <v>33.182099999999998</v>
      </c>
      <c r="E841" s="12">
        <f>CHOOSE( CONTROL!$C$32, 33.173, 33.1682) * CHOOSE( CONTROL!$C$15, $D$11, 100%, $F$11)</f>
        <v>33.173000000000002</v>
      </c>
      <c r="F841" s="4">
        <f>CHOOSE( CONTROL!$C$32, 33.8501, 33.8452) * CHOOSE(CONTROL!$C$15, $D$11, 100%, $F$11)</f>
        <v>33.850099999999998</v>
      </c>
      <c r="G841" s="8">
        <f>CHOOSE( CONTROL!$C$32, 32.3671, 32.3624) * CHOOSE( CONTROL!$C$15, $D$11, 100%, $F$11)</f>
        <v>32.367100000000001</v>
      </c>
      <c r="H841" s="4">
        <f>CHOOSE( CONTROL!$C$32, 33.2963, 33.2915) * CHOOSE(CONTROL!$C$15, $D$11, 100%, $F$11)</f>
        <v>33.296300000000002</v>
      </c>
      <c r="I841" s="8">
        <f>CHOOSE( CONTROL!$C$32, 31.9229, 31.9183) * CHOOSE(CONTROL!$C$15, $D$11, 100%, $F$11)</f>
        <v>31.922899999999998</v>
      </c>
      <c r="J841" s="4">
        <f>CHOOSE( CONTROL!$C$32, 31.8003, 31.7956) * CHOOSE(CONTROL!$C$15, $D$11, 100%, $F$11)</f>
        <v>31.8003</v>
      </c>
      <c r="K841" s="4"/>
      <c r="L841" s="9">
        <v>29.7257</v>
      </c>
      <c r="M841" s="9">
        <v>11.6745</v>
      </c>
      <c r="N841" s="9">
        <v>4.7850000000000001</v>
      </c>
      <c r="O841" s="9">
        <v>0.36199999999999999</v>
      </c>
      <c r="P841" s="9">
        <v>1.1791</v>
      </c>
      <c r="Q841" s="9">
        <v>19.053000000000001</v>
      </c>
      <c r="R841" s="9"/>
      <c r="S841" s="11"/>
    </row>
    <row r="842" spans="1:19" ht="15.75">
      <c r="A842" s="13">
        <v>67145</v>
      </c>
      <c r="B842" s="8">
        <f>34.6169 * CHOOSE(CONTROL!$C$15, $D$11, 100%, $F$11)</f>
        <v>34.616900000000001</v>
      </c>
      <c r="C842" s="8">
        <f>34.6223 * CHOOSE(CONTROL!$C$15, $D$11, 100%, $F$11)</f>
        <v>34.622300000000003</v>
      </c>
      <c r="D842" s="8">
        <f>34.6488 * CHOOSE( CONTROL!$C$15, $D$11, 100%, $F$11)</f>
        <v>34.648800000000001</v>
      </c>
      <c r="E842" s="12">
        <f>34.6395 * CHOOSE( CONTROL!$C$15, $D$11, 100%, $F$11)</f>
        <v>34.639499999999998</v>
      </c>
      <c r="F842" s="4">
        <f>35.3164 * CHOOSE(CONTROL!$C$15, $D$11, 100%, $F$11)</f>
        <v>35.316400000000002</v>
      </c>
      <c r="G842" s="8">
        <f>33.7986 * CHOOSE( CONTROL!$C$15, $D$11, 100%, $F$11)</f>
        <v>33.7986</v>
      </c>
      <c r="H842" s="4">
        <f>34.7284 * CHOOSE(CONTROL!$C$15, $D$11, 100%, $F$11)</f>
        <v>34.728400000000001</v>
      </c>
      <c r="I842" s="8">
        <f>33.3322 * CHOOSE(CONTROL!$C$15, $D$11, 100%, $F$11)</f>
        <v>33.3322</v>
      </c>
      <c r="J842" s="4">
        <f>33.2081 * CHOOSE(CONTROL!$C$15, $D$11, 100%, $F$11)</f>
        <v>33.208100000000002</v>
      </c>
      <c r="K842" s="4"/>
      <c r="L842" s="9">
        <v>31.095300000000002</v>
      </c>
      <c r="M842" s="9">
        <v>12.063700000000001</v>
      </c>
      <c r="N842" s="9">
        <v>4.9444999999999997</v>
      </c>
      <c r="O842" s="9">
        <v>0.37409999999999999</v>
      </c>
      <c r="P842" s="9">
        <v>1.2183999999999999</v>
      </c>
      <c r="Q842" s="9">
        <v>19.688099999999999</v>
      </c>
      <c r="R842" s="9"/>
      <c r="S842" s="11"/>
    </row>
    <row r="843" spans="1:19" ht="15.75">
      <c r="A843" s="13">
        <v>67175</v>
      </c>
      <c r="B843" s="8">
        <f>37.332 * CHOOSE(CONTROL!$C$15, $D$11, 100%, $F$11)</f>
        <v>37.332000000000001</v>
      </c>
      <c r="C843" s="8">
        <f>37.3372 * CHOOSE(CONTROL!$C$15, $D$11, 100%, $F$11)</f>
        <v>37.337200000000003</v>
      </c>
      <c r="D843" s="8">
        <f>37.3264 * CHOOSE( CONTROL!$C$15, $D$11, 100%, $F$11)</f>
        <v>37.3264</v>
      </c>
      <c r="E843" s="12">
        <f>37.3298 * CHOOSE( CONTROL!$C$15, $D$11, 100%, $F$11)</f>
        <v>37.329799999999999</v>
      </c>
      <c r="F843" s="4">
        <f>37.9809 * CHOOSE(CONTROL!$C$15, $D$11, 100%, $F$11)</f>
        <v>37.980899999999998</v>
      </c>
      <c r="G843" s="8">
        <f>36.4553 * CHOOSE( CONTROL!$C$15, $D$11, 100%, $F$11)</f>
        <v>36.455300000000001</v>
      </c>
      <c r="H843" s="4">
        <f>37.3308 * CHOOSE(CONTROL!$C$15, $D$11, 100%, $F$11)</f>
        <v>37.330800000000004</v>
      </c>
      <c r="I843" s="8">
        <f>35.9662 * CHOOSE(CONTROL!$C$15, $D$11, 100%, $F$11)</f>
        <v>35.966200000000001</v>
      </c>
      <c r="J843" s="4">
        <f>35.8152 * CHOOSE(CONTROL!$C$15, $D$11, 100%, $F$11)</f>
        <v>35.815199999999997</v>
      </c>
      <c r="K843" s="4"/>
      <c r="L843" s="9">
        <v>28.360600000000002</v>
      </c>
      <c r="M843" s="9">
        <v>11.6745</v>
      </c>
      <c r="N843" s="9">
        <v>4.7850000000000001</v>
      </c>
      <c r="O843" s="9">
        <v>0.36199999999999999</v>
      </c>
      <c r="P843" s="9">
        <v>1.2509999999999999</v>
      </c>
      <c r="Q843" s="9">
        <v>19.053000000000001</v>
      </c>
      <c r="R843" s="9"/>
      <c r="S843" s="11"/>
    </row>
    <row r="844" spans="1:19" ht="15.75">
      <c r="A844" s="13">
        <v>67206</v>
      </c>
      <c r="B844" s="8">
        <f>37.2641 * CHOOSE(CONTROL!$C$15, $D$11, 100%, $F$11)</f>
        <v>37.264099999999999</v>
      </c>
      <c r="C844" s="8">
        <f>37.2693 * CHOOSE(CONTROL!$C$15, $D$11, 100%, $F$11)</f>
        <v>37.269300000000001</v>
      </c>
      <c r="D844" s="8">
        <f>37.2599 * CHOOSE( CONTROL!$C$15, $D$11, 100%, $F$11)</f>
        <v>37.259900000000002</v>
      </c>
      <c r="E844" s="12">
        <f>37.2628 * CHOOSE( CONTROL!$C$15, $D$11, 100%, $F$11)</f>
        <v>37.262799999999999</v>
      </c>
      <c r="F844" s="4">
        <f>37.913 * CHOOSE(CONTROL!$C$15, $D$11, 100%, $F$11)</f>
        <v>37.912999999999997</v>
      </c>
      <c r="G844" s="8">
        <f>36.3901 * CHOOSE( CONTROL!$C$15, $D$11, 100%, $F$11)</f>
        <v>36.390099999999997</v>
      </c>
      <c r="H844" s="4">
        <f>37.2646 * CHOOSE(CONTROL!$C$15, $D$11, 100%, $F$11)</f>
        <v>37.264600000000002</v>
      </c>
      <c r="I844" s="8">
        <f>35.9054 * CHOOSE(CONTROL!$C$15, $D$11, 100%, $F$11)</f>
        <v>35.9054</v>
      </c>
      <c r="J844" s="4">
        <f>35.7501 * CHOOSE(CONTROL!$C$15, $D$11, 100%, $F$11)</f>
        <v>35.750100000000003</v>
      </c>
      <c r="K844" s="4"/>
      <c r="L844" s="9">
        <v>29.306000000000001</v>
      </c>
      <c r="M844" s="9">
        <v>12.063700000000001</v>
      </c>
      <c r="N844" s="9">
        <v>4.9444999999999997</v>
      </c>
      <c r="O844" s="9">
        <v>0.37409999999999999</v>
      </c>
      <c r="P844" s="9">
        <v>1.2927</v>
      </c>
      <c r="Q844" s="9">
        <v>19.688099999999999</v>
      </c>
      <c r="R844" s="9"/>
      <c r="S844" s="11"/>
    </row>
    <row r="845" spans="1:19" ht="15.75">
      <c r="A845" s="13">
        <v>67237</v>
      </c>
      <c r="B845" s="8">
        <f>38.6873 * CHOOSE(CONTROL!$C$15, $D$11, 100%, $F$11)</f>
        <v>38.6873</v>
      </c>
      <c r="C845" s="8">
        <f>38.6924 * CHOOSE(CONTROL!$C$15, $D$11, 100%, $F$11)</f>
        <v>38.692399999999999</v>
      </c>
      <c r="D845" s="8">
        <f>38.6789 * CHOOSE( CONTROL!$C$15, $D$11, 100%, $F$11)</f>
        <v>38.678899999999999</v>
      </c>
      <c r="E845" s="12">
        <f>38.6833 * CHOOSE( CONTROL!$C$15, $D$11, 100%, $F$11)</f>
        <v>38.683300000000003</v>
      </c>
      <c r="F845" s="4">
        <f>39.3362 * CHOOSE(CONTROL!$C$15, $D$11, 100%, $F$11)</f>
        <v>39.336199999999998</v>
      </c>
      <c r="G845" s="8">
        <f>37.7738 * CHOOSE( CONTROL!$C$15, $D$11, 100%, $F$11)</f>
        <v>37.773800000000001</v>
      </c>
      <c r="H845" s="4">
        <f>38.6545 * CHOOSE(CONTROL!$C$15, $D$11, 100%, $F$11)</f>
        <v>38.654499999999999</v>
      </c>
      <c r="I845" s="8">
        <f>37.2487 * CHOOSE(CONTROL!$C$15, $D$11, 100%, $F$11)</f>
        <v>37.248699999999999</v>
      </c>
      <c r="J845" s="4">
        <f>37.1165 * CHOOSE(CONTROL!$C$15, $D$11, 100%, $F$11)</f>
        <v>37.116500000000002</v>
      </c>
      <c r="K845" s="4"/>
      <c r="L845" s="9">
        <v>29.306000000000001</v>
      </c>
      <c r="M845" s="9">
        <v>12.063700000000001</v>
      </c>
      <c r="N845" s="9">
        <v>4.9444999999999997</v>
      </c>
      <c r="O845" s="9">
        <v>0.37409999999999999</v>
      </c>
      <c r="P845" s="9">
        <v>1.2927</v>
      </c>
      <c r="Q845" s="9">
        <v>19.688099999999999</v>
      </c>
      <c r="R845" s="9"/>
      <c r="S845" s="11"/>
    </row>
    <row r="846" spans="1:19" ht="15.75">
      <c r="A846" s="13">
        <v>67266</v>
      </c>
      <c r="B846" s="8">
        <f>36.188 * CHOOSE(CONTROL!$C$15, $D$11, 100%, $F$11)</f>
        <v>36.188000000000002</v>
      </c>
      <c r="C846" s="8">
        <f>36.1932 * CHOOSE(CONTROL!$C$15, $D$11, 100%, $F$11)</f>
        <v>36.193199999999997</v>
      </c>
      <c r="D846" s="8">
        <f>36.1797 * CHOOSE( CONTROL!$C$15, $D$11, 100%, $F$11)</f>
        <v>36.179699999999997</v>
      </c>
      <c r="E846" s="12">
        <f>36.1841 * CHOOSE( CONTROL!$C$15, $D$11, 100%, $F$11)</f>
        <v>36.184100000000001</v>
      </c>
      <c r="F846" s="4">
        <f>36.8369 * CHOOSE(CONTROL!$C$15, $D$11, 100%, $F$11)</f>
        <v>36.8369</v>
      </c>
      <c r="G846" s="8">
        <f>35.3327 * CHOOSE( CONTROL!$C$15, $D$11, 100%, $F$11)</f>
        <v>35.332700000000003</v>
      </c>
      <c r="H846" s="4">
        <f>36.2135 * CHOOSE(CONTROL!$C$15, $D$11, 100%, $F$11)</f>
        <v>36.213500000000003</v>
      </c>
      <c r="I846" s="8">
        <f>34.848 * CHOOSE(CONTROL!$C$15, $D$11, 100%, $F$11)</f>
        <v>34.847999999999999</v>
      </c>
      <c r="J846" s="4">
        <f>34.7169 * CHOOSE(CONTROL!$C$15, $D$11, 100%, $F$11)</f>
        <v>34.716900000000003</v>
      </c>
      <c r="K846" s="4"/>
      <c r="L846" s="9">
        <v>27.415299999999998</v>
      </c>
      <c r="M846" s="9">
        <v>11.285299999999999</v>
      </c>
      <c r="N846" s="9">
        <v>4.6254999999999997</v>
      </c>
      <c r="O846" s="9">
        <v>0.34989999999999999</v>
      </c>
      <c r="P846" s="9">
        <v>1.2093</v>
      </c>
      <c r="Q846" s="9">
        <v>18.417899999999999</v>
      </c>
      <c r="R846" s="9"/>
      <c r="S846" s="11"/>
    </row>
    <row r="847" spans="1:19" ht="15.75">
      <c r="A847" s="13">
        <v>67297</v>
      </c>
      <c r="B847" s="8">
        <f>35.4183 * CHOOSE(CONTROL!$C$15, $D$11, 100%, $F$11)</f>
        <v>35.418300000000002</v>
      </c>
      <c r="C847" s="8">
        <f>35.4234 * CHOOSE(CONTROL!$C$15, $D$11, 100%, $F$11)</f>
        <v>35.423400000000001</v>
      </c>
      <c r="D847" s="8">
        <f>35.4096 * CHOOSE( CONTROL!$C$15, $D$11, 100%, $F$11)</f>
        <v>35.409599999999998</v>
      </c>
      <c r="E847" s="12">
        <f>35.4141 * CHOOSE( CONTROL!$C$15, $D$11, 100%, $F$11)</f>
        <v>35.414099999999998</v>
      </c>
      <c r="F847" s="4">
        <f>36.0672 * CHOOSE(CONTROL!$C$15, $D$11, 100%, $F$11)</f>
        <v>36.0672</v>
      </c>
      <c r="G847" s="8">
        <f>34.5807 * CHOOSE( CONTROL!$C$15, $D$11, 100%, $F$11)</f>
        <v>34.5807</v>
      </c>
      <c r="H847" s="4">
        <f>35.4617 * CHOOSE(CONTROL!$C$15, $D$11, 100%, $F$11)</f>
        <v>35.4617</v>
      </c>
      <c r="I847" s="8">
        <f>34.1076 * CHOOSE(CONTROL!$C$15, $D$11, 100%, $F$11)</f>
        <v>34.107599999999998</v>
      </c>
      <c r="J847" s="4">
        <f>33.9779 * CHOOSE(CONTROL!$C$15, $D$11, 100%, $F$11)</f>
        <v>33.977899999999998</v>
      </c>
      <c r="K847" s="4"/>
      <c r="L847" s="9">
        <v>29.306000000000001</v>
      </c>
      <c r="M847" s="9">
        <v>12.063700000000001</v>
      </c>
      <c r="N847" s="9">
        <v>4.9444999999999997</v>
      </c>
      <c r="O847" s="9">
        <v>0.37409999999999999</v>
      </c>
      <c r="P847" s="9">
        <v>1.2927</v>
      </c>
      <c r="Q847" s="9">
        <v>19.688099999999999</v>
      </c>
      <c r="R847" s="9"/>
      <c r="S847" s="11"/>
    </row>
    <row r="848" spans="1:19" ht="15.75">
      <c r="A848" s="13">
        <v>67327</v>
      </c>
      <c r="B848" s="8">
        <f>35.9569 * CHOOSE(CONTROL!$C$15, $D$11, 100%, $F$11)</f>
        <v>35.956899999999997</v>
      </c>
      <c r="C848" s="8">
        <f>35.9615 * CHOOSE(CONTROL!$C$15, $D$11, 100%, $F$11)</f>
        <v>35.961500000000001</v>
      </c>
      <c r="D848" s="8">
        <f>35.9878 * CHOOSE( CONTROL!$C$15, $D$11, 100%, $F$11)</f>
        <v>35.9878</v>
      </c>
      <c r="E848" s="12">
        <f>35.9786 * CHOOSE( CONTROL!$C$15, $D$11, 100%, $F$11)</f>
        <v>35.9786</v>
      </c>
      <c r="F848" s="4">
        <f>36.6561 * CHOOSE(CONTROL!$C$15, $D$11, 100%, $F$11)</f>
        <v>36.656100000000002</v>
      </c>
      <c r="G848" s="8">
        <f>35.1061 * CHOOSE( CONTROL!$C$15, $D$11, 100%, $F$11)</f>
        <v>35.106099999999998</v>
      </c>
      <c r="H848" s="4">
        <f>36.0369 * CHOOSE(CONTROL!$C$15, $D$11, 100%, $F$11)</f>
        <v>36.036900000000003</v>
      </c>
      <c r="I848" s="8">
        <f>34.6161 * CHOOSE(CONTROL!$C$15, $D$11, 100%, $F$11)</f>
        <v>34.616100000000003</v>
      </c>
      <c r="J848" s="4">
        <f>34.4943 * CHOOSE(CONTROL!$C$15, $D$11, 100%, $F$11)</f>
        <v>34.494300000000003</v>
      </c>
      <c r="K848" s="4"/>
      <c r="L848" s="9">
        <v>30.092199999999998</v>
      </c>
      <c r="M848" s="9">
        <v>11.6745</v>
      </c>
      <c r="N848" s="9">
        <v>4.7850000000000001</v>
      </c>
      <c r="O848" s="9">
        <v>0.36199999999999999</v>
      </c>
      <c r="P848" s="9">
        <v>1.1791</v>
      </c>
      <c r="Q848" s="9">
        <v>19.053000000000001</v>
      </c>
      <c r="R848" s="9"/>
      <c r="S848" s="11"/>
    </row>
    <row r="849" spans="1:19" ht="15.75">
      <c r="A849" s="13">
        <v>67358</v>
      </c>
      <c r="B849" s="8">
        <f>CHOOSE( CONTROL!$C$32, 36.9204, 36.9156) * CHOOSE(CONTROL!$C$15, $D$11, 100%, $F$11)</f>
        <v>36.920400000000001</v>
      </c>
      <c r="C849" s="8">
        <f>CHOOSE( CONTROL!$C$32, 36.9285, 36.9237) * CHOOSE(CONTROL!$C$15, $D$11, 100%, $F$11)</f>
        <v>36.9285</v>
      </c>
      <c r="D849" s="8">
        <f>CHOOSE( CONTROL!$C$32, 36.9498, 36.945) * CHOOSE( CONTROL!$C$15, $D$11, 100%, $F$11)</f>
        <v>36.949800000000003</v>
      </c>
      <c r="E849" s="12">
        <f>CHOOSE( CONTROL!$C$32, 36.9408, 36.936) * CHOOSE( CONTROL!$C$15, $D$11, 100%, $F$11)</f>
        <v>36.940800000000003</v>
      </c>
      <c r="F849" s="4">
        <f>CHOOSE( CONTROL!$C$32, 37.6182, 37.6134) * CHOOSE(CONTROL!$C$15, $D$11, 100%, $F$11)</f>
        <v>37.618200000000002</v>
      </c>
      <c r="G849" s="8">
        <f>CHOOSE( CONTROL!$C$32, 36.0468, 36.0421) * CHOOSE( CONTROL!$C$15, $D$11, 100%, $F$11)</f>
        <v>36.046799999999998</v>
      </c>
      <c r="H849" s="4">
        <f>CHOOSE( CONTROL!$C$32, 36.9766, 36.9719) * CHOOSE(CONTROL!$C$15, $D$11, 100%, $F$11)</f>
        <v>36.976599999999998</v>
      </c>
      <c r="I849" s="8">
        <f>CHOOSE( CONTROL!$C$32, 35.5403, 35.5357) * CHOOSE(CONTROL!$C$15, $D$11, 100%, $F$11)</f>
        <v>35.540300000000002</v>
      </c>
      <c r="J849" s="4">
        <f>CHOOSE( CONTROL!$C$32, 35.4181, 35.4134) * CHOOSE(CONTROL!$C$15, $D$11, 100%, $F$11)</f>
        <v>35.418100000000003</v>
      </c>
      <c r="K849" s="4"/>
      <c r="L849" s="9">
        <v>30.7165</v>
      </c>
      <c r="M849" s="9">
        <v>12.063700000000001</v>
      </c>
      <c r="N849" s="9">
        <v>4.9444999999999997</v>
      </c>
      <c r="O849" s="9">
        <v>0.37409999999999999</v>
      </c>
      <c r="P849" s="9">
        <v>1.2183999999999999</v>
      </c>
      <c r="Q849" s="9">
        <v>19.688099999999999</v>
      </c>
      <c r="R849" s="9"/>
      <c r="S849" s="11"/>
    </row>
    <row r="850" spans="1:19" ht="15.75">
      <c r="A850" s="13">
        <v>67388</v>
      </c>
      <c r="B850" s="8">
        <f>CHOOSE( CONTROL!$C$32, 36.3274, 36.3226) * CHOOSE(CONTROL!$C$15, $D$11, 100%, $F$11)</f>
        <v>36.327399999999997</v>
      </c>
      <c r="C850" s="8">
        <f>CHOOSE( CONTROL!$C$32, 36.3355, 36.3307) * CHOOSE(CONTROL!$C$15, $D$11, 100%, $F$11)</f>
        <v>36.335500000000003</v>
      </c>
      <c r="D850" s="8">
        <f>CHOOSE( CONTROL!$C$32, 36.357, 36.3522) * CHOOSE( CONTROL!$C$15, $D$11, 100%, $F$11)</f>
        <v>36.356999999999999</v>
      </c>
      <c r="E850" s="12">
        <f>CHOOSE( CONTROL!$C$32, 36.348, 36.3432) * CHOOSE( CONTROL!$C$15, $D$11, 100%, $F$11)</f>
        <v>36.347999999999999</v>
      </c>
      <c r="F850" s="4">
        <f>CHOOSE( CONTROL!$C$32, 37.0252, 37.0204) * CHOOSE(CONTROL!$C$15, $D$11, 100%, $F$11)</f>
        <v>37.025199999999998</v>
      </c>
      <c r="G850" s="8">
        <f>CHOOSE( CONTROL!$C$32, 35.4679, 35.4632) * CHOOSE( CONTROL!$C$15, $D$11, 100%, $F$11)</f>
        <v>35.4679</v>
      </c>
      <c r="H850" s="4">
        <f>CHOOSE( CONTROL!$C$32, 36.3974, 36.3927) * CHOOSE(CONTROL!$C$15, $D$11, 100%, $F$11)</f>
        <v>36.397399999999998</v>
      </c>
      <c r="I850" s="8">
        <f>CHOOSE( CONTROL!$C$32, 34.9716, 34.9669) * CHOOSE(CONTROL!$C$15, $D$11, 100%, $F$11)</f>
        <v>34.971600000000002</v>
      </c>
      <c r="J850" s="4">
        <f>CHOOSE( CONTROL!$C$32, 34.8487, 34.8441) * CHOOSE(CONTROL!$C$15, $D$11, 100%, $F$11)</f>
        <v>34.848700000000001</v>
      </c>
      <c r="K850" s="4"/>
      <c r="L850" s="9">
        <v>29.7257</v>
      </c>
      <c r="M850" s="9">
        <v>11.6745</v>
      </c>
      <c r="N850" s="9">
        <v>4.7850000000000001</v>
      </c>
      <c r="O850" s="9">
        <v>0.36199999999999999</v>
      </c>
      <c r="P850" s="9">
        <v>1.1791</v>
      </c>
      <c r="Q850" s="9">
        <v>19.053000000000001</v>
      </c>
      <c r="R850" s="9"/>
      <c r="S850" s="11"/>
    </row>
    <row r="851" spans="1:19" ht="15.75">
      <c r="A851" s="13">
        <v>67419</v>
      </c>
      <c r="B851" s="8">
        <f>CHOOSE( CONTROL!$C$32, 37.8891, 37.8842) * CHOOSE(CONTROL!$C$15, $D$11, 100%, $F$11)</f>
        <v>37.889099999999999</v>
      </c>
      <c r="C851" s="8">
        <f>CHOOSE( CONTROL!$C$32, 37.8972, 37.8923) * CHOOSE(CONTROL!$C$15, $D$11, 100%, $F$11)</f>
        <v>37.897199999999998</v>
      </c>
      <c r="D851" s="8">
        <f>CHOOSE( CONTROL!$C$32, 37.9189, 37.9141) * CHOOSE( CONTROL!$C$15, $D$11, 100%, $F$11)</f>
        <v>37.918900000000001</v>
      </c>
      <c r="E851" s="12">
        <f>CHOOSE( CONTROL!$C$32, 37.9098, 37.905) * CHOOSE( CONTROL!$C$15, $D$11, 100%, $F$11)</f>
        <v>37.909799999999997</v>
      </c>
      <c r="F851" s="4">
        <f>CHOOSE( CONTROL!$C$32, 38.5869, 38.582) * CHOOSE(CONTROL!$C$15, $D$11, 100%, $F$11)</f>
        <v>38.5869</v>
      </c>
      <c r="G851" s="8">
        <f>CHOOSE( CONTROL!$C$32, 36.9935, 36.9888) * CHOOSE( CONTROL!$C$15, $D$11, 100%, $F$11)</f>
        <v>36.993499999999997</v>
      </c>
      <c r="H851" s="4">
        <f>CHOOSE( CONTROL!$C$32, 37.9227, 37.918) * CHOOSE(CONTROL!$C$15, $D$11, 100%, $F$11)</f>
        <v>37.922699999999999</v>
      </c>
      <c r="I851" s="8">
        <f>CHOOSE( CONTROL!$C$32, 36.4728, 36.4682) * CHOOSE(CONTROL!$C$15, $D$11, 100%, $F$11)</f>
        <v>36.472799999999999</v>
      </c>
      <c r="J851" s="4">
        <f>CHOOSE( CONTROL!$C$32, 36.3481, 36.3434) * CHOOSE(CONTROL!$C$15, $D$11, 100%, $F$11)</f>
        <v>36.348100000000002</v>
      </c>
      <c r="K851" s="4"/>
      <c r="L851" s="9">
        <v>30.7165</v>
      </c>
      <c r="M851" s="9">
        <v>12.063700000000001</v>
      </c>
      <c r="N851" s="9">
        <v>4.9444999999999997</v>
      </c>
      <c r="O851" s="9">
        <v>0.37409999999999999</v>
      </c>
      <c r="P851" s="9">
        <v>1.2183999999999999</v>
      </c>
      <c r="Q851" s="9">
        <v>19.688099999999999</v>
      </c>
      <c r="R851" s="9"/>
      <c r="S851" s="11"/>
    </row>
    <row r="852" spans="1:19" ht="15.75">
      <c r="A852" s="13">
        <v>67450</v>
      </c>
      <c r="B852" s="8">
        <f>CHOOSE( CONTROL!$C$32, 34.967, 34.9622) * CHOOSE(CONTROL!$C$15, $D$11, 100%, $F$11)</f>
        <v>34.966999999999999</v>
      </c>
      <c r="C852" s="8">
        <f>CHOOSE( CONTROL!$C$32, 34.9751, 34.9703) * CHOOSE(CONTROL!$C$15, $D$11, 100%, $F$11)</f>
        <v>34.975099999999998</v>
      </c>
      <c r="D852" s="8">
        <f>CHOOSE( CONTROL!$C$32, 34.9969, 34.9921) * CHOOSE( CONTROL!$C$15, $D$11, 100%, $F$11)</f>
        <v>34.996899999999997</v>
      </c>
      <c r="E852" s="12">
        <f>CHOOSE( CONTROL!$C$32, 34.9878, 34.983) * CHOOSE( CONTROL!$C$15, $D$11, 100%, $F$11)</f>
        <v>34.9878</v>
      </c>
      <c r="F852" s="4">
        <f>CHOOSE( CONTROL!$C$32, 35.6648, 35.66) * CHOOSE(CONTROL!$C$15, $D$11, 100%, $F$11)</f>
        <v>35.6648</v>
      </c>
      <c r="G852" s="8">
        <f>CHOOSE( CONTROL!$C$32, 34.1396, 34.1349) * CHOOSE( CONTROL!$C$15, $D$11, 100%, $F$11)</f>
        <v>34.139600000000002</v>
      </c>
      <c r="H852" s="4">
        <f>CHOOSE( CONTROL!$C$32, 35.0688, 35.064) * CHOOSE(CONTROL!$C$15, $D$11, 100%, $F$11)</f>
        <v>35.068800000000003</v>
      </c>
      <c r="I852" s="8">
        <f>CHOOSE( CONTROL!$C$32, 33.6662, 33.6616) * CHOOSE(CONTROL!$C$15, $D$11, 100%, $F$11)</f>
        <v>33.666200000000003</v>
      </c>
      <c r="J852" s="4">
        <f>CHOOSE( CONTROL!$C$32, 33.5426, 33.538) * CHOOSE(CONTROL!$C$15, $D$11, 100%, $F$11)</f>
        <v>33.5426</v>
      </c>
      <c r="K852" s="4"/>
      <c r="L852" s="9">
        <v>30.7165</v>
      </c>
      <c r="M852" s="9">
        <v>12.063700000000001</v>
      </c>
      <c r="N852" s="9">
        <v>4.9444999999999997</v>
      </c>
      <c r="O852" s="9">
        <v>0.37409999999999999</v>
      </c>
      <c r="P852" s="9">
        <v>1.2183999999999999</v>
      </c>
      <c r="Q852" s="9">
        <v>19.688099999999999</v>
      </c>
      <c r="R852" s="9"/>
      <c r="S852" s="11"/>
    </row>
    <row r="853" spans="1:19" ht="15.75">
      <c r="A853" s="13">
        <v>67480</v>
      </c>
      <c r="B853" s="8">
        <f>CHOOSE( CONTROL!$C$32, 34.2353, 34.2305) * CHOOSE(CONTROL!$C$15, $D$11, 100%, $F$11)</f>
        <v>34.235300000000002</v>
      </c>
      <c r="C853" s="8">
        <f>CHOOSE( CONTROL!$C$32, 34.2434, 34.2386) * CHOOSE(CONTROL!$C$15, $D$11, 100%, $F$11)</f>
        <v>34.243400000000001</v>
      </c>
      <c r="D853" s="8">
        <f>CHOOSE( CONTROL!$C$32, 34.2652, 34.2604) * CHOOSE( CONTROL!$C$15, $D$11, 100%, $F$11)</f>
        <v>34.2652</v>
      </c>
      <c r="E853" s="12">
        <f>CHOOSE( CONTROL!$C$32, 34.2561, 34.2513) * CHOOSE( CONTROL!$C$15, $D$11, 100%, $F$11)</f>
        <v>34.256100000000004</v>
      </c>
      <c r="F853" s="4">
        <f>CHOOSE( CONTROL!$C$32, 34.9331, 34.9283) * CHOOSE(CONTROL!$C$15, $D$11, 100%, $F$11)</f>
        <v>34.933100000000003</v>
      </c>
      <c r="G853" s="8">
        <f>CHOOSE( CONTROL!$C$32, 33.4249, 33.4202) * CHOOSE( CONTROL!$C$15, $D$11, 100%, $F$11)</f>
        <v>33.424900000000001</v>
      </c>
      <c r="H853" s="4">
        <f>CHOOSE( CONTROL!$C$32, 34.3541, 34.3494) * CHOOSE(CONTROL!$C$15, $D$11, 100%, $F$11)</f>
        <v>34.354100000000003</v>
      </c>
      <c r="I853" s="8">
        <f>CHOOSE( CONTROL!$C$32, 32.9633, 32.9586) * CHOOSE(CONTROL!$C$15, $D$11, 100%, $F$11)</f>
        <v>32.963299999999997</v>
      </c>
      <c r="J853" s="4">
        <f>CHOOSE( CONTROL!$C$32, 32.8401, 32.8355) * CHOOSE(CONTROL!$C$15, $D$11, 100%, $F$11)</f>
        <v>32.8401</v>
      </c>
      <c r="K853" s="4"/>
      <c r="L853" s="9">
        <v>29.7257</v>
      </c>
      <c r="M853" s="9">
        <v>11.6745</v>
      </c>
      <c r="N853" s="9">
        <v>4.7850000000000001</v>
      </c>
      <c r="O853" s="9">
        <v>0.36199999999999999</v>
      </c>
      <c r="P853" s="9">
        <v>1.1791</v>
      </c>
      <c r="Q853" s="9">
        <v>19.053000000000001</v>
      </c>
      <c r="R853" s="9"/>
      <c r="S853" s="11"/>
    </row>
    <row r="854" spans="1:19" ht="15.75">
      <c r="A854" s="13">
        <v>67511</v>
      </c>
      <c r="B854" s="8">
        <f>35.748 * CHOOSE(CONTROL!$C$15, $D$11, 100%, $F$11)</f>
        <v>35.747999999999998</v>
      </c>
      <c r="C854" s="8">
        <f>35.7535 * CHOOSE(CONTROL!$C$15, $D$11, 100%, $F$11)</f>
        <v>35.753500000000003</v>
      </c>
      <c r="D854" s="8">
        <f>35.7799 * CHOOSE( CONTROL!$C$15, $D$11, 100%, $F$11)</f>
        <v>35.779899999999998</v>
      </c>
      <c r="E854" s="12">
        <f>35.7706 * CHOOSE( CONTROL!$C$15, $D$11, 100%, $F$11)</f>
        <v>35.770600000000002</v>
      </c>
      <c r="F854" s="4">
        <f>36.4476 * CHOOSE(CONTROL!$C$15, $D$11, 100%, $F$11)</f>
        <v>36.447600000000001</v>
      </c>
      <c r="G854" s="8">
        <f>34.9034 * CHOOSE( CONTROL!$C$15, $D$11, 100%, $F$11)</f>
        <v>34.903399999999998</v>
      </c>
      <c r="H854" s="4">
        <f>35.8333 * CHOOSE(CONTROL!$C$15, $D$11, 100%, $F$11)</f>
        <v>35.833300000000001</v>
      </c>
      <c r="I854" s="8">
        <f>34.4188 * CHOOSE(CONTROL!$C$15, $D$11, 100%, $F$11)</f>
        <v>34.418799999999997</v>
      </c>
      <c r="J854" s="4">
        <f>34.2941 * CHOOSE(CONTROL!$C$15, $D$11, 100%, $F$11)</f>
        <v>34.2941</v>
      </c>
      <c r="K854" s="4"/>
      <c r="L854" s="9">
        <v>31.095300000000002</v>
      </c>
      <c r="M854" s="9">
        <v>12.063700000000001</v>
      </c>
      <c r="N854" s="9">
        <v>4.9444999999999997</v>
      </c>
      <c r="O854" s="9">
        <v>0.37409999999999999</v>
      </c>
      <c r="P854" s="9">
        <v>1.2183999999999999</v>
      </c>
      <c r="Q854" s="9">
        <v>19.688099999999999</v>
      </c>
      <c r="R854" s="9"/>
      <c r="S854" s="11"/>
    </row>
    <row r="855" spans="1:19" ht="15.75">
      <c r="A855" s="13">
        <v>67541</v>
      </c>
      <c r="B855" s="8">
        <f>38.5519 * CHOOSE(CONTROL!$C$15, $D$11, 100%, $F$11)</f>
        <v>38.551900000000003</v>
      </c>
      <c r="C855" s="8">
        <f>38.5571 * CHOOSE(CONTROL!$C$15, $D$11, 100%, $F$11)</f>
        <v>38.557099999999998</v>
      </c>
      <c r="D855" s="8">
        <f>38.5464 * CHOOSE( CONTROL!$C$15, $D$11, 100%, $F$11)</f>
        <v>38.546399999999998</v>
      </c>
      <c r="E855" s="12">
        <f>38.5498 * CHOOSE( CONTROL!$C$15, $D$11, 100%, $F$11)</f>
        <v>38.549799999999998</v>
      </c>
      <c r="F855" s="4">
        <f>39.2008 * CHOOSE(CONTROL!$C$15, $D$11, 100%, $F$11)</f>
        <v>39.200800000000001</v>
      </c>
      <c r="G855" s="8">
        <f>37.6469 * CHOOSE( CONTROL!$C$15, $D$11, 100%, $F$11)</f>
        <v>37.646900000000002</v>
      </c>
      <c r="H855" s="4">
        <f>38.5224 * CHOOSE(CONTROL!$C$15, $D$11, 100%, $F$11)</f>
        <v>38.522399999999998</v>
      </c>
      <c r="I855" s="8">
        <f>37.1381 * CHOOSE(CONTROL!$C$15, $D$11, 100%, $F$11)</f>
        <v>37.138100000000001</v>
      </c>
      <c r="J855" s="4">
        <f>36.9865 * CHOOSE(CONTROL!$C$15, $D$11, 100%, $F$11)</f>
        <v>36.986499999999999</v>
      </c>
      <c r="K855" s="4"/>
      <c r="L855" s="9">
        <v>28.360600000000002</v>
      </c>
      <c r="M855" s="9">
        <v>11.6745</v>
      </c>
      <c r="N855" s="9">
        <v>4.7850000000000001</v>
      </c>
      <c r="O855" s="9">
        <v>0.36199999999999999</v>
      </c>
      <c r="P855" s="9">
        <v>1.2509999999999999</v>
      </c>
      <c r="Q855" s="9">
        <v>19.053000000000001</v>
      </c>
      <c r="R855" s="9"/>
      <c r="S855" s="11"/>
    </row>
    <row r="856" spans="1:19" ht="15.75">
      <c r="A856" s="13">
        <v>67572</v>
      </c>
      <c r="B856" s="8">
        <f>38.4819 * CHOOSE(CONTROL!$C$15, $D$11, 100%, $F$11)</f>
        <v>38.481900000000003</v>
      </c>
      <c r="C856" s="8">
        <f>38.4871 * CHOOSE(CONTROL!$C$15, $D$11, 100%, $F$11)</f>
        <v>38.487099999999998</v>
      </c>
      <c r="D856" s="8">
        <f>38.4777 * CHOOSE( CONTROL!$C$15, $D$11, 100%, $F$11)</f>
        <v>38.477699999999999</v>
      </c>
      <c r="E856" s="12">
        <f>38.4806 * CHOOSE( CONTROL!$C$15, $D$11, 100%, $F$11)</f>
        <v>38.480600000000003</v>
      </c>
      <c r="F856" s="4">
        <f>39.1308 * CHOOSE(CONTROL!$C$15, $D$11, 100%, $F$11)</f>
        <v>39.130800000000001</v>
      </c>
      <c r="G856" s="8">
        <f>37.5794 * CHOOSE( CONTROL!$C$15, $D$11, 100%, $F$11)</f>
        <v>37.5794</v>
      </c>
      <c r="H856" s="4">
        <f>38.4539 * CHOOSE(CONTROL!$C$15, $D$11, 100%, $F$11)</f>
        <v>38.453899999999997</v>
      </c>
      <c r="I856" s="8">
        <f>37.0751 * CHOOSE(CONTROL!$C$15, $D$11, 100%, $F$11)</f>
        <v>37.075099999999999</v>
      </c>
      <c r="J856" s="4">
        <f>36.9193 * CHOOSE(CONTROL!$C$15, $D$11, 100%, $F$11)</f>
        <v>36.9193</v>
      </c>
      <c r="K856" s="4"/>
      <c r="L856" s="9">
        <v>29.306000000000001</v>
      </c>
      <c r="M856" s="9">
        <v>12.063700000000001</v>
      </c>
      <c r="N856" s="9">
        <v>4.9444999999999997</v>
      </c>
      <c r="O856" s="9">
        <v>0.37409999999999999</v>
      </c>
      <c r="P856" s="9">
        <v>1.2927</v>
      </c>
      <c r="Q856" s="9">
        <v>19.688099999999999</v>
      </c>
      <c r="R856" s="9"/>
      <c r="S856" s="11"/>
    </row>
    <row r="857" spans="1:19" ht="15.75">
      <c r="A857" s="13">
        <v>67603</v>
      </c>
      <c r="B857" s="8">
        <f>39.9515 * CHOOSE(CONTROL!$C$15, $D$11, 100%, $F$11)</f>
        <v>39.951500000000003</v>
      </c>
      <c r="C857" s="8">
        <f>39.9567 * CHOOSE(CONTROL!$C$15, $D$11, 100%, $F$11)</f>
        <v>39.956699999999998</v>
      </c>
      <c r="D857" s="8">
        <f>39.9432 * CHOOSE( CONTROL!$C$15, $D$11, 100%, $F$11)</f>
        <v>39.943199999999997</v>
      </c>
      <c r="E857" s="12">
        <f>39.9476 * CHOOSE( CONTROL!$C$15, $D$11, 100%, $F$11)</f>
        <v>39.947600000000001</v>
      </c>
      <c r="F857" s="4">
        <f>40.6004 * CHOOSE(CONTROL!$C$15, $D$11, 100%, $F$11)</f>
        <v>40.6004</v>
      </c>
      <c r="G857" s="8">
        <f>39.0086 * CHOOSE( CONTROL!$C$15, $D$11, 100%, $F$11)</f>
        <v>39.008600000000001</v>
      </c>
      <c r="H857" s="4">
        <f>39.8894 * CHOOSE(CONTROL!$C$15, $D$11, 100%, $F$11)</f>
        <v>39.889400000000002</v>
      </c>
      <c r="I857" s="8">
        <f>38.4632 * CHOOSE(CONTROL!$C$15, $D$11, 100%, $F$11)</f>
        <v>38.463200000000001</v>
      </c>
      <c r="J857" s="4">
        <f>38.3303 * CHOOSE(CONTROL!$C$15, $D$11, 100%, $F$11)</f>
        <v>38.330300000000001</v>
      </c>
      <c r="K857" s="4"/>
      <c r="L857" s="9">
        <v>29.306000000000001</v>
      </c>
      <c r="M857" s="9">
        <v>12.063700000000001</v>
      </c>
      <c r="N857" s="9">
        <v>4.9444999999999997</v>
      </c>
      <c r="O857" s="9">
        <v>0.37409999999999999</v>
      </c>
      <c r="P857" s="9">
        <v>1.2927</v>
      </c>
      <c r="Q857" s="9">
        <v>19.688099999999999</v>
      </c>
      <c r="R857" s="9"/>
      <c r="S857" s="11"/>
    </row>
    <row r="858" spans="1:19" ht="15.75">
      <c r="A858" s="13">
        <v>67631</v>
      </c>
      <c r="B858" s="8">
        <f>37.3706 * CHOOSE(CONTROL!$C$15, $D$11, 100%, $F$11)</f>
        <v>37.370600000000003</v>
      </c>
      <c r="C858" s="8">
        <f>37.3758 * CHOOSE(CONTROL!$C$15, $D$11, 100%, $F$11)</f>
        <v>37.375799999999998</v>
      </c>
      <c r="D858" s="8">
        <f>37.3622 * CHOOSE( CONTROL!$C$15, $D$11, 100%, $F$11)</f>
        <v>37.362200000000001</v>
      </c>
      <c r="E858" s="12">
        <f>37.3666 * CHOOSE( CONTROL!$C$15, $D$11, 100%, $F$11)</f>
        <v>37.366599999999998</v>
      </c>
      <c r="F858" s="4">
        <f>38.0195 * CHOOSE(CONTROL!$C$15, $D$11, 100%, $F$11)</f>
        <v>38.019500000000001</v>
      </c>
      <c r="G858" s="8">
        <f>36.4878 * CHOOSE( CONTROL!$C$15, $D$11, 100%, $F$11)</f>
        <v>36.4878</v>
      </c>
      <c r="H858" s="4">
        <f>37.3685 * CHOOSE(CONTROL!$C$15, $D$11, 100%, $F$11)</f>
        <v>37.368499999999997</v>
      </c>
      <c r="I858" s="8">
        <f>35.9839 * CHOOSE(CONTROL!$C$15, $D$11, 100%, $F$11)</f>
        <v>35.983899999999998</v>
      </c>
      <c r="J858" s="4">
        <f>35.8523 * CHOOSE(CONTROL!$C$15, $D$11, 100%, $F$11)</f>
        <v>35.8523</v>
      </c>
      <c r="K858" s="4"/>
      <c r="L858" s="9">
        <v>26.469899999999999</v>
      </c>
      <c r="M858" s="9">
        <v>10.8962</v>
      </c>
      <c r="N858" s="9">
        <v>4.4660000000000002</v>
      </c>
      <c r="O858" s="9">
        <v>0.33789999999999998</v>
      </c>
      <c r="P858" s="9">
        <v>1.1676</v>
      </c>
      <c r="Q858" s="9">
        <v>17.782800000000002</v>
      </c>
      <c r="R858" s="9"/>
      <c r="S858" s="11"/>
    </row>
    <row r="859" spans="1:19" ht="15.75">
      <c r="A859" s="13">
        <v>67662</v>
      </c>
      <c r="B859" s="8">
        <f>36.5756 * CHOOSE(CONTROL!$C$15, $D$11, 100%, $F$11)</f>
        <v>36.575600000000001</v>
      </c>
      <c r="C859" s="8">
        <f>36.5808 * CHOOSE(CONTROL!$C$15, $D$11, 100%, $F$11)</f>
        <v>36.580800000000004</v>
      </c>
      <c r="D859" s="8">
        <f>36.567 * CHOOSE( CONTROL!$C$15, $D$11, 100%, $F$11)</f>
        <v>36.567</v>
      </c>
      <c r="E859" s="12">
        <f>36.5715 * CHOOSE( CONTROL!$C$15, $D$11, 100%, $F$11)</f>
        <v>36.5715</v>
      </c>
      <c r="F859" s="4">
        <f>37.2245 * CHOOSE(CONTROL!$C$15, $D$11, 100%, $F$11)</f>
        <v>37.224499999999999</v>
      </c>
      <c r="G859" s="8">
        <f>35.7111 * CHOOSE( CONTROL!$C$15, $D$11, 100%, $F$11)</f>
        <v>35.711100000000002</v>
      </c>
      <c r="H859" s="4">
        <f>36.5921 * CHOOSE(CONTROL!$C$15, $D$11, 100%, $F$11)</f>
        <v>36.592100000000002</v>
      </c>
      <c r="I859" s="8">
        <f>35.2193 * CHOOSE(CONTROL!$C$15, $D$11, 100%, $F$11)</f>
        <v>35.219299999999997</v>
      </c>
      <c r="J859" s="4">
        <f>35.0891 * CHOOSE(CONTROL!$C$15, $D$11, 100%, $F$11)</f>
        <v>35.089100000000002</v>
      </c>
      <c r="K859" s="4"/>
      <c r="L859" s="9">
        <v>29.306000000000001</v>
      </c>
      <c r="M859" s="9">
        <v>12.063700000000001</v>
      </c>
      <c r="N859" s="9">
        <v>4.9444999999999997</v>
      </c>
      <c r="O859" s="9">
        <v>0.37409999999999999</v>
      </c>
      <c r="P859" s="9">
        <v>1.2927</v>
      </c>
      <c r="Q859" s="9">
        <v>19.688099999999999</v>
      </c>
      <c r="R859" s="9"/>
      <c r="S859" s="11"/>
    </row>
    <row r="860" spans="1:19" ht="15.75">
      <c r="A860" s="13">
        <v>67692</v>
      </c>
      <c r="B860" s="8">
        <f>37.1319 * CHOOSE(CONTROL!$C$15, $D$11, 100%, $F$11)</f>
        <v>37.131900000000002</v>
      </c>
      <c r="C860" s="8">
        <f>37.1365 * CHOOSE(CONTROL!$C$15, $D$11, 100%, $F$11)</f>
        <v>37.136499999999998</v>
      </c>
      <c r="D860" s="8">
        <f>37.1628 * CHOOSE( CONTROL!$C$15, $D$11, 100%, $F$11)</f>
        <v>37.162799999999997</v>
      </c>
      <c r="E860" s="12">
        <f>37.1536 * CHOOSE( CONTROL!$C$15, $D$11, 100%, $F$11)</f>
        <v>37.153599999999997</v>
      </c>
      <c r="F860" s="4">
        <f>37.8311 * CHOOSE(CONTROL!$C$15, $D$11, 100%, $F$11)</f>
        <v>37.831099999999999</v>
      </c>
      <c r="G860" s="8">
        <f>36.2537 * CHOOSE( CONTROL!$C$15, $D$11, 100%, $F$11)</f>
        <v>36.253700000000002</v>
      </c>
      <c r="H860" s="4">
        <f>37.1845 * CHOOSE(CONTROL!$C$15, $D$11, 100%, $F$11)</f>
        <v>37.1845</v>
      </c>
      <c r="I860" s="8">
        <f>35.7448 * CHOOSE(CONTROL!$C$15, $D$11, 100%, $F$11)</f>
        <v>35.744799999999998</v>
      </c>
      <c r="J860" s="4">
        <f>35.6224 * CHOOSE(CONTROL!$C$15, $D$11, 100%, $F$11)</f>
        <v>35.622399999999999</v>
      </c>
      <c r="K860" s="4"/>
      <c r="L860" s="9">
        <v>30.092199999999998</v>
      </c>
      <c r="M860" s="9">
        <v>11.6745</v>
      </c>
      <c r="N860" s="9">
        <v>4.7850000000000001</v>
      </c>
      <c r="O860" s="9">
        <v>0.36199999999999999</v>
      </c>
      <c r="P860" s="9">
        <v>1.1791</v>
      </c>
      <c r="Q860" s="9">
        <v>19.053000000000001</v>
      </c>
      <c r="R860" s="9"/>
      <c r="S860" s="11"/>
    </row>
    <row r="861" spans="1:19" ht="15.75">
      <c r="A861" s="13">
        <v>67723</v>
      </c>
      <c r="B861" s="8">
        <f>CHOOSE( CONTROL!$C$32, 38.1267, 38.1219) * CHOOSE(CONTROL!$C$15, $D$11, 100%, $F$11)</f>
        <v>38.1267</v>
      </c>
      <c r="C861" s="8">
        <f>CHOOSE( CONTROL!$C$32, 38.1348, 38.13) * CHOOSE(CONTROL!$C$15, $D$11, 100%, $F$11)</f>
        <v>38.134799999999998</v>
      </c>
      <c r="D861" s="8">
        <f>CHOOSE( CONTROL!$C$32, 38.1561, 38.1513) * CHOOSE( CONTROL!$C$15, $D$11, 100%, $F$11)</f>
        <v>38.156100000000002</v>
      </c>
      <c r="E861" s="12">
        <f>CHOOSE( CONTROL!$C$32, 38.1471, 38.1423) * CHOOSE( CONTROL!$C$15, $D$11, 100%, $F$11)</f>
        <v>38.147100000000002</v>
      </c>
      <c r="F861" s="4">
        <f>CHOOSE( CONTROL!$C$32, 38.8245, 38.8197) * CHOOSE(CONTROL!$C$15, $D$11, 100%, $F$11)</f>
        <v>38.8245</v>
      </c>
      <c r="G861" s="8">
        <f>CHOOSE( CONTROL!$C$32, 37.225, 37.2203) * CHOOSE( CONTROL!$C$15, $D$11, 100%, $F$11)</f>
        <v>37.225000000000001</v>
      </c>
      <c r="H861" s="4">
        <f>CHOOSE( CONTROL!$C$32, 38.1548, 38.1501) * CHOOSE(CONTROL!$C$15, $D$11, 100%, $F$11)</f>
        <v>38.154800000000002</v>
      </c>
      <c r="I861" s="8">
        <f>CHOOSE( CONTROL!$C$32, 36.699, 36.6944) * CHOOSE(CONTROL!$C$15, $D$11, 100%, $F$11)</f>
        <v>36.698999999999998</v>
      </c>
      <c r="J861" s="4">
        <f>CHOOSE( CONTROL!$C$32, 36.5762, 36.5716) * CHOOSE(CONTROL!$C$15, $D$11, 100%, $F$11)</f>
        <v>36.5762</v>
      </c>
      <c r="K861" s="4"/>
      <c r="L861" s="9">
        <v>30.7165</v>
      </c>
      <c r="M861" s="9">
        <v>12.063700000000001</v>
      </c>
      <c r="N861" s="9">
        <v>4.9444999999999997</v>
      </c>
      <c r="O861" s="9">
        <v>0.37409999999999999</v>
      </c>
      <c r="P861" s="9">
        <v>1.2183999999999999</v>
      </c>
      <c r="Q861" s="9">
        <v>19.688099999999999</v>
      </c>
      <c r="R861" s="9"/>
      <c r="S861" s="11"/>
    </row>
    <row r="862" spans="1:19" ht="15.75">
      <c r="A862" s="13">
        <v>67753</v>
      </c>
      <c r="B862" s="8">
        <f>CHOOSE( CONTROL!$C$32, 37.5143, 37.5095) * CHOOSE(CONTROL!$C$15, $D$11, 100%, $F$11)</f>
        <v>37.514299999999999</v>
      </c>
      <c r="C862" s="8">
        <f>CHOOSE( CONTROL!$C$32, 37.5224, 37.5175) * CHOOSE(CONTROL!$C$15, $D$11, 100%, $F$11)</f>
        <v>37.522399999999998</v>
      </c>
      <c r="D862" s="8">
        <f>CHOOSE( CONTROL!$C$32, 37.5439, 37.5391) * CHOOSE( CONTROL!$C$15, $D$11, 100%, $F$11)</f>
        <v>37.543900000000001</v>
      </c>
      <c r="E862" s="12">
        <f>CHOOSE( CONTROL!$C$32, 37.5349, 37.5301) * CHOOSE( CONTROL!$C$15, $D$11, 100%, $F$11)</f>
        <v>37.5349</v>
      </c>
      <c r="F862" s="4">
        <f>CHOOSE( CONTROL!$C$32, 38.2121, 38.2073) * CHOOSE(CONTROL!$C$15, $D$11, 100%, $F$11)</f>
        <v>38.2121</v>
      </c>
      <c r="G862" s="8">
        <f>CHOOSE( CONTROL!$C$32, 36.6271, 36.6224) * CHOOSE( CONTROL!$C$15, $D$11, 100%, $F$11)</f>
        <v>36.627099999999999</v>
      </c>
      <c r="H862" s="4">
        <f>CHOOSE( CONTROL!$C$32, 37.5567, 37.552) * CHOOSE(CONTROL!$C$15, $D$11, 100%, $F$11)</f>
        <v>37.556699999999999</v>
      </c>
      <c r="I862" s="8">
        <f>CHOOSE( CONTROL!$C$32, 36.1117, 36.107) * CHOOSE(CONTROL!$C$15, $D$11, 100%, $F$11)</f>
        <v>36.111699999999999</v>
      </c>
      <c r="J862" s="4">
        <f>CHOOSE( CONTROL!$C$32, 35.9882, 35.9836) * CHOOSE(CONTROL!$C$15, $D$11, 100%, $F$11)</f>
        <v>35.988199999999999</v>
      </c>
      <c r="K862" s="4"/>
      <c r="L862" s="9">
        <v>29.7257</v>
      </c>
      <c r="M862" s="9">
        <v>11.6745</v>
      </c>
      <c r="N862" s="9">
        <v>4.7850000000000001</v>
      </c>
      <c r="O862" s="9">
        <v>0.36199999999999999</v>
      </c>
      <c r="P862" s="9">
        <v>1.1791</v>
      </c>
      <c r="Q862" s="9">
        <v>19.053000000000001</v>
      </c>
      <c r="R862" s="9"/>
      <c r="S862" s="11"/>
    </row>
    <row r="863" spans="1:19" ht="15.75">
      <c r="A863" s="13">
        <v>67784</v>
      </c>
      <c r="B863" s="8">
        <f>CHOOSE( CONTROL!$C$32, 39.127, 39.1222) * CHOOSE(CONTROL!$C$15, $D$11, 100%, $F$11)</f>
        <v>39.127000000000002</v>
      </c>
      <c r="C863" s="8">
        <f>CHOOSE( CONTROL!$C$32, 39.1351, 39.1303) * CHOOSE(CONTROL!$C$15, $D$11, 100%, $F$11)</f>
        <v>39.135100000000001</v>
      </c>
      <c r="D863" s="8">
        <f>CHOOSE( CONTROL!$C$32, 39.1569, 39.152) * CHOOSE( CONTROL!$C$15, $D$11, 100%, $F$11)</f>
        <v>39.1569</v>
      </c>
      <c r="E863" s="12">
        <f>CHOOSE( CONTROL!$C$32, 39.1478, 39.1429) * CHOOSE( CONTROL!$C$15, $D$11, 100%, $F$11)</f>
        <v>39.147799999999997</v>
      </c>
      <c r="F863" s="4">
        <f>CHOOSE( CONTROL!$C$32, 39.8248, 39.82) * CHOOSE(CONTROL!$C$15, $D$11, 100%, $F$11)</f>
        <v>39.824800000000003</v>
      </c>
      <c r="G863" s="8">
        <f>CHOOSE( CONTROL!$C$32, 38.2026, 38.1979) * CHOOSE( CONTROL!$C$15, $D$11, 100%, $F$11)</f>
        <v>38.202599999999997</v>
      </c>
      <c r="H863" s="4">
        <f>CHOOSE( CONTROL!$C$32, 39.1318, 39.1271) * CHOOSE(CONTROL!$C$15, $D$11, 100%, $F$11)</f>
        <v>39.131799999999998</v>
      </c>
      <c r="I863" s="8">
        <f>CHOOSE( CONTROL!$C$32, 37.662, 37.6573) * CHOOSE(CONTROL!$C$15, $D$11, 100%, $F$11)</f>
        <v>37.661999999999999</v>
      </c>
      <c r="J863" s="4">
        <f>CHOOSE( CONTROL!$C$32, 37.5366, 37.532) * CHOOSE(CONTROL!$C$15, $D$11, 100%, $F$11)</f>
        <v>37.5366</v>
      </c>
      <c r="K863" s="4"/>
      <c r="L863" s="9">
        <v>30.7165</v>
      </c>
      <c r="M863" s="9">
        <v>12.063700000000001</v>
      </c>
      <c r="N863" s="9">
        <v>4.9444999999999997</v>
      </c>
      <c r="O863" s="9">
        <v>0.37409999999999999</v>
      </c>
      <c r="P863" s="9">
        <v>1.2183999999999999</v>
      </c>
      <c r="Q863" s="9">
        <v>19.688099999999999</v>
      </c>
      <c r="R863" s="9"/>
      <c r="S863" s="11"/>
    </row>
    <row r="864" spans="1:19" ht="15.75">
      <c r="A864" s="13">
        <v>67815</v>
      </c>
      <c r="B864" s="8">
        <f>CHOOSE( CONTROL!$C$32, 36.1094, 36.1046) * CHOOSE(CONTROL!$C$15, $D$11, 100%, $F$11)</f>
        <v>36.109400000000001</v>
      </c>
      <c r="C864" s="8">
        <f>CHOOSE( CONTROL!$C$32, 36.1175, 36.1127) * CHOOSE(CONTROL!$C$15, $D$11, 100%, $F$11)</f>
        <v>36.1175</v>
      </c>
      <c r="D864" s="8">
        <f>CHOOSE( CONTROL!$C$32, 36.1393, 36.1345) * CHOOSE( CONTROL!$C$15, $D$11, 100%, $F$11)</f>
        <v>36.139299999999999</v>
      </c>
      <c r="E864" s="12">
        <f>CHOOSE( CONTROL!$C$32, 36.1302, 36.1254) * CHOOSE( CONTROL!$C$15, $D$11, 100%, $F$11)</f>
        <v>36.130200000000002</v>
      </c>
      <c r="F864" s="4">
        <f>CHOOSE( CONTROL!$C$32, 36.8072, 36.8024) * CHOOSE(CONTROL!$C$15, $D$11, 100%, $F$11)</f>
        <v>36.807200000000002</v>
      </c>
      <c r="G864" s="8">
        <f>CHOOSE( CONTROL!$C$32, 35.2554, 35.2507) * CHOOSE( CONTROL!$C$15, $D$11, 100%, $F$11)</f>
        <v>35.255400000000002</v>
      </c>
      <c r="H864" s="4">
        <f>CHOOSE( CONTROL!$C$32, 36.1845, 36.1798) * CHOOSE(CONTROL!$C$15, $D$11, 100%, $F$11)</f>
        <v>36.1845</v>
      </c>
      <c r="I864" s="8">
        <f>CHOOSE( CONTROL!$C$32, 34.7636, 34.759) * CHOOSE(CONTROL!$C$15, $D$11, 100%, $F$11)</f>
        <v>34.763599999999997</v>
      </c>
      <c r="J864" s="4">
        <f>CHOOSE( CONTROL!$C$32, 34.6394, 34.6348) * CHOOSE(CONTROL!$C$15, $D$11, 100%, $F$11)</f>
        <v>34.639400000000002</v>
      </c>
      <c r="K864" s="4"/>
      <c r="L864" s="9">
        <v>30.7165</v>
      </c>
      <c r="M864" s="9">
        <v>12.063700000000001</v>
      </c>
      <c r="N864" s="9">
        <v>4.9444999999999997</v>
      </c>
      <c r="O864" s="9">
        <v>0.37409999999999999</v>
      </c>
      <c r="P864" s="9">
        <v>1.2183999999999999</v>
      </c>
      <c r="Q864" s="9">
        <v>19.688099999999999</v>
      </c>
      <c r="R864" s="9"/>
      <c r="S864" s="11"/>
    </row>
    <row r="865" spans="1:19" ht="15.75">
      <c r="A865" s="13">
        <v>67845</v>
      </c>
      <c r="B865" s="8">
        <f>CHOOSE( CONTROL!$C$32, 35.3538, 35.349) * CHOOSE(CONTROL!$C$15, $D$11, 100%, $F$11)</f>
        <v>35.3538</v>
      </c>
      <c r="C865" s="8">
        <f>CHOOSE( CONTROL!$C$32, 35.3619, 35.357) * CHOOSE(CONTROL!$C$15, $D$11, 100%, $F$11)</f>
        <v>35.361899999999999</v>
      </c>
      <c r="D865" s="8">
        <f>CHOOSE( CONTROL!$C$32, 35.3837, 35.3788) * CHOOSE( CONTROL!$C$15, $D$11, 100%, $F$11)</f>
        <v>35.383699999999997</v>
      </c>
      <c r="E865" s="12">
        <f>CHOOSE( CONTROL!$C$32, 35.3746, 35.3697) * CHOOSE( CONTROL!$C$15, $D$11, 100%, $F$11)</f>
        <v>35.374600000000001</v>
      </c>
      <c r="F865" s="4">
        <f>CHOOSE( CONTROL!$C$32, 36.0516, 36.0468) * CHOOSE(CONTROL!$C$15, $D$11, 100%, $F$11)</f>
        <v>36.051600000000001</v>
      </c>
      <c r="G865" s="8">
        <f>CHOOSE( CONTROL!$C$32, 34.5174, 34.5126) * CHOOSE( CONTROL!$C$15, $D$11, 100%, $F$11)</f>
        <v>34.517400000000002</v>
      </c>
      <c r="H865" s="4">
        <f>CHOOSE( CONTROL!$C$32, 35.4465, 35.4418) * CHOOSE(CONTROL!$C$15, $D$11, 100%, $F$11)</f>
        <v>35.4465</v>
      </c>
      <c r="I865" s="8">
        <f>CHOOSE( CONTROL!$C$32, 34.0377, 34.033) * CHOOSE(CONTROL!$C$15, $D$11, 100%, $F$11)</f>
        <v>34.037700000000001</v>
      </c>
      <c r="J865" s="4">
        <f>CHOOSE( CONTROL!$C$32, 33.9139, 33.9093) * CHOOSE(CONTROL!$C$15, $D$11, 100%, $F$11)</f>
        <v>33.913899999999998</v>
      </c>
      <c r="K865" s="4"/>
      <c r="L865" s="9">
        <v>29.7257</v>
      </c>
      <c r="M865" s="9">
        <v>11.6745</v>
      </c>
      <c r="N865" s="9">
        <v>4.7850000000000001</v>
      </c>
      <c r="O865" s="9">
        <v>0.36199999999999999</v>
      </c>
      <c r="P865" s="9">
        <v>1.1791</v>
      </c>
      <c r="Q865" s="9">
        <v>19.053000000000001</v>
      </c>
      <c r="R865" s="9"/>
      <c r="S865" s="11"/>
    </row>
    <row r="866" spans="1:19" ht="15.75">
      <c r="A866" s="13">
        <v>67876</v>
      </c>
      <c r="B866" s="8">
        <f>36.9162 * CHOOSE(CONTROL!$C$15, $D$11, 100%, $F$11)</f>
        <v>36.916200000000003</v>
      </c>
      <c r="C866" s="8">
        <f>36.9216 * CHOOSE(CONTROL!$C$15, $D$11, 100%, $F$11)</f>
        <v>36.921599999999998</v>
      </c>
      <c r="D866" s="8">
        <f>36.9481 * CHOOSE( CONTROL!$C$15, $D$11, 100%, $F$11)</f>
        <v>36.948099999999997</v>
      </c>
      <c r="E866" s="12">
        <f>36.9388 * CHOOSE( CONTROL!$C$15, $D$11, 100%, $F$11)</f>
        <v>36.938800000000001</v>
      </c>
      <c r="F866" s="4">
        <f>37.6157 * CHOOSE(CONTROL!$C$15, $D$11, 100%, $F$11)</f>
        <v>37.615699999999997</v>
      </c>
      <c r="G866" s="8">
        <f>36.0443 * CHOOSE( CONTROL!$C$15, $D$11, 100%, $F$11)</f>
        <v>36.0443</v>
      </c>
      <c r="H866" s="4">
        <f>36.9742 * CHOOSE(CONTROL!$C$15, $D$11, 100%, $F$11)</f>
        <v>36.974200000000003</v>
      </c>
      <c r="I866" s="8">
        <f>35.5409 * CHOOSE(CONTROL!$C$15, $D$11, 100%, $F$11)</f>
        <v>35.540900000000001</v>
      </c>
      <c r="J866" s="4">
        <f>35.4157 * CHOOSE(CONTROL!$C$15, $D$11, 100%, $F$11)</f>
        <v>35.415700000000001</v>
      </c>
      <c r="K866" s="4"/>
      <c r="L866" s="9">
        <v>31.095300000000002</v>
      </c>
      <c r="M866" s="9">
        <v>12.063700000000001</v>
      </c>
      <c r="N866" s="9">
        <v>4.9444999999999997</v>
      </c>
      <c r="O866" s="9">
        <v>0.37409999999999999</v>
      </c>
      <c r="P866" s="9">
        <v>1.2183999999999999</v>
      </c>
      <c r="Q866" s="9">
        <v>19.688099999999999</v>
      </c>
      <c r="R866" s="9"/>
      <c r="S866" s="11"/>
    </row>
    <row r="867" spans="1:19" ht="15.75">
      <c r="A867" s="13">
        <v>67906</v>
      </c>
      <c r="B867" s="8">
        <f>39.8118 * CHOOSE(CONTROL!$C$15, $D$11, 100%, $F$11)</f>
        <v>39.811799999999998</v>
      </c>
      <c r="C867" s="8">
        <f>39.817 * CHOOSE(CONTROL!$C$15, $D$11, 100%, $F$11)</f>
        <v>39.817</v>
      </c>
      <c r="D867" s="8">
        <f>39.8062 * CHOOSE( CONTROL!$C$15, $D$11, 100%, $F$11)</f>
        <v>39.806199999999997</v>
      </c>
      <c r="E867" s="12">
        <f>39.8096 * CHOOSE( CONTROL!$C$15, $D$11, 100%, $F$11)</f>
        <v>39.809600000000003</v>
      </c>
      <c r="F867" s="4">
        <f>40.4607 * CHOOSE(CONTROL!$C$15, $D$11, 100%, $F$11)</f>
        <v>40.460700000000003</v>
      </c>
      <c r="G867" s="8">
        <f>38.8774 * CHOOSE( CONTROL!$C$15, $D$11, 100%, $F$11)</f>
        <v>38.877400000000002</v>
      </c>
      <c r="H867" s="4">
        <f>39.7529 * CHOOSE(CONTROL!$C$15, $D$11, 100%, $F$11)</f>
        <v>39.752899999999997</v>
      </c>
      <c r="I867" s="8">
        <f>38.3483 * CHOOSE(CONTROL!$C$15, $D$11, 100%, $F$11)</f>
        <v>38.348300000000002</v>
      </c>
      <c r="J867" s="4">
        <f>38.1961 * CHOOSE(CONTROL!$C$15, $D$11, 100%, $F$11)</f>
        <v>38.196100000000001</v>
      </c>
      <c r="K867" s="4"/>
      <c r="L867" s="9">
        <v>28.360600000000002</v>
      </c>
      <c r="M867" s="9">
        <v>11.6745</v>
      </c>
      <c r="N867" s="9">
        <v>4.7850000000000001</v>
      </c>
      <c r="O867" s="9">
        <v>0.36199999999999999</v>
      </c>
      <c r="P867" s="9">
        <v>1.2509999999999999</v>
      </c>
      <c r="Q867" s="9">
        <v>19.053000000000001</v>
      </c>
      <c r="R867" s="9"/>
      <c r="S867" s="11"/>
    </row>
    <row r="868" spans="1:19" ht="15.75">
      <c r="A868" s="13">
        <v>67937</v>
      </c>
      <c r="B868" s="8">
        <f>39.7394 * CHOOSE(CONTROL!$C$15, $D$11, 100%, $F$11)</f>
        <v>39.739400000000003</v>
      </c>
      <c r="C868" s="8">
        <f>39.7446 * CHOOSE(CONTROL!$C$15, $D$11, 100%, $F$11)</f>
        <v>39.744599999999998</v>
      </c>
      <c r="D868" s="8">
        <f>39.7352 * CHOOSE( CONTROL!$C$15, $D$11, 100%, $F$11)</f>
        <v>39.735199999999999</v>
      </c>
      <c r="E868" s="12">
        <f>39.7381 * CHOOSE( CONTROL!$C$15, $D$11, 100%, $F$11)</f>
        <v>39.738100000000003</v>
      </c>
      <c r="F868" s="4">
        <f>40.3884 * CHOOSE(CONTROL!$C$15, $D$11, 100%, $F$11)</f>
        <v>40.388399999999997</v>
      </c>
      <c r="G868" s="8">
        <f>38.8077 * CHOOSE( CONTROL!$C$15, $D$11, 100%, $F$11)</f>
        <v>38.807699999999997</v>
      </c>
      <c r="H868" s="4">
        <f>39.6822 * CHOOSE(CONTROL!$C$15, $D$11, 100%, $F$11)</f>
        <v>39.682200000000002</v>
      </c>
      <c r="I868" s="8">
        <f>38.2831 * CHOOSE(CONTROL!$C$15, $D$11, 100%, $F$11)</f>
        <v>38.283099999999997</v>
      </c>
      <c r="J868" s="4">
        <f>38.1267 * CHOOSE(CONTROL!$C$15, $D$11, 100%, $F$11)</f>
        <v>38.1267</v>
      </c>
      <c r="K868" s="4"/>
      <c r="L868" s="9">
        <v>29.306000000000001</v>
      </c>
      <c r="M868" s="9">
        <v>12.063700000000001</v>
      </c>
      <c r="N868" s="9">
        <v>4.9444999999999997</v>
      </c>
      <c r="O868" s="9">
        <v>0.37409999999999999</v>
      </c>
      <c r="P868" s="9">
        <v>1.2927</v>
      </c>
      <c r="Q868" s="9">
        <v>19.688099999999999</v>
      </c>
      <c r="R868" s="9"/>
      <c r="S868" s="11"/>
    </row>
    <row r="869" spans="1:19" ht="15.75">
      <c r="A869" s="13">
        <v>67968</v>
      </c>
      <c r="B869" s="8">
        <f>41.2572 * CHOOSE(CONTROL!$C$15, $D$11, 100%, $F$11)</f>
        <v>41.257199999999997</v>
      </c>
      <c r="C869" s="8">
        <f>41.2624 * CHOOSE(CONTROL!$C$15, $D$11, 100%, $F$11)</f>
        <v>41.2624</v>
      </c>
      <c r="D869" s="8">
        <f>41.2488 * CHOOSE( CONTROL!$C$15, $D$11, 100%, $F$11)</f>
        <v>41.248800000000003</v>
      </c>
      <c r="E869" s="12">
        <f>41.2532 * CHOOSE( CONTROL!$C$15, $D$11, 100%, $F$11)</f>
        <v>41.2532</v>
      </c>
      <c r="F869" s="4">
        <f>41.9061 * CHOOSE(CONTROL!$C$15, $D$11, 100%, $F$11)</f>
        <v>41.906100000000002</v>
      </c>
      <c r="G869" s="8">
        <f>40.2838 * CHOOSE( CONTROL!$C$15, $D$11, 100%, $F$11)</f>
        <v>40.283799999999999</v>
      </c>
      <c r="H869" s="4">
        <f>41.1646 * CHOOSE(CONTROL!$C$15, $D$11, 100%, $F$11)</f>
        <v>41.1646</v>
      </c>
      <c r="I869" s="8">
        <f>39.7173 * CHOOSE(CONTROL!$C$15, $D$11, 100%, $F$11)</f>
        <v>39.717300000000002</v>
      </c>
      <c r="J869" s="4">
        <f>39.5838 * CHOOSE(CONTROL!$C$15, $D$11, 100%, $F$11)</f>
        <v>39.583799999999997</v>
      </c>
      <c r="K869" s="4"/>
      <c r="L869" s="9">
        <v>29.306000000000001</v>
      </c>
      <c r="M869" s="9">
        <v>12.063700000000001</v>
      </c>
      <c r="N869" s="9">
        <v>4.9444999999999997</v>
      </c>
      <c r="O869" s="9">
        <v>0.37409999999999999</v>
      </c>
      <c r="P869" s="9">
        <v>1.2927</v>
      </c>
      <c r="Q869" s="9">
        <v>19.688099999999999</v>
      </c>
      <c r="R869" s="9"/>
      <c r="S869" s="11"/>
    </row>
    <row r="870" spans="1:19" ht="15.75">
      <c r="A870" s="13">
        <v>67996</v>
      </c>
      <c r="B870" s="8">
        <f>38.5918 * CHOOSE(CONTROL!$C$15, $D$11, 100%, $F$11)</f>
        <v>38.591799999999999</v>
      </c>
      <c r="C870" s="8">
        <f>38.597 * CHOOSE(CONTROL!$C$15, $D$11, 100%, $F$11)</f>
        <v>38.597000000000001</v>
      </c>
      <c r="D870" s="8">
        <f>38.5835 * CHOOSE( CONTROL!$C$15, $D$11, 100%, $F$11)</f>
        <v>38.583500000000001</v>
      </c>
      <c r="E870" s="12">
        <f>38.5879 * CHOOSE( CONTROL!$C$15, $D$11, 100%, $F$11)</f>
        <v>38.587899999999998</v>
      </c>
      <c r="F870" s="4">
        <f>39.2407 * CHOOSE(CONTROL!$C$15, $D$11, 100%, $F$11)</f>
        <v>39.240699999999997</v>
      </c>
      <c r="G870" s="8">
        <f>37.6805 * CHOOSE( CONTROL!$C$15, $D$11, 100%, $F$11)</f>
        <v>37.680500000000002</v>
      </c>
      <c r="H870" s="4">
        <f>38.5613 * CHOOSE(CONTROL!$C$15, $D$11, 100%, $F$11)</f>
        <v>38.561300000000003</v>
      </c>
      <c r="I870" s="8">
        <f>37.157 * CHOOSE(CONTROL!$C$15, $D$11, 100%, $F$11)</f>
        <v>37.156999999999996</v>
      </c>
      <c r="J870" s="4">
        <f>37.0248 * CHOOSE(CONTROL!$C$15, $D$11, 100%, $F$11)</f>
        <v>37.024799999999999</v>
      </c>
      <c r="K870" s="4"/>
      <c r="L870" s="9">
        <v>26.469899999999999</v>
      </c>
      <c r="M870" s="9">
        <v>10.8962</v>
      </c>
      <c r="N870" s="9">
        <v>4.4660000000000002</v>
      </c>
      <c r="O870" s="9">
        <v>0.33789999999999998</v>
      </c>
      <c r="P870" s="9">
        <v>1.1676</v>
      </c>
      <c r="Q870" s="9">
        <v>17.782800000000002</v>
      </c>
      <c r="R870" s="9"/>
      <c r="S870" s="11"/>
    </row>
    <row r="871" spans="1:19" ht="15.75">
      <c r="A871" s="13">
        <v>68027</v>
      </c>
      <c r="B871" s="8">
        <f>37.7709 * CHOOSE(CONTROL!$C$15, $D$11, 100%, $F$11)</f>
        <v>37.770899999999997</v>
      </c>
      <c r="C871" s="8">
        <f>37.7761 * CHOOSE(CONTROL!$C$15, $D$11, 100%, $F$11)</f>
        <v>37.7761</v>
      </c>
      <c r="D871" s="8">
        <f>37.7622 * CHOOSE( CONTROL!$C$15, $D$11, 100%, $F$11)</f>
        <v>37.7622</v>
      </c>
      <c r="E871" s="12">
        <f>37.7667 * CHOOSE( CONTROL!$C$15, $D$11, 100%, $F$11)</f>
        <v>37.7667</v>
      </c>
      <c r="F871" s="4">
        <f>38.4198 * CHOOSE(CONTROL!$C$15, $D$11, 100%, $F$11)</f>
        <v>38.419800000000002</v>
      </c>
      <c r="G871" s="8">
        <f>36.8785 * CHOOSE( CONTROL!$C$15, $D$11, 100%, $F$11)</f>
        <v>36.878500000000003</v>
      </c>
      <c r="H871" s="4">
        <f>37.7595 * CHOOSE(CONTROL!$C$15, $D$11, 100%, $F$11)</f>
        <v>37.759500000000003</v>
      </c>
      <c r="I871" s="8">
        <f>36.3674 * CHOOSE(CONTROL!$C$15, $D$11, 100%, $F$11)</f>
        <v>36.367400000000004</v>
      </c>
      <c r="J871" s="4">
        <f>36.2366 * CHOOSE(CONTROL!$C$15, $D$11, 100%, $F$11)</f>
        <v>36.236600000000003</v>
      </c>
      <c r="K871" s="4"/>
      <c r="L871" s="9">
        <v>29.306000000000001</v>
      </c>
      <c r="M871" s="9">
        <v>12.063700000000001</v>
      </c>
      <c r="N871" s="9">
        <v>4.9444999999999997</v>
      </c>
      <c r="O871" s="9">
        <v>0.37409999999999999</v>
      </c>
      <c r="P871" s="9">
        <v>1.2927</v>
      </c>
      <c r="Q871" s="9">
        <v>19.688099999999999</v>
      </c>
      <c r="R871" s="9"/>
      <c r="S871" s="11"/>
    </row>
    <row r="872" spans="1:19" ht="15.75">
      <c r="A872" s="13">
        <v>68057</v>
      </c>
      <c r="B872" s="8">
        <f>38.3453 * CHOOSE(CONTROL!$C$15, $D$11, 100%, $F$11)</f>
        <v>38.345300000000002</v>
      </c>
      <c r="C872" s="8">
        <f>38.3499 * CHOOSE(CONTROL!$C$15, $D$11, 100%, $F$11)</f>
        <v>38.349899999999998</v>
      </c>
      <c r="D872" s="8">
        <f>38.3762 * CHOOSE( CONTROL!$C$15, $D$11, 100%, $F$11)</f>
        <v>38.376199999999997</v>
      </c>
      <c r="E872" s="12">
        <f>38.367 * CHOOSE( CONTROL!$C$15, $D$11, 100%, $F$11)</f>
        <v>38.366999999999997</v>
      </c>
      <c r="F872" s="4">
        <f>39.0445 * CHOOSE(CONTROL!$C$15, $D$11, 100%, $F$11)</f>
        <v>39.044499999999999</v>
      </c>
      <c r="G872" s="8">
        <f>37.4388 * CHOOSE( CONTROL!$C$15, $D$11, 100%, $F$11)</f>
        <v>37.438800000000001</v>
      </c>
      <c r="H872" s="4">
        <f>38.3696 * CHOOSE(CONTROL!$C$15, $D$11, 100%, $F$11)</f>
        <v>38.369599999999998</v>
      </c>
      <c r="I872" s="8">
        <f>36.9103 * CHOOSE(CONTROL!$C$15, $D$11, 100%, $F$11)</f>
        <v>36.910299999999999</v>
      </c>
      <c r="J872" s="4">
        <f>36.7874 * CHOOSE(CONTROL!$C$15, $D$11, 100%, $F$11)</f>
        <v>36.787399999999998</v>
      </c>
      <c r="K872" s="4"/>
      <c r="L872" s="9">
        <v>30.092199999999998</v>
      </c>
      <c r="M872" s="9">
        <v>11.6745</v>
      </c>
      <c r="N872" s="9">
        <v>4.7850000000000001</v>
      </c>
      <c r="O872" s="9">
        <v>0.36199999999999999</v>
      </c>
      <c r="P872" s="9">
        <v>1.1791</v>
      </c>
      <c r="Q872" s="9">
        <v>19.053000000000001</v>
      </c>
      <c r="R872" s="9"/>
      <c r="S872" s="11"/>
    </row>
    <row r="873" spans="1:19" ht="15.75">
      <c r="A873" s="13">
        <v>68088</v>
      </c>
      <c r="B873" s="8">
        <f>CHOOSE( CONTROL!$C$32, 39.3724, 39.3676) * CHOOSE(CONTROL!$C$15, $D$11, 100%, $F$11)</f>
        <v>39.372399999999999</v>
      </c>
      <c r="C873" s="8">
        <f>CHOOSE( CONTROL!$C$32, 39.3805, 39.3757) * CHOOSE(CONTROL!$C$15, $D$11, 100%, $F$11)</f>
        <v>39.380499999999998</v>
      </c>
      <c r="D873" s="8">
        <f>CHOOSE( CONTROL!$C$32, 39.4018, 39.397) * CHOOSE( CONTROL!$C$15, $D$11, 100%, $F$11)</f>
        <v>39.401800000000001</v>
      </c>
      <c r="E873" s="12">
        <f>CHOOSE( CONTROL!$C$32, 39.3928, 39.388) * CHOOSE( CONTROL!$C$15, $D$11, 100%, $F$11)</f>
        <v>39.392800000000001</v>
      </c>
      <c r="F873" s="4">
        <f>CHOOSE( CONTROL!$C$32, 40.0703, 40.0654) * CHOOSE(CONTROL!$C$15, $D$11, 100%, $F$11)</f>
        <v>40.070300000000003</v>
      </c>
      <c r="G873" s="8">
        <f>CHOOSE( CONTROL!$C$32, 38.4417, 38.437) * CHOOSE( CONTROL!$C$15, $D$11, 100%, $F$11)</f>
        <v>38.441699999999997</v>
      </c>
      <c r="H873" s="4">
        <f>CHOOSE( CONTROL!$C$32, 39.3715, 39.3668) * CHOOSE(CONTROL!$C$15, $D$11, 100%, $F$11)</f>
        <v>39.371499999999997</v>
      </c>
      <c r="I873" s="8">
        <f>CHOOSE( CONTROL!$C$32, 37.8957, 37.891) * CHOOSE(CONTROL!$C$15, $D$11, 100%, $F$11)</f>
        <v>37.895699999999998</v>
      </c>
      <c r="J873" s="4">
        <f>CHOOSE( CONTROL!$C$32, 37.7723, 37.7676) * CHOOSE(CONTROL!$C$15, $D$11, 100%, $F$11)</f>
        <v>37.772300000000001</v>
      </c>
      <c r="K873" s="4"/>
      <c r="L873" s="9">
        <v>30.7165</v>
      </c>
      <c r="M873" s="9">
        <v>12.063700000000001</v>
      </c>
      <c r="N873" s="9">
        <v>4.9444999999999997</v>
      </c>
      <c r="O873" s="9">
        <v>0.37409999999999999</v>
      </c>
      <c r="P873" s="9">
        <v>1.2183999999999999</v>
      </c>
      <c r="Q873" s="9">
        <v>19.688099999999999</v>
      </c>
      <c r="R873" s="9"/>
      <c r="S873" s="11"/>
    </row>
    <row r="874" spans="1:19" ht="15.75">
      <c r="A874" s="13">
        <v>68118</v>
      </c>
      <c r="B874" s="8">
        <f>CHOOSE( CONTROL!$C$32, 38.74, 38.7352) * CHOOSE(CONTROL!$C$15, $D$11, 100%, $F$11)</f>
        <v>38.74</v>
      </c>
      <c r="C874" s="8">
        <f>CHOOSE( CONTROL!$C$32, 38.7481, 38.7432) * CHOOSE(CONTROL!$C$15, $D$11, 100%, $F$11)</f>
        <v>38.748100000000001</v>
      </c>
      <c r="D874" s="8">
        <f>CHOOSE( CONTROL!$C$32, 38.7696, 38.7648) * CHOOSE( CONTROL!$C$15, $D$11, 100%, $F$11)</f>
        <v>38.769599999999997</v>
      </c>
      <c r="E874" s="12">
        <f>CHOOSE( CONTROL!$C$32, 38.7606, 38.7558) * CHOOSE( CONTROL!$C$15, $D$11, 100%, $F$11)</f>
        <v>38.760599999999997</v>
      </c>
      <c r="F874" s="4">
        <f>CHOOSE( CONTROL!$C$32, 39.4378, 39.433) * CHOOSE(CONTROL!$C$15, $D$11, 100%, $F$11)</f>
        <v>39.437800000000003</v>
      </c>
      <c r="G874" s="8">
        <f>CHOOSE( CONTROL!$C$32, 37.8243, 37.8195) * CHOOSE( CONTROL!$C$15, $D$11, 100%, $F$11)</f>
        <v>37.824300000000001</v>
      </c>
      <c r="H874" s="4">
        <f>CHOOSE( CONTROL!$C$32, 38.7538, 38.7491) * CHOOSE(CONTROL!$C$15, $D$11, 100%, $F$11)</f>
        <v>38.753799999999998</v>
      </c>
      <c r="I874" s="8">
        <f>CHOOSE( CONTROL!$C$32, 37.2891, 37.2844) * CHOOSE(CONTROL!$C$15, $D$11, 100%, $F$11)</f>
        <v>37.289099999999998</v>
      </c>
      <c r="J874" s="4">
        <f>CHOOSE( CONTROL!$C$32, 37.165, 37.1604) * CHOOSE(CONTROL!$C$15, $D$11, 100%, $F$11)</f>
        <v>37.164999999999999</v>
      </c>
      <c r="K874" s="4"/>
      <c r="L874" s="9">
        <v>29.7257</v>
      </c>
      <c r="M874" s="9">
        <v>11.6745</v>
      </c>
      <c r="N874" s="9">
        <v>4.7850000000000001</v>
      </c>
      <c r="O874" s="9">
        <v>0.36199999999999999</v>
      </c>
      <c r="P874" s="9">
        <v>1.1791</v>
      </c>
      <c r="Q874" s="9">
        <v>19.053000000000001</v>
      </c>
      <c r="R874" s="9"/>
      <c r="S874" s="11"/>
    </row>
    <row r="875" spans="1:19" ht="15.75">
      <c r="A875" s="13">
        <v>68149</v>
      </c>
      <c r="B875" s="8">
        <f>CHOOSE( CONTROL!$C$32, 40.4055, 40.4006) * CHOOSE(CONTROL!$C$15, $D$11, 100%, $F$11)</f>
        <v>40.405500000000004</v>
      </c>
      <c r="C875" s="8">
        <f>CHOOSE( CONTROL!$C$32, 40.4136, 40.4087) * CHOOSE(CONTROL!$C$15, $D$11, 100%, $F$11)</f>
        <v>40.413600000000002</v>
      </c>
      <c r="D875" s="8">
        <f>CHOOSE( CONTROL!$C$32, 40.4353, 40.4305) * CHOOSE( CONTROL!$C$15, $D$11, 100%, $F$11)</f>
        <v>40.435299999999998</v>
      </c>
      <c r="E875" s="12">
        <f>CHOOSE( CONTROL!$C$32, 40.4262, 40.4214) * CHOOSE( CONTROL!$C$15, $D$11, 100%, $F$11)</f>
        <v>40.426200000000001</v>
      </c>
      <c r="F875" s="4">
        <f>CHOOSE( CONTROL!$C$32, 41.1033, 41.0984) * CHOOSE(CONTROL!$C$15, $D$11, 100%, $F$11)</f>
        <v>41.103299999999997</v>
      </c>
      <c r="G875" s="8">
        <f>CHOOSE( CONTROL!$C$32, 39.4513, 39.4466) * CHOOSE( CONTROL!$C$15, $D$11, 100%, $F$11)</f>
        <v>39.451300000000003</v>
      </c>
      <c r="H875" s="4">
        <f>CHOOSE( CONTROL!$C$32, 40.3805, 40.3758) * CHOOSE(CONTROL!$C$15, $D$11, 100%, $F$11)</f>
        <v>40.380499999999998</v>
      </c>
      <c r="I875" s="8">
        <f>CHOOSE( CONTROL!$C$32, 38.89, 38.8854) * CHOOSE(CONTROL!$C$15, $D$11, 100%, $F$11)</f>
        <v>38.89</v>
      </c>
      <c r="J875" s="4">
        <f>CHOOSE( CONTROL!$C$32, 38.7641, 38.7594) * CHOOSE(CONTROL!$C$15, $D$11, 100%, $F$11)</f>
        <v>38.764099999999999</v>
      </c>
      <c r="K875" s="4"/>
      <c r="L875" s="9">
        <v>30.7165</v>
      </c>
      <c r="M875" s="9">
        <v>12.063700000000001</v>
      </c>
      <c r="N875" s="9">
        <v>4.9444999999999997</v>
      </c>
      <c r="O875" s="9">
        <v>0.37409999999999999</v>
      </c>
      <c r="P875" s="9">
        <v>1.2183999999999999</v>
      </c>
      <c r="Q875" s="9">
        <v>19.688099999999999</v>
      </c>
      <c r="R875" s="9"/>
      <c r="S875" s="11"/>
    </row>
    <row r="876" spans="1:19" ht="15.75">
      <c r="A876" s="13">
        <v>68180</v>
      </c>
      <c r="B876" s="8">
        <f>CHOOSE( CONTROL!$C$32, 37.2892, 37.2844) * CHOOSE(CONTROL!$C$15, $D$11, 100%, $F$11)</f>
        <v>37.289200000000001</v>
      </c>
      <c r="C876" s="8">
        <f>CHOOSE( CONTROL!$C$32, 37.2973, 37.2924) * CHOOSE(CONTROL!$C$15, $D$11, 100%, $F$11)</f>
        <v>37.2973</v>
      </c>
      <c r="D876" s="8">
        <f>CHOOSE( CONTROL!$C$32, 37.3191, 37.3142) * CHOOSE( CONTROL!$C$15, $D$11, 100%, $F$11)</f>
        <v>37.319099999999999</v>
      </c>
      <c r="E876" s="12">
        <f>CHOOSE( CONTROL!$C$32, 37.31, 37.3051) * CHOOSE( CONTROL!$C$15, $D$11, 100%, $F$11)</f>
        <v>37.31</v>
      </c>
      <c r="F876" s="4">
        <f>CHOOSE( CONTROL!$C$32, 37.987, 37.9822) * CHOOSE(CONTROL!$C$15, $D$11, 100%, $F$11)</f>
        <v>37.987000000000002</v>
      </c>
      <c r="G876" s="8">
        <f>CHOOSE( CONTROL!$C$32, 36.4077, 36.403) * CHOOSE( CONTROL!$C$15, $D$11, 100%, $F$11)</f>
        <v>36.407699999999998</v>
      </c>
      <c r="H876" s="4">
        <f>CHOOSE( CONTROL!$C$32, 37.3368, 37.3321) * CHOOSE(CONTROL!$C$15, $D$11, 100%, $F$11)</f>
        <v>37.336799999999997</v>
      </c>
      <c r="I876" s="8">
        <f>CHOOSE( CONTROL!$C$32, 35.8969, 35.8922) * CHOOSE(CONTROL!$C$15, $D$11, 100%, $F$11)</f>
        <v>35.896900000000002</v>
      </c>
      <c r="J876" s="4">
        <f>CHOOSE( CONTROL!$C$32, 35.7721, 35.7675) * CHOOSE(CONTROL!$C$15, $D$11, 100%, $F$11)</f>
        <v>35.772100000000002</v>
      </c>
      <c r="K876" s="4"/>
      <c r="L876" s="9">
        <v>30.7165</v>
      </c>
      <c r="M876" s="9">
        <v>12.063700000000001</v>
      </c>
      <c r="N876" s="9">
        <v>4.9444999999999997</v>
      </c>
      <c r="O876" s="9">
        <v>0.37409999999999999</v>
      </c>
      <c r="P876" s="9">
        <v>1.2183999999999999</v>
      </c>
      <c r="Q876" s="9">
        <v>19.688099999999999</v>
      </c>
      <c r="R876" s="9"/>
      <c r="S876" s="11"/>
    </row>
    <row r="877" spans="1:19" ht="15.75">
      <c r="A877" s="13">
        <v>68210</v>
      </c>
      <c r="B877" s="8">
        <f>CHOOSE( CONTROL!$C$32, 36.5088, 36.504) * CHOOSE(CONTROL!$C$15, $D$11, 100%, $F$11)</f>
        <v>36.508800000000001</v>
      </c>
      <c r="C877" s="8">
        <f>CHOOSE( CONTROL!$C$32, 36.5169, 36.5121) * CHOOSE(CONTROL!$C$15, $D$11, 100%, $F$11)</f>
        <v>36.5169</v>
      </c>
      <c r="D877" s="8">
        <f>CHOOSE( CONTROL!$C$32, 36.5387, 36.5339) * CHOOSE( CONTROL!$C$15, $D$11, 100%, $F$11)</f>
        <v>36.538699999999999</v>
      </c>
      <c r="E877" s="12">
        <f>CHOOSE( CONTROL!$C$32, 36.5296, 36.5248) * CHOOSE( CONTROL!$C$15, $D$11, 100%, $F$11)</f>
        <v>36.529600000000002</v>
      </c>
      <c r="F877" s="4">
        <f>CHOOSE( CONTROL!$C$32, 37.2066, 37.2018) * CHOOSE(CONTROL!$C$15, $D$11, 100%, $F$11)</f>
        <v>37.206600000000002</v>
      </c>
      <c r="G877" s="8">
        <f>CHOOSE( CONTROL!$C$32, 35.6455, 35.6408) * CHOOSE( CONTROL!$C$15, $D$11, 100%, $F$11)</f>
        <v>35.645499999999998</v>
      </c>
      <c r="H877" s="4">
        <f>CHOOSE( CONTROL!$C$32, 36.5746, 36.5699) * CHOOSE(CONTROL!$C$15, $D$11, 100%, $F$11)</f>
        <v>36.574599999999997</v>
      </c>
      <c r="I877" s="8">
        <f>CHOOSE( CONTROL!$C$32, 35.1472, 35.1425) * CHOOSE(CONTROL!$C$15, $D$11, 100%, $F$11)</f>
        <v>35.147199999999998</v>
      </c>
      <c r="J877" s="4">
        <f>CHOOSE( CONTROL!$C$32, 35.0229, 35.0183) * CHOOSE(CONTROL!$C$15, $D$11, 100%, $F$11)</f>
        <v>35.0229</v>
      </c>
      <c r="K877" s="4"/>
      <c r="L877" s="9">
        <v>29.7257</v>
      </c>
      <c r="M877" s="9">
        <v>11.6745</v>
      </c>
      <c r="N877" s="9">
        <v>4.7850000000000001</v>
      </c>
      <c r="O877" s="9">
        <v>0.36199999999999999</v>
      </c>
      <c r="P877" s="9">
        <v>1.1791</v>
      </c>
      <c r="Q877" s="9">
        <v>19.053000000000001</v>
      </c>
      <c r="R877" s="9"/>
      <c r="S877" s="11"/>
    </row>
    <row r="878" spans="1:19" ht="15.75">
      <c r="A878" s="13">
        <v>68241</v>
      </c>
      <c r="B878" s="8">
        <f>38.1226 * CHOOSE(CONTROL!$C$15, $D$11, 100%, $F$11)</f>
        <v>38.122599999999998</v>
      </c>
      <c r="C878" s="8">
        <f>38.128 * CHOOSE(CONTROL!$C$15, $D$11, 100%, $F$11)</f>
        <v>38.128</v>
      </c>
      <c r="D878" s="8">
        <f>38.1544 * CHOOSE( CONTROL!$C$15, $D$11, 100%, $F$11)</f>
        <v>38.154400000000003</v>
      </c>
      <c r="E878" s="12">
        <f>38.1451 * CHOOSE( CONTROL!$C$15, $D$11, 100%, $F$11)</f>
        <v>38.145099999999999</v>
      </c>
      <c r="F878" s="4">
        <f>38.8221 * CHOOSE(CONTROL!$C$15, $D$11, 100%, $F$11)</f>
        <v>38.822099999999999</v>
      </c>
      <c r="G878" s="8">
        <f>37.2226 * CHOOSE( CONTROL!$C$15, $D$11, 100%, $F$11)</f>
        <v>37.2226</v>
      </c>
      <c r="H878" s="4">
        <f>38.1525 * CHOOSE(CONTROL!$C$15, $D$11, 100%, $F$11)</f>
        <v>38.152500000000003</v>
      </c>
      <c r="I878" s="8">
        <f>36.6997 * CHOOSE(CONTROL!$C$15, $D$11, 100%, $F$11)</f>
        <v>36.6997</v>
      </c>
      <c r="J878" s="4">
        <f>36.5739 * CHOOSE(CONTROL!$C$15, $D$11, 100%, $F$11)</f>
        <v>36.573900000000002</v>
      </c>
      <c r="K878" s="4"/>
      <c r="L878" s="9">
        <v>31.095300000000002</v>
      </c>
      <c r="M878" s="9">
        <v>12.063700000000001</v>
      </c>
      <c r="N878" s="9">
        <v>4.9444999999999997</v>
      </c>
      <c r="O878" s="9">
        <v>0.37409999999999999</v>
      </c>
      <c r="P878" s="9">
        <v>1.2183999999999999</v>
      </c>
      <c r="Q878" s="9">
        <v>19.688099999999999</v>
      </c>
      <c r="R878" s="9"/>
      <c r="S878" s="11"/>
    </row>
    <row r="879" spans="1:19" ht="15.75">
      <c r="A879" s="13">
        <v>68271</v>
      </c>
      <c r="B879" s="8">
        <f>41.1129 * CHOOSE(CONTROL!$C$15, $D$11, 100%, $F$11)</f>
        <v>41.112900000000003</v>
      </c>
      <c r="C879" s="8">
        <f>41.1181 * CHOOSE(CONTROL!$C$15, $D$11, 100%, $F$11)</f>
        <v>41.118099999999998</v>
      </c>
      <c r="D879" s="8">
        <f>41.1073 * CHOOSE( CONTROL!$C$15, $D$11, 100%, $F$11)</f>
        <v>41.107300000000002</v>
      </c>
      <c r="E879" s="12">
        <f>41.1107 * CHOOSE( CONTROL!$C$15, $D$11, 100%, $F$11)</f>
        <v>41.110700000000001</v>
      </c>
      <c r="F879" s="4">
        <f>41.7618 * CHOOSE(CONTROL!$C$15, $D$11, 100%, $F$11)</f>
        <v>41.761800000000001</v>
      </c>
      <c r="G879" s="8">
        <f>40.1482 * CHOOSE( CONTROL!$C$15, $D$11, 100%, $F$11)</f>
        <v>40.148200000000003</v>
      </c>
      <c r="H879" s="4">
        <f>41.0237 * CHOOSE(CONTROL!$C$15, $D$11, 100%, $F$11)</f>
        <v>41.023699999999998</v>
      </c>
      <c r="I879" s="8">
        <f>39.5981 * CHOOSE(CONTROL!$C$15, $D$11, 100%, $F$11)</f>
        <v>39.598100000000002</v>
      </c>
      <c r="J879" s="4">
        <f>39.4453 * CHOOSE(CONTROL!$C$15, $D$11, 100%, $F$11)</f>
        <v>39.445300000000003</v>
      </c>
      <c r="K879" s="4"/>
      <c r="L879" s="9">
        <v>28.360600000000002</v>
      </c>
      <c r="M879" s="9">
        <v>11.6745</v>
      </c>
      <c r="N879" s="9">
        <v>4.7850000000000001</v>
      </c>
      <c r="O879" s="9">
        <v>0.36199999999999999</v>
      </c>
      <c r="P879" s="9">
        <v>1.2509999999999999</v>
      </c>
      <c r="Q879" s="9">
        <v>19.053000000000001</v>
      </c>
      <c r="R879" s="9"/>
      <c r="S879" s="11"/>
    </row>
    <row r="880" spans="1:19" ht="15.75">
      <c r="A880" s="13">
        <v>68302</v>
      </c>
      <c r="B880" s="8">
        <f>41.0381 * CHOOSE(CONTROL!$C$15, $D$11, 100%, $F$11)</f>
        <v>41.0381</v>
      </c>
      <c r="C880" s="8">
        <f>41.0433 * CHOOSE(CONTROL!$C$15, $D$11, 100%, $F$11)</f>
        <v>41.043300000000002</v>
      </c>
      <c r="D880" s="8">
        <f>41.0339 * CHOOSE( CONTROL!$C$15, $D$11, 100%, $F$11)</f>
        <v>41.033900000000003</v>
      </c>
      <c r="E880" s="12">
        <f>41.0368 * CHOOSE( CONTROL!$C$15, $D$11, 100%, $F$11)</f>
        <v>41.036799999999999</v>
      </c>
      <c r="F880" s="4">
        <f>41.6871 * CHOOSE(CONTROL!$C$15, $D$11, 100%, $F$11)</f>
        <v>41.687100000000001</v>
      </c>
      <c r="G880" s="8">
        <f>40.0762 * CHOOSE( CONTROL!$C$15, $D$11, 100%, $F$11)</f>
        <v>40.0762</v>
      </c>
      <c r="H880" s="4">
        <f>40.9507 * CHOOSE(CONTROL!$C$15, $D$11, 100%, $F$11)</f>
        <v>40.950699999999998</v>
      </c>
      <c r="I880" s="8">
        <f>39.5306 * CHOOSE(CONTROL!$C$15, $D$11, 100%, $F$11)</f>
        <v>39.5306</v>
      </c>
      <c r="J880" s="4">
        <f>39.3735 * CHOOSE(CONTROL!$C$15, $D$11, 100%, $F$11)</f>
        <v>39.3735</v>
      </c>
      <c r="K880" s="4"/>
      <c r="L880" s="9">
        <v>29.306000000000001</v>
      </c>
      <c r="M880" s="9">
        <v>12.063700000000001</v>
      </c>
      <c r="N880" s="9">
        <v>4.9444999999999997</v>
      </c>
      <c r="O880" s="9">
        <v>0.37409999999999999</v>
      </c>
      <c r="P880" s="9">
        <v>1.2927</v>
      </c>
      <c r="Q880" s="9">
        <v>19.688099999999999</v>
      </c>
      <c r="R880" s="9"/>
      <c r="S880" s="11"/>
    </row>
    <row r="881" spans="1:19" ht="15.75">
      <c r="A881" s="13">
        <v>68333</v>
      </c>
      <c r="B881" s="8">
        <f>42.6055 * CHOOSE(CONTROL!$C$15, $D$11, 100%, $F$11)</f>
        <v>42.605499999999999</v>
      </c>
      <c r="C881" s="8">
        <f>42.6107 * CHOOSE(CONTROL!$C$15, $D$11, 100%, $F$11)</f>
        <v>42.610700000000001</v>
      </c>
      <c r="D881" s="8">
        <f>42.5972 * CHOOSE( CONTROL!$C$15, $D$11, 100%, $F$11)</f>
        <v>42.597200000000001</v>
      </c>
      <c r="E881" s="12">
        <f>42.6016 * CHOOSE( CONTROL!$C$15, $D$11, 100%, $F$11)</f>
        <v>42.601599999999998</v>
      </c>
      <c r="F881" s="4">
        <f>43.2544 * CHOOSE(CONTROL!$C$15, $D$11, 100%, $F$11)</f>
        <v>43.254399999999997</v>
      </c>
      <c r="G881" s="8">
        <f>41.6007 * CHOOSE( CONTROL!$C$15, $D$11, 100%, $F$11)</f>
        <v>41.600700000000003</v>
      </c>
      <c r="H881" s="4">
        <f>42.4815 * CHOOSE(CONTROL!$C$15, $D$11, 100%, $F$11)</f>
        <v>42.481499999999997</v>
      </c>
      <c r="I881" s="8">
        <f>41.0125 * CHOOSE(CONTROL!$C$15, $D$11, 100%, $F$11)</f>
        <v>41.012500000000003</v>
      </c>
      <c r="J881" s="4">
        <f>40.8784 * CHOOSE(CONTROL!$C$15, $D$11, 100%, $F$11)</f>
        <v>40.878399999999999</v>
      </c>
      <c r="K881" s="4"/>
      <c r="L881" s="9">
        <v>29.306000000000001</v>
      </c>
      <c r="M881" s="9">
        <v>12.063700000000001</v>
      </c>
      <c r="N881" s="9">
        <v>4.9444999999999997</v>
      </c>
      <c r="O881" s="9">
        <v>0.37409999999999999</v>
      </c>
      <c r="P881" s="9">
        <v>1.2927</v>
      </c>
      <c r="Q881" s="9">
        <v>19.688099999999999</v>
      </c>
      <c r="R881" s="9"/>
      <c r="S881" s="11"/>
    </row>
    <row r="882" spans="1:19" ht="15.75">
      <c r="A882" s="13">
        <v>68361</v>
      </c>
      <c r="B882" s="8">
        <f>39.853 * CHOOSE(CONTROL!$C$15, $D$11, 100%, $F$11)</f>
        <v>39.853000000000002</v>
      </c>
      <c r="C882" s="8">
        <f>39.8582 * CHOOSE(CONTROL!$C$15, $D$11, 100%, $F$11)</f>
        <v>39.858199999999997</v>
      </c>
      <c r="D882" s="8">
        <f>39.8446 * CHOOSE( CONTROL!$C$15, $D$11, 100%, $F$11)</f>
        <v>39.8446</v>
      </c>
      <c r="E882" s="12">
        <f>39.849 * CHOOSE( CONTROL!$C$15, $D$11, 100%, $F$11)</f>
        <v>39.848999999999997</v>
      </c>
      <c r="F882" s="4">
        <f>40.5019 * CHOOSE(CONTROL!$C$15, $D$11, 100%, $F$11)</f>
        <v>40.501899999999999</v>
      </c>
      <c r="G882" s="8">
        <f>38.9123 * CHOOSE( CONTROL!$C$15, $D$11, 100%, $F$11)</f>
        <v>38.912300000000002</v>
      </c>
      <c r="H882" s="4">
        <f>39.7931 * CHOOSE(CONTROL!$C$15, $D$11, 100%, $F$11)</f>
        <v>39.793100000000003</v>
      </c>
      <c r="I882" s="8">
        <f>38.3685 * CHOOSE(CONTROL!$C$15, $D$11, 100%, $F$11)</f>
        <v>38.368499999999997</v>
      </c>
      <c r="J882" s="4">
        <f>38.2357 * CHOOSE(CONTROL!$C$15, $D$11, 100%, $F$11)</f>
        <v>38.235700000000001</v>
      </c>
      <c r="K882" s="4"/>
      <c r="L882" s="9">
        <v>26.469899999999999</v>
      </c>
      <c r="M882" s="9">
        <v>10.8962</v>
      </c>
      <c r="N882" s="9">
        <v>4.4660000000000002</v>
      </c>
      <c r="O882" s="9">
        <v>0.33789999999999998</v>
      </c>
      <c r="P882" s="9">
        <v>1.1676</v>
      </c>
      <c r="Q882" s="9">
        <v>17.782800000000002</v>
      </c>
      <c r="R882" s="9"/>
      <c r="S882" s="11"/>
    </row>
    <row r="883" spans="1:19" ht="15.75">
      <c r="A883" s="13">
        <v>68392</v>
      </c>
      <c r="B883" s="8">
        <f>39.0052 * CHOOSE(CONTROL!$C$15, $D$11, 100%, $F$11)</f>
        <v>39.005200000000002</v>
      </c>
      <c r="C883" s="8">
        <f>39.0104 * CHOOSE(CONTROL!$C$15, $D$11, 100%, $F$11)</f>
        <v>39.010399999999997</v>
      </c>
      <c r="D883" s="8">
        <f>38.9965 * CHOOSE( CONTROL!$C$15, $D$11, 100%, $F$11)</f>
        <v>38.996499999999997</v>
      </c>
      <c r="E883" s="12">
        <f>39.001 * CHOOSE( CONTROL!$C$15, $D$11, 100%, $F$11)</f>
        <v>39.000999999999998</v>
      </c>
      <c r="F883" s="4">
        <f>39.6541 * CHOOSE(CONTROL!$C$15, $D$11, 100%, $F$11)</f>
        <v>39.6541</v>
      </c>
      <c r="G883" s="8">
        <f>38.0841 * CHOOSE( CONTROL!$C$15, $D$11, 100%, $F$11)</f>
        <v>38.084099999999999</v>
      </c>
      <c r="H883" s="4">
        <f>38.9651 * CHOOSE(CONTROL!$C$15, $D$11, 100%, $F$11)</f>
        <v>38.9651</v>
      </c>
      <c r="I883" s="8">
        <f>37.5531 * CHOOSE(CONTROL!$C$15, $D$11, 100%, $F$11)</f>
        <v>37.553100000000001</v>
      </c>
      <c r="J883" s="4">
        <f>37.4217 * CHOOSE(CONTROL!$C$15, $D$11, 100%, $F$11)</f>
        <v>37.421700000000001</v>
      </c>
      <c r="K883" s="4"/>
      <c r="L883" s="9">
        <v>29.306000000000001</v>
      </c>
      <c r="M883" s="9">
        <v>12.063700000000001</v>
      </c>
      <c r="N883" s="9">
        <v>4.9444999999999997</v>
      </c>
      <c r="O883" s="9">
        <v>0.37409999999999999</v>
      </c>
      <c r="P883" s="9">
        <v>1.2927</v>
      </c>
      <c r="Q883" s="9">
        <v>19.688099999999999</v>
      </c>
      <c r="R883" s="9"/>
      <c r="S883" s="11"/>
    </row>
    <row r="884" spans="1:19" ht="15.75">
      <c r="A884" s="13">
        <v>68422</v>
      </c>
      <c r="B884" s="8">
        <f>39.5984 * CHOOSE(CONTROL!$C$15, $D$11, 100%, $F$11)</f>
        <v>39.598399999999998</v>
      </c>
      <c r="C884" s="8">
        <f>39.603 * CHOOSE(CONTROL!$C$15, $D$11, 100%, $F$11)</f>
        <v>39.603000000000002</v>
      </c>
      <c r="D884" s="8">
        <f>39.6293 * CHOOSE( CONTROL!$C$15, $D$11, 100%, $F$11)</f>
        <v>39.629300000000001</v>
      </c>
      <c r="E884" s="12">
        <f>39.6201 * CHOOSE( CONTROL!$C$15, $D$11, 100%, $F$11)</f>
        <v>39.620100000000001</v>
      </c>
      <c r="F884" s="4">
        <f>40.2975 * CHOOSE(CONTROL!$C$15, $D$11, 100%, $F$11)</f>
        <v>40.297499999999999</v>
      </c>
      <c r="G884" s="8">
        <f>38.6627 * CHOOSE( CONTROL!$C$15, $D$11, 100%, $F$11)</f>
        <v>38.662700000000001</v>
      </c>
      <c r="H884" s="4">
        <f>39.5935 * CHOOSE(CONTROL!$C$15, $D$11, 100%, $F$11)</f>
        <v>39.593499999999999</v>
      </c>
      <c r="I884" s="8">
        <f>38.114 * CHOOSE(CONTROL!$C$15, $D$11, 100%, $F$11)</f>
        <v>38.113999999999997</v>
      </c>
      <c r="J884" s="4">
        <f>37.9905 * CHOOSE(CONTROL!$C$15, $D$11, 100%, $F$11)</f>
        <v>37.990499999999997</v>
      </c>
      <c r="K884" s="4"/>
      <c r="L884" s="9">
        <v>30.092199999999998</v>
      </c>
      <c r="M884" s="9">
        <v>11.6745</v>
      </c>
      <c r="N884" s="9">
        <v>4.7850000000000001</v>
      </c>
      <c r="O884" s="9">
        <v>0.36199999999999999</v>
      </c>
      <c r="P884" s="9">
        <v>1.1791</v>
      </c>
      <c r="Q884" s="9">
        <v>19.053000000000001</v>
      </c>
      <c r="R884" s="9"/>
      <c r="S884" s="11"/>
    </row>
    <row r="885" spans="1:19" ht="15.75">
      <c r="A885" s="13">
        <v>68453</v>
      </c>
      <c r="B885" s="8">
        <f>CHOOSE( CONTROL!$C$32, 40.6589, 40.6541) * CHOOSE(CONTROL!$C$15, $D$11, 100%, $F$11)</f>
        <v>40.658900000000003</v>
      </c>
      <c r="C885" s="8">
        <f>CHOOSE( CONTROL!$C$32, 40.667, 40.6622) * CHOOSE(CONTROL!$C$15, $D$11, 100%, $F$11)</f>
        <v>40.667000000000002</v>
      </c>
      <c r="D885" s="8">
        <f>CHOOSE( CONTROL!$C$32, 40.6883, 40.6835) * CHOOSE( CONTROL!$C$15, $D$11, 100%, $F$11)</f>
        <v>40.688299999999998</v>
      </c>
      <c r="E885" s="12">
        <f>CHOOSE( CONTROL!$C$32, 40.6793, 40.6745) * CHOOSE( CONTROL!$C$15, $D$11, 100%, $F$11)</f>
        <v>40.679299999999998</v>
      </c>
      <c r="F885" s="4">
        <f>CHOOSE( CONTROL!$C$32, 41.3567, 41.3519) * CHOOSE(CONTROL!$C$15, $D$11, 100%, $F$11)</f>
        <v>41.356699999999996</v>
      </c>
      <c r="G885" s="8">
        <f>CHOOSE( CONTROL!$C$32, 39.6982, 39.6935) * CHOOSE( CONTROL!$C$15, $D$11, 100%, $F$11)</f>
        <v>39.6982</v>
      </c>
      <c r="H885" s="4">
        <f>CHOOSE( CONTROL!$C$32, 40.628, 40.6233) * CHOOSE(CONTROL!$C$15, $D$11, 100%, $F$11)</f>
        <v>40.628</v>
      </c>
      <c r="I885" s="8">
        <f>CHOOSE( CONTROL!$C$32, 39.1314, 39.1268) * CHOOSE(CONTROL!$C$15, $D$11, 100%, $F$11)</f>
        <v>39.131399999999999</v>
      </c>
      <c r="J885" s="4">
        <f>CHOOSE( CONTROL!$C$32, 39.0074, 39.0028) * CHOOSE(CONTROL!$C$15, $D$11, 100%, $F$11)</f>
        <v>39.007399999999997</v>
      </c>
      <c r="K885" s="4"/>
      <c r="L885" s="9">
        <v>30.7165</v>
      </c>
      <c r="M885" s="9">
        <v>12.063700000000001</v>
      </c>
      <c r="N885" s="9">
        <v>4.9444999999999997</v>
      </c>
      <c r="O885" s="9">
        <v>0.37409999999999999</v>
      </c>
      <c r="P885" s="9">
        <v>1.2183999999999999</v>
      </c>
      <c r="Q885" s="9">
        <v>19.688099999999999</v>
      </c>
      <c r="R885" s="9"/>
      <c r="S885" s="11"/>
    </row>
    <row r="886" spans="1:19" ht="15.75">
      <c r="A886" s="13">
        <v>68483</v>
      </c>
      <c r="B886" s="8">
        <f>CHOOSE( CONTROL!$C$32, 40.0058, 40.001) * CHOOSE(CONTROL!$C$15, $D$11, 100%, $F$11)</f>
        <v>40.005800000000001</v>
      </c>
      <c r="C886" s="8">
        <f>CHOOSE( CONTROL!$C$32, 40.0139, 40.009) * CHOOSE(CONTROL!$C$15, $D$11, 100%, $F$11)</f>
        <v>40.0139</v>
      </c>
      <c r="D886" s="8">
        <f>CHOOSE( CONTROL!$C$32, 40.0354, 40.0305) * CHOOSE( CONTROL!$C$15, $D$11, 100%, $F$11)</f>
        <v>40.035400000000003</v>
      </c>
      <c r="E886" s="12">
        <f>CHOOSE( CONTROL!$C$32, 40.0264, 40.0215) * CHOOSE( CONTROL!$C$15, $D$11, 100%, $F$11)</f>
        <v>40.026400000000002</v>
      </c>
      <c r="F886" s="4">
        <f>CHOOSE( CONTROL!$C$32, 40.7036, 40.6988) * CHOOSE(CONTROL!$C$15, $D$11, 100%, $F$11)</f>
        <v>40.703600000000002</v>
      </c>
      <c r="G886" s="8">
        <f>CHOOSE( CONTROL!$C$32, 39.0606, 39.0558) * CHOOSE( CONTROL!$C$15, $D$11, 100%, $F$11)</f>
        <v>39.060600000000001</v>
      </c>
      <c r="H886" s="4">
        <f>CHOOSE( CONTROL!$C$32, 39.9901, 39.9854) * CHOOSE(CONTROL!$C$15, $D$11, 100%, $F$11)</f>
        <v>39.990099999999998</v>
      </c>
      <c r="I886" s="8">
        <f>CHOOSE( CONTROL!$C$32, 38.5049, 38.5003) * CHOOSE(CONTROL!$C$15, $D$11, 100%, $F$11)</f>
        <v>38.504899999999999</v>
      </c>
      <c r="J886" s="4">
        <f>CHOOSE( CONTROL!$C$32, 38.3803, 38.3757) * CHOOSE(CONTROL!$C$15, $D$11, 100%, $F$11)</f>
        <v>38.380299999999998</v>
      </c>
      <c r="K886" s="4"/>
      <c r="L886" s="9">
        <v>29.7257</v>
      </c>
      <c r="M886" s="9">
        <v>11.6745</v>
      </c>
      <c r="N886" s="9">
        <v>4.7850000000000001</v>
      </c>
      <c r="O886" s="9">
        <v>0.36199999999999999</v>
      </c>
      <c r="P886" s="9">
        <v>1.1791</v>
      </c>
      <c r="Q886" s="9">
        <v>19.053000000000001</v>
      </c>
      <c r="R886" s="9"/>
      <c r="S886" s="11"/>
    </row>
    <row r="887" spans="1:19" ht="15.75">
      <c r="A887" s="13">
        <v>68514</v>
      </c>
      <c r="B887" s="8">
        <f>CHOOSE( CONTROL!$C$32, 41.7257, 41.7209) * CHOOSE(CONTROL!$C$15, $D$11, 100%, $F$11)</f>
        <v>41.725700000000003</v>
      </c>
      <c r="C887" s="8">
        <f>CHOOSE( CONTROL!$C$32, 41.7338, 41.729) * CHOOSE(CONTROL!$C$15, $D$11, 100%, $F$11)</f>
        <v>41.733800000000002</v>
      </c>
      <c r="D887" s="8">
        <f>CHOOSE( CONTROL!$C$32, 41.7556, 41.7507) * CHOOSE( CONTROL!$C$15, $D$11, 100%, $F$11)</f>
        <v>41.755600000000001</v>
      </c>
      <c r="E887" s="12">
        <f>CHOOSE( CONTROL!$C$32, 41.7465, 41.7416) * CHOOSE( CONTROL!$C$15, $D$11, 100%, $F$11)</f>
        <v>41.746499999999997</v>
      </c>
      <c r="F887" s="4">
        <f>CHOOSE( CONTROL!$C$32, 42.4235, 42.4187) * CHOOSE(CONTROL!$C$15, $D$11, 100%, $F$11)</f>
        <v>42.423499999999997</v>
      </c>
      <c r="G887" s="8">
        <f>CHOOSE( CONTROL!$C$32, 40.7408, 40.7361) * CHOOSE( CONTROL!$C$15, $D$11, 100%, $F$11)</f>
        <v>40.7408</v>
      </c>
      <c r="H887" s="4">
        <f>CHOOSE( CONTROL!$C$32, 41.67, 41.6653) * CHOOSE(CONTROL!$C$15, $D$11, 100%, $F$11)</f>
        <v>41.67</v>
      </c>
      <c r="I887" s="8">
        <f>CHOOSE( CONTROL!$C$32, 40.1582, 40.1536) * CHOOSE(CONTROL!$C$15, $D$11, 100%, $F$11)</f>
        <v>40.158200000000001</v>
      </c>
      <c r="J887" s="4">
        <f>CHOOSE( CONTROL!$C$32, 40.0316, 40.027) * CHOOSE(CONTROL!$C$15, $D$11, 100%, $F$11)</f>
        <v>40.031599999999997</v>
      </c>
      <c r="K887" s="4"/>
      <c r="L887" s="9">
        <v>30.7165</v>
      </c>
      <c r="M887" s="9">
        <v>12.063700000000001</v>
      </c>
      <c r="N887" s="9">
        <v>4.9444999999999997</v>
      </c>
      <c r="O887" s="9">
        <v>0.37409999999999999</v>
      </c>
      <c r="P887" s="9">
        <v>1.2183999999999999</v>
      </c>
      <c r="Q887" s="9">
        <v>19.688099999999999</v>
      </c>
      <c r="R887" s="9"/>
      <c r="S887" s="11"/>
    </row>
    <row r="888" spans="1:19" ht="15.75">
      <c r="A888" s="13">
        <v>68545</v>
      </c>
      <c r="B888" s="8">
        <f>CHOOSE( CONTROL!$C$32, 38.5075, 38.5027) * CHOOSE(CONTROL!$C$15, $D$11, 100%, $F$11)</f>
        <v>38.5075</v>
      </c>
      <c r="C888" s="8">
        <f>CHOOSE( CONTROL!$C$32, 38.5156, 38.5108) * CHOOSE(CONTROL!$C$15, $D$11, 100%, $F$11)</f>
        <v>38.515599999999999</v>
      </c>
      <c r="D888" s="8">
        <f>CHOOSE( CONTROL!$C$32, 38.5374, 38.5326) * CHOOSE( CONTROL!$C$15, $D$11, 100%, $F$11)</f>
        <v>38.537399999999998</v>
      </c>
      <c r="E888" s="12">
        <f>CHOOSE( CONTROL!$C$32, 38.5283, 38.5235) * CHOOSE( CONTROL!$C$15, $D$11, 100%, $F$11)</f>
        <v>38.528300000000002</v>
      </c>
      <c r="F888" s="4">
        <f>CHOOSE( CONTROL!$C$32, 39.2053, 39.2005) * CHOOSE(CONTROL!$C$15, $D$11, 100%, $F$11)</f>
        <v>39.205300000000001</v>
      </c>
      <c r="G888" s="8">
        <f>CHOOSE( CONTROL!$C$32, 37.5977, 37.5929) * CHOOSE( CONTROL!$C$15, $D$11, 100%, $F$11)</f>
        <v>37.597700000000003</v>
      </c>
      <c r="H888" s="4">
        <f>CHOOSE( CONTROL!$C$32, 38.5268, 38.5221) * CHOOSE(CONTROL!$C$15, $D$11, 100%, $F$11)</f>
        <v>38.526800000000001</v>
      </c>
      <c r="I888" s="8">
        <f>CHOOSE( CONTROL!$C$32, 37.0672, 37.0625) * CHOOSE(CONTROL!$C$15, $D$11, 100%, $F$11)</f>
        <v>37.0672</v>
      </c>
      <c r="J888" s="4">
        <f>CHOOSE( CONTROL!$C$32, 36.9419, 36.9372) * CHOOSE(CONTROL!$C$15, $D$11, 100%, $F$11)</f>
        <v>36.941899999999997</v>
      </c>
      <c r="K888" s="4"/>
      <c r="L888" s="9">
        <v>30.7165</v>
      </c>
      <c r="M888" s="9">
        <v>12.063700000000001</v>
      </c>
      <c r="N888" s="9">
        <v>4.9444999999999997</v>
      </c>
      <c r="O888" s="9">
        <v>0.37409999999999999</v>
      </c>
      <c r="P888" s="9">
        <v>1.2183999999999999</v>
      </c>
      <c r="Q888" s="9">
        <v>19.688099999999999</v>
      </c>
      <c r="R888" s="9"/>
      <c r="S888" s="11"/>
    </row>
    <row r="889" spans="1:19" ht="15.75">
      <c r="A889" s="13">
        <v>68575</v>
      </c>
      <c r="B889" s="8">
        <f>CHOOSE( CONTROL!$C$32, 37.7017, 37.6968) * CHOOSE(CONTROL!$C$15, $D$11, 100%, $F$11)</f>
        <v>37.701700000000002</v>
      </c>
      <c r="C889" s="8">
        <f>CHOOSE( CONTROL!$C$32, 37.7097, 37.7049) * CHOOSE(CONTROL!$C$15, $D$11, 100%, $F$11)</f>
        <v>37.709699999999998</v>
      </c>
      <c r="D889" s="8">
        <f>CHOOSE( CONTROL!$C$32, 37.7315, 37.7267) * CHOOSE( CONTROL!$C$15, $D$11, 100%, $F$11)</f>
        <v>37.731499999999997</v>
      </c>
      <c r="E889" s="12">
        <f>CHOOSE( CONTROL!$C$32, 37.7224, 37.7176) * CHOOSE( CONTROL!$C$15, $D$11, 100%, $F$11)</f>
        <v>37.7224</v>
      </c>
      <c r="F889" s="4">
        <f>CHOOSE( CONTROL!$C$32, 38.3995, 38.3946) * CHOOSE(CONTROL!$C$15, $D$11, 100%, $F$11)</f>
        <v>38.399500000000003</v>
      </c>
      <c r="G889" s="8">
        <f>CHOOSE( CONTROL!$C$32, 36.8105, 36.8058) * CHOOSE( CONTROL!$C$15, $D$11, 100%, $F$11)</f>
        <v>36.810499999999998</v>
      </c>
      <c r="H889" s="4">
        <f>CHOOSE( CONTROL!$C$32, 37.7397, 37.735) * CHOOSE(CONTROL!$C$15, $D$11, 100%, $F$11)</f>
        <v>37.739699999999999</v>
      </c>
      <c r="I889" s="8">
        <f>CHOOSE( CONTROL!$C$32, 36.293, 36.2883) * CHOOSE(CONTROL!$C$15, $D$11, 100%, $F$11)</f>
        <v>36.292999999999999</v>
      </c>
      <c r="J889" s="4">
        <f>CHOOSE( CONTROL!$C$32, 36.1681, 36.1635) * CHOOSE(CONTROL!$C$15, $D$11, 100%, $F$11)</f>
        <v>36.168100000000003</v>
      </c>
      <c r="K889" s="4"/>
      <c r="L889" s="9">
        <v>29.7257</v>
      </c>
      <c r="M889" s="9">
        <v>11.6745</v>
      </c>
      <c r="N889" s="9">
        <v>4.7850000000000001</v>
      </c>
      <c r="O889" s="9">
        <v>0.36199999999999999</v>
      </c>
      <c r="P889" s="9">
        <v>1.1791</v>
      </c>
      <c r="Q889" s="9">
        <v>19.053000000000001</v>
      </c>
      <c r="R889" s="9"/>
      <c r="S889" s="11"/>
    </row>
    <row r="890" spans="1:19" ht="15.75">
      <c r="A890" s="13">
        <v>68606</v>
      </c>
      <c r="B890" s="8">
        <f>39.3684 * CHOOSE(CONTROL!$C$15, $D$11, 100%, $F$11)</f>
        <v>39.368400000000001</v>
      </c>
      <c r="C890" s="8">
        <f>39.3738 * CHOOSE(CONTROL!$C$15, $D$11, 100%, $F$11)</f>
        <v>39.373800000000003</v>
      </c>
      <c r="D890" s="8">
        <f>39.4002 * CHOOSE( CONTROL!$C$15, $D$11, 100%, $F$11)</f>
        <v>39.400199999999998</v>
      </c>
      <c r="E890" s="12">
        <f>39.3909 * CHOOSE( CONTROL!$C$15, $D$11, 100%, $F$11)</f>
        <v>39.390900000000002</v>
      </c>
      <c r="F890" s="4">
        <f>40.0679 * CHOOSE(CONTROL!$C$15, $D$11, 100%, $F$11)</f>
        <v>40.067900000000002</v>
      </c>
      <c r="G890" s="8">
        <f>38.4393 * CHOOSE( CONTROL!$C$15, $D$11, 100%, $F$11)</f>
        <v>38.439300000000003</v>
      </c>
      <c r="H890" s="4">
        <f>39.3692 * CHOOSE(CONTROL!$C$15, $D$11, 100%, $F$11)</f>
        <v>39.369199999999999</v>
      </c>
      <c r="I890" s="8">
        <f>37.8964 * CHOOSE(CONTROL!$C$15, $D$11, 100%, $F$11)</f>
        <v>37.8964</v>
      </c>
      <c r="J890" s="4">
        <f>37.77 * CHOOSE(CONTROL!$C$15, $D$11, 100%, $F$11)</f>
        <v>37.770000000000003</v>
      </c>
      <c r="K890" s="4"/>
      <c r="L890" s="9">
        <v>31.095300000000002</v>
      </c>
      <c r="M890" s="9">
        <v>12.063700000000001</v>
      </c>
      <c r="N890" s="9">
        <v>4.9444999999999997</v>
      </c>
      <c r="O890" s="9">
        <v>0.37409999999999999</v>
      </c>
      <c r="P890" s="9">
        <v>1.2183999999999999</v>
      </c>
      <c r="Q890" s="9">
        <v>19.688099999999999</v>
      </c>
      <c r="R890" s="9"/>
      <c r="S890" s="11"/>
    </row>
    <row r="891" spans="1:19" ht="15.75">
      <c r="A891" s="13">
        <v>68636</v>
      </c>
      <c r="B891" s="8">
        <f>42.4565 * CHOOSE(CONTROL!$C$15, $D$11, 100%, $F$11)</f>
        <v>42.456499999999998</v>
      </c>
      <c r="C891" s="8">
        <f>42.4617 * CHOOSE(CONTROL!$C$15, $D$11, 100%, $F$11)</f>
        <v>42.4617</v>
      </c>
      <c r="D891" s="8">
        <f>42.4509 * CHOOSE( CONTROL!$C$15, $D$11, 100%, $F$11)</f>
        <v>42.450899999999997</v>
      </c>
      <c r="E891" s="12">
        <f>42.4543 * CHOOSE( CONTROL!$C$15, $D$11, 100%, $F$11)</f>
        <v>42.454300000000003</v>
      </c>
      <c r="F891" s="4">
        <f>43.1054 * CHOOSE(CONTROL!$C$15, $D$11, 100%, $F$11)</f>
        <v>43.105400000000003</v>
      </c>
      <c r="G891" s="8">
        <f>41.4605 * CHOOSE( CONTROL!$C$15, $D$11, 100%, $F$11)</f>
        <v>41.460500000000003</v>
      </c>
      <c r="H891" s="4">
        <f>42.336 * CHOOSE(CONTROL!$C$15, $D$11, 100%, $F$11)</f>
        <v>42.335999999999999</v>
      </c>
      <c r="I891" s="8">
        <f>40.8888 * CHOOSE(CONTROL!$C$15, $D$11, 100%, $F$11)</f>
        <v>40.888800000000003</v>
      </c>
      <c r="J891" s="4">
        <f>40.7353 * CHOOSE(CONTROL!$C$15, $D$11, 100%, $F$11)</f>
        <v>40.735300000000002</v>
      </c>
      <c r="K891" s="4"/>
      <c r="L891" s="9">
        <v>28.360600000000002</v>
      </c>
      <c r="M891" s="9">
        <v>11.6745</v>
      </c>
      <c r="N891" s="9">
        <v>4.7850000000000001</v>
      </c>
      <c r="O891" s="9">
        <v>0.36199999999999999</v>
      </c>
      <c r="P891" s="9">
        <v>1.2509999999999999</v>
      </c>
      <c r="Q891" s="9">
        <v>19.053000000000001</v>
      </c>
      <c r="R891" s="9"/>
      <c r="S891" s="11"/>
    </row>
    <row r="892" spans="1:19" ht="15.75">
      <c r="A892" s="13">
        <v>68667</v>
      </c>
      <c r="B892" s="8">
        <f>42.3793 * CHOOSE(CONTROL!$C$15, $D$11, 100%, $F$11)</f>
        <v>42.379300000000001</v>
      </c>
      <c r="C892" s="8">
        <f>42.3845 * CHOOSE(CONTROL!$C$15, $D$11, 100%, $F$11)</f>
        <v>42.384500000000003</v>
      </c>
      <c r="D892" s="8">
        <f>42.3751 * CHOOSE( CONTROL!$C$15, $D$11, 100%, $F$11)</f>
        <v>42.375100000000003</v>
      </c>
      <c r="E892" s="12">
        <f>42.378 * CHOOSE( CONTROL!$C$15, $D$11, 100%, $F$11)</f>
        <v>42.378</v>
      </c>
      <c r="F892" s="4">
        <f>43.0282 * CHOOSE(CONTROL!$C$15, $D$11, 100%, $F$11)</f>
        <v>43.028199999999998</v>
      </c>
      <c r="G892" s="8">
        <f>41.3861 * CHOOSE( CONTROL!$C$15, $D$11, 100%, $F$11)</f>
        <v>41.386099999999999</v>
      </c>
      <c r="H892" s="4">
        <f>42.2606 * CHOOSE(CONTROL!$C$15, $D$11, 100%, $F$11)</f>
        <v>42.260599999999997</v>
      </c>
      <c r="I892" s="8">
        <f>40.8189 * CHOOSE(CONTROL!$C$15, $D$11, 100%, $F$11)</f>
        <v>40.818899999999999</v>
      </c>
      <c r="J892" s="4">
        <f>40.6612 * CHOOSE(CONTROL!$C$15, $D$11, 100%, $F$11)</f>
        <v>40.661200000000001</v>
      </c>
      <c r="K892" s="4"/>
      <c r="L892" s="9">
        <v>29.306000000000001</v>
      </c>
      <c r="M892" s="9">
        <v>12.063700000000001</v>
      </c>
      <c r="N892" s="9">
        <v>4.9444999999999997</v>
      </c>
      <c r="O892" s="9">
        <v>0.37409999999999999</v>
      </c>
      <c r="P892" s="9">
        <v>1.2927</v>
      </c>
      <c r="Q892" s="9">
        <v>19.688099999999999</v>
      </c>
      <c r="R892" s="9"/>
      <c r="S892" s="11"/>
    </row>
    <row r="893" spans="1:19" ht="15.75">
      <c r="A893" s="13">
        <v>68698</v>
      </c>
      <c r="B893" s="8">
        <f>43.998 * CHOOSE(CONTROL!$C$15, $D$11, 100%, $F$11)</f>
        <v>43.997999999999998</v>
      </c>
      <c r="C893" s="8">
        <f>44.0031 * CHOOSE(CONTROL!$C$15, $D$11, 100%, $F$11)</f>
        <v>44.003100000000003</v>
      </c>
      <c r="D893" s="8">
        <f>43.9896 * CHOOSE( CONTROL!$C$15, $D$11, 100%, $F$11)</f>
        <v>43.989600000000003</v>
      </c>
      <c r="E893" s="12">
        <f>43.994 * CHOOSE( CONTROL!$C$15, $D$11, 100%, $F$11)</f>
        <v>43.994</v>
      </c>
      <c r="F893" s="4">
        <f>44.6469 * CHOOSE(CONTROL!$C$15, $D$11, 100%, $F$11)</f>
        <v>44.646900000000002</v>
      </c>
      <c r="G893" s="8">
        <f>42.9607 * CHOOSE( CONTROL!$C$15, $D$11, 100%, $F$11)</f>
        <v>42.960700000000003</v>
      </c>
      <c r="H893" s="4">
        <f>43.8415 * CHOOSE(CONTROL!$C$15, $D$11, 100%, $F$11)</f>
        <v>43.841500000000003</v>
      </c>
      <c r="I893" s="8">
        <f>42.3501 * CHOOSE(CONTROL!$C$15, $D$11, 100%, $F$11)</f>
        <v>42.350099999999998</v>
      </c>
      <c r="J893" s="4">
        <f>42.2153 * CHOOSE(CONTROL!$C$15, $D$11, 100%, $F$11)</f>
        <v>42.215299999999999</v>
      </c>
      <c r="K893" s="4"/>
      <c r="L893" s="9">
        <v>29.306000000000001</v>
      </c>
      <c r="M893" s="9">
        <v>12.063700000000001</v>
      </c>
      <c r="N893" s="9">
        <v>4.9444999999999997</v>
      </c>
      <c r="O893" s="9">
        <v>0.37409999999999999</v>
      </c>
      <c r="P893" s="9">
        <v>1.2927</v>
      </c>
      <c r="Q893" s="9">
        <v>19.688099999999999</v>
      </c>
      <c r="R893" s="9"/>
      <c r="S893" s="11"/>
    </row>
    <row r="894" spans="1:19" ht="15.75">
      <c r="A894" s="13">
        <v>68727</v>
      </c>
      <c r="B894" s="8">
        <f>41.1554 * CHOOSE(CONTROL!$C$15, $D$11, 100%, $F$11)</f>
        <v>41.1554</v>
      </c>
      <c r="C894" s="8">
        <f>41.1606 * CHOOSE(CONTROL!$C$15, $D$11, 100%, $F$11)</f>
        <v>41.160600000000002</v>
      </c>
      <c r="D894" s="8">
        <f>41.1471 * CHOOSE( CONTROL!$C$15, $D$11, 100%, $F$11)</f>
        <v>41.147100000000002</v>
      </c>
      <c r="E894" s="12">
        <f>41.1515 * CHOOSE( CONTROL!$C$15, $D$11, 100%, $F$11)</f>
        <v>41.151499999999999</v>
      </c>
      <c r="F894" s="4">
        <f>41.8043 * CHOOSE(CONTROL!$C$15, $D$11, 100%, $F$11)</f>
        <v>41.804299999999998</v>
      </c>
      <c r="G894" s="8">
        <f>40.1844 * CHOOSE( CONTROL!$C$15, $D$11, 100%, $F$11)</f>
        <v>40.184399999999997</v>
      </c>
      <c r="H894" s="4">
        <f>41.0652 * CHOOSE(CONTROL!$C$15, $D$11, 100%, $F$11)</f>
        <v>41.065199999999997</v>
      </c>
      <c r="I894" s="8">
        <f>39.6195 * CHOOSE(CONTROL!$C$15, $D$11, 100%, $F$11)</f>
        <v>39.619500000000002</v>
      </c>
      <c r="J894" s="4">
        <f>39.4861 * CHOOSE(CONTROL!$C$15, $D$11, 100%, $F$11)</f>
        <v>39.4861</v>
      </c>
      <c r="K894" s="4"/>
      <c r="L894" s="9">
        <v>27.415299999999998</v>
      </c>
      <c r="M894" s="9">
        <v>11.285299999999999</v>
      </c>
      <c r="N894" s="9">
        <v>4.6254999999999997</v>
      </c>
      <c r="O894" s="9">
        <v>0.34989999999999999</v>
      </c>
      <c r="P894" s="9">
        <v>1.2093</v>
      </c>
      <c r="Q894" s="9">
        <v>18.417899999999999</v>
      </c>
      <c r="R894" s="9"/>
      <c r="S894" s="11"/>
    </row>
    <row r="895" spans="1:19" ht="15.75">
      <c r="A895" s="13">
        <v>68758</v>
      </c>
      <c r="B895" s="8">
        <f>40.2799 * CHOOSE(CONTROL!$C$15, $D$11, 100%, $F$11)</f>
        <v>40.279899999999998</v>
      </c>
      <c r="C895" s="8">
        <f>40.2851 * CHOOSE(CONTROL!$C$15, $D$11, 100%, $F$11)</f>
        <v>40.2851</v>
      </c>
      <c r="D895" s="8">
        <f>40.2712 * CHOOSE( CONTROL!$C$15, $D$11, 100%, $F$11)</f>
        <v>40.2712</v>
      </c>
      <c r="E895" s="12">
        <f>40.2757 * CHOOSE( CONTROL!$C$15, $D$11, 100%, $F$11)</f>
        <v>40.275700000000001</v>
      </c>
      <c r="F895" s="4">
        <f>40.9288 * CHOOSE(CONTROL!$C$15, $D$11, 100%, $F$11)</f>
        <v>40.928800000000003</v>
      </c>
      <c r="G895" s="8">
        <f>39.3291 * CHOOSE( CONTROL!$C$15, $D$11, 100%, $F$11)</f>
        <v>39.329099999999997</v>
      </c>
      <c r="H895" s="4">
        <f>40.2101 * CHOOSE(CONTROL!$C$15, $D$11, 100%, $F$11)</f>
        <v>40.210099999999997</v>
      </c>
      <c r="I895" s="8">
        <f>38.7776 * CHOOSE(CONTROL!$C$15, $D$11, 100%, $F$11)</f>
        <v>38.7776</v>
      </c>
      <c r="J895" s="4">
        <f>38.6455 * CHOOSE(CONTROL!$C$15, $D$11, 100%, $F$11)</f>
        <v>38.645499999999998</v>
      </c>
      <c r="K895" s="4"/>
      <c r="L895" s="9">
        <v>29.306000000000001</v>
      </c>
      <c r="M895" s="9">
        <v>12.063700000000001</v>
      </c>
      <c r="N895" s="9">
        <v>4.9444999999999997</v>
      </c>
      <c r="O895" s="9">
        <v>0.37409999999999999</v>
      </c>
      <c r="P895" s="9">
        <v>1.2927</v>
      </c>
      <c r="Q895" s="9">
        <v>19.688099999999999</v>
      </c>
      <c r="R895" s="9"/>
      <c r="S895" s="11"/>
    </row>
    <row r="896" spans="1:19" ht="15.75">
      <c r="A896" s="13">
        <v>68788</v>
      </c>
      <c r="B896" s="8">
        <f>40.8924 * CHOOSE(CONTROL!$C$15, $D$11, 100%, $F$11)</f>
        <v>40.892400000000002</v>
      </c>
      <c r="C896" s="8">
        <f>40.8971 * CHOOSE(CONTROL!$C$15, $D$11, 100%, $F$11)</f>
        <v>40.897100000000002</v>
      </c>
      <c r="D896" s="8">
        <f>40.9234 * CHOOSE( CONTROL!$C$15, $D$11, 100%, $F$11)</f>
        <v>40.923400000000001</v>
      </c>
      <c r="E896" s="12">
        <f>40.9142 * CHOOSE( CONTROL!$C$15, $D$11, 100%, $F$11)</f>
        <v>40.914200000000001</v>
      </c>
      <c r="F896" s="4">
        <f>41.5916 * CHOOSE(CONTROL!$C$15, $D$11, 100%, $F$11)</f>
        <v>41.5916</v>
      </c>
      <c r="G896" s="8">
        <f>39.9266 * CHOOSE( CONTROL!$C$15, $D$11, 100%, $F$11)</f>
        <v>39.926600000000001</v>
      </c>
      <c r="H896" s="4">
        <f>40.8575 * CHOOSE(CONTROL!$C$15, $D$11, 100%, $F$11)</f>
        <v>40.857500000000002</v>
      </c>
      <c r="I896" s="8">
        <f>39.3571 * CHOOSE(CONTROL!$C$15, $D$11, 100%, $F$11)</f>
        <v>39.357100000000003</v>
      </c>
      <c r="J896" s="4">
        <f>39.2329 * CHOOSE(CONTROL!$C$15, $D$11, 100%, $F$11)</f>
        <v>39.232900000000001</v>
      </c>
      <c r="K896" s="4"/>
      <c r="L896" s="9">
        <v>30.092199999999998</v>
      </c>
      <c r="M896" s="9">
        <v>11.6745</v>
      </c>
      <c r="N896" s="9">
        <v>4.7850000000000001</v>
      </c>
      <c r="O896" s="9">
        <v>0.36199999999999999</v>
      </c>
      <c r="P896" s="9">
        <v>1.1791</v>
      </c>
      <c r="Q896" s="9">
        <v>19.053000000000001</v>
      </c>
      <c r="R896" s="9"/>
      <c r="S896" s="11"/>
    </row>
    <row r="897" spans="1:19" ht="15.75">
      <c r="A897" s="13">
        <v>68819</v>
      </c>
      <c r="B897" s="8">
        <f>CHOOSE( CONTROL!$C$32, 41.9875, 41.9826) * CHOOSE(CONTROL!$C$15, $D$11, 100%, $F$11)</f>
        <v>41.987499999999997</v>
      </c>
      <c r="C897" s="8">
        <f>CHOOSE( CONTROL!$C$32, 41.9955, 41.9907) * CHOOSE(CONTROL!$C$15, $D$11, 100%, $F$11)</f>
        <v>41.9955</v>
      </c>
      <c r="D897" s="8">
        <f>CHOOSE( CONTROL!$C$32, 42.0169, 42.012) * CHOOSE( CONTROL!$C$15, $D$11, 100%, $F$11)</f>
        <v>42.0169</v>
      </c>
      <c r="E897" s="12">
        <f>CHOOSE( CONTROL!$C$32, 42.0079, 42.003) * CHOOSE( CONTROL!$C$15, $D$11, 100%, $F$11)</f>
        <v>42.007899999999999</v>
      </c>
      <c r="F897" s="4">
        <f>CHOOSE( CONTROL!$C$32, 42.6853, 42.6804) * CHOOSE(CONTROL!$C$15, $D$11, 100%, $F$11)</f>
        <v>42.685299999999998</v>
      </c>
      <c r="G897" s="8">
        <f>CHOOSE( CONTROL!$C$32, 40.9958, 40.9911) * CHOOSE( CONTROL!$C$15, $D$11, 100%, $F$11)</f>
        <v>40.995800000000003</v>
      </c>
      <c r="H897" s="4">
        <f>CHOOSE( CONTROL!$C$32, 41.9256, 41.9209) * CHOOSE(CONTROL!$C$15, $D$11, 100%, $F$11)</f>
        <v>41.925600000000003</v>
      </c>
      <c r="I897" s="8">
        <f>CHOOSE( CONTROL!$C$32, 40.4076, 40.4029) * CHOOSE(CONTROL!$C$15, $D$11, 100%, $F$11)</f>
        <v>40.407600000000002</v>
      </c>
      <c r="J897" s="4">
        <f>CHOOSE( CONTROL!$C$32, 40.2829, 40.2783) * CHOOSE(CONTROL!$C$15, $D$11, 100%, $F$11)</f>
        <v>40.282899999999998</v>
      </c>
      <c r="K897" s="4"/>
      <c r="L897" s="9">
        <v>30.7165</v>
      </c>
      <c r="M897" s="9">
        <v>12.063700000000001</v>
      </c>
      <c r="N897" s="9">
        <v>4.9444999999999997</v>
      </c>
      <c r="O897" s="9">
        <v>0.37409999999999999</v>
      </c>
      <c r="P897" s="9">
        <v>1.2183999999999999</v>
      </c>
      <c r="Q897" s="9">
        <v>19.688099999999999</v>
      </c>
      <c r="R897" s="9"/>
      <c r="S897" s="11"/>
    </row>
    <row r="898" spans="1:19" ht="15.75">
      <c r="A898" s="13">
        <v>68849</v>
      </c>
      <c r="B898" s="8">
        <f>CHOOSE( CONTROL!$C$32, 41.313, 41.3081) * CHOOSE(CONTROL!$C$15, $D$11, 100%, $F$11)</f>
        <v>41.313000000000002</v>
      </c>
      <c r="C898" s="8">
        <f>CHOOSE( CONTROL!$C$32, 41.3211, 41.3162) * CHOOSE(CONTROL!$C$15, $D$11, 100%, $F$11)</f>
        <v>41.321100000000001</v>
      </c>
      <c r="D898" s="8">
        <f>CHOOSE( CONTROL!$C$32, 41.3426, 41.3377) * CHOOSE( CONTROL!$C$15, $D$11, 100%, $F$11)</f>
        <v>41.342599999999997</v>
      </c>
      <c r="E898" s="12">
        <f>CHOOSE( CONTROL!$C$32, 41.3336, 41.3287) * CHOOSE( CONTROL!$C$15, $D$11, 100%, $F$11)</f>
        <v>41.333599999999997</v>
      </c>
      <c r="F898" s="4">
        <f>CHOOSE( CONTROL!$C$32, 42.0108, 42.0059) * CHOOSE(CONTROL!$C$15, $D$11, 100%, $F$11)</f>
        <v>42.010800000000003</v>
      </c>
      <c r="G898" s="8">
        <f>CHOOSE( CONTROL!$C$32, 40.3373, 40.3326) * CHOOSE( CONTROL!$C$15, $D$11, 100%, $F$11)</f>
        <v>40.337299999999999</v>
      </c>
      <c r="H898" s="4">
        <f>CHOOSE( CONTROL!$C$32, 41.2669, 41.2621) * CHOOSE(CONTROL!$C$15, $D$11, 100%, $F$11)</f>
        <v>41.2669</v>
      </c>
      <c r="I898" s="8">
        <f>CHOOSE( CONTROL!$C$32, 39.7606, 39.756) * CHOOSE(CONTROL!$C$15, $D$11, 100%, $F$11)</f>
        <v>39.760599999999997</v>
      </c>
      <c r="J898" s="4">
        <f>CHOOSE( CONTROL!$C$32, 39.6354, 39.6307) * CHOOSE(CONTROL!$C$15, $D$11, 100%, $F$11)</f>
        <v>39.635399999999997</v>
      </c>
      <c r="K898" s="4"/>
      <c r="L898" s="9">
        <v>29.7257</v>
      </c>
      <c r="M898" s="9">
        <v>11.6745</v>
      </c>
      <c r="N898" s="9">
        <v>4.7850000000000001</v>
      </c>
      <c r="O898" s="9">
        <v>0.36199999999999999</v>
      </c>
      <c r="P898" s="9">
        <v>1.1791</v>
      </c>
      <c r="Q898" s="9">
        <v>19.053000000000001</v>
      </c>
      <c r="R898" s="9"/>
      <c r="S898" s="11"/>
    </row>
    <row r="899" spans="1:19" ht="15.75">
      <c r="A899" s="13">
        <v>68880</v>
      </c>
      <c r="B899" s="8">
        <f>CHOOSE( CONTROL!$C$32, 43.0892, 43.0843) * CHOOSE(CONTROL!$C$15, $D$11, 100%, $F$11)</f>
        <v>43.089199999999998</v>
      </c>
      <c r="C899" s="8">
        <f>CHOOSE( CONTROL!$C$32, 43.0972, 43.0924) * CHOOSE(CONTROL!$C$15, $D$11, 100%, $F$11)</f>
        <v>43.097200000000001</v>
      </c>
      <c r="D899" s="8">
        <f>CHOOSE( CONTROL!$C$32, 43.119, 43.1142) * CHOOSE( CONTROL!$C$15, $D$11, 100%, $F$11)</f>
        <v>43.119</v>
      </c>
      <c r="E899" s="12">
        <f>CHOOSE( CONTROL!$C$32, 43.1099, 43.1051) * CHOOSE( CONTROL!$C$15, $D$11, 100%, $F$11)</f>
        <v>43.109900000000003</v>
      </c>
      <c r="F899" s="4">
        <f>CHOOSE( CONTROL!$C$32, 43.787, 43.7821) * CHOOSE(CONTROL!$C$15, $D$11, 100%, $F$11)</f>
        <v>43.786999999999999</v>
      </c>
      <c r="G899" s="8">
        <f>CHOOSE( CONTROL!$C$32, 42.0725, 42.0677) * CHOOSE( CONTROL!$C$15, $D$11, 100%, $F$11)</f>
        <v>42.072499999999998</v>
      </c>
      <c r="H899" s="4">
        <f>CHOOSE( CONTROL!$C$32, 43.0017, 42.9969) * CHOOSE(CONTROL!$C$15, $D$11, 100%, $F$11)</f>
        <v>43.0017</v>
      </c>
      <c r="I899" s="8">
        <f>CHOOSE( CONTROL!$C$32, 41.4679, 41.4633) * CHOOSE(CONTROL!$C$15, $D$11, 100%, $F$11)</f>
        <v>41.4679</v>
      </c>
      <c r="J899" s="4">
        <f>CHOOSE( CONTROL!$C$32, 41.3407, 41.336) * CHOOSE(CONTROL!$C$15, $D$11, 100%, $F$11)</f>
        <v>41.340699999999998</v>
      </c>
      <c r="K899" s="4"/>
      <c r="L899" s="9">
        <v>30.7165</v>
      </c>
      <c r="M899" s="9">
        <v>12.063700000000001</v>
      </c>
      <c r="N899" s="9">
        <v>4.9444999999999997</v>
      </c>
      <c r="O899" s="9">
        <v>0.37409999999999999</v>
      </c>
      <c r="P899" s="9">
        <v>1.2183999999999999</v>
      </c>
      <c r="Q899" s="9">
        <v>19.688099999999999</v>
      </c>
      <c r="R899" s="9"/>
      <c r="S899" s="11"/>
    </row>
    <row r="900" spans="1:19" ht="15.75">
      <c r="A900" s="13">
        <v>68911</v>
      </c>
      <c r="B900" s="8">
        <f>CHOOSE( CONTROL!$C$32, 39.7657, 39.7609) * CHOOSE(CONTROL!$C$15, $D$11, 100%, $F$11)</f>
        <v>39.765700000000002</v>
      </c>
      <c r="C900" s="8">
        <f>CHOOSE( CONTROL!$C$32, 39.7738, 39.769) * CHOOSE(CONTROL!$C$15, $D$11, 100%, $F$11)</f>
        <v>39.773800000000001</v>
      </c>
      <c r="D900" s="8">
        <f>CHOOSE( CONTROL!$C$32, 39.7956, 39.7908) * CHOOSE( CONTROL!$C$15, $D$11, 100%, $F$11)</f>
        <v>39.7956</v>
      </c>
      <c r="E900" s="12">
        <f>CHOOSE( CONTROL!$C$32, 39.7865, 39.7817) * CHOOSE( CONTROL!$C$15, $D$11, 100%, $F$11)</f>
        <v>39.786499999999997</v>
      </c>
      <c r="F900" s="4">
        <f>CHOOSE( CONTROL!$C$32, 40.4635, 40.4587) * CHOOSE(CONTROL!$C$15, $D$11, 100%, $F$11)</f>
        <v>40.463500000000003</v>
      </c>
      <c r="G900" s="8">
        <f>CHOOSE( CONTROL!$C$32, 38.8265, 38.8218) * CHOOSE( CONTROL!$C$15, $D$11, 100%, $F$11)</f>
        <v>38.826500000000003</v>
      </c>
      <c r="H900" s="4">
        <f>CHOOSE( CONTROL!$C$32, 39.7556, 39.7509) * CHOOSE(CONTROL!$C$15, $D$11, 100%, $F$11)</f>
        <v>39.755600000000001</v>
      </c>
      <c r="I900" s="8">
        <f>CHOOSE( CONTROL!$C$32, 38.2758, 38.2711) * CHOOSE(CONTROL!$C$15, $D$11, 100%, $F$11)</f>
        <v>38.275799999999997</v>
      </c>
      <c r="J900" s="4">
        <f>CHOOSE( CONTROL!$C$32, 38.1498, 38.1452) * CHOOSE(CONTROL!$C$15, $D$11, 100%, $F$11)</f>
        <v>38.149799999999999</v>
      </c>
      <c r="K900" s="4"/>
      <c r="L900" s="9">
        <v>30.7165</v>
      </c>
      <c r="M900" s="9">
        <v>12.063700000000001</v>
      </c>
      <c r="N900" s="9">
        <v>4.9444999999999997</v>
      </c>
      <c r="O900" s="9">
        <v>0.37409999999999999</v>
      </c>
      <c r="P900" s="9">
        <v>1.2183999999999999</v>
      </c>
      <c r="Q900" s="9">
        <v>19.688099999999999</v>
      </c>
      <c r="R900" s="9"/>
      <c r="S900" s="11"/>
    </row>
    <row r="901" spans="1:19" ht="15.75">
      <c r="A901" s="13">
        <v>68941</v>
      </c>
      <c r="B901" s="8">
        <f>CHOOSE( CONTROL!$C$32, 38.9335, 38.9287) * CHOOSE(CONTROL!$C$15, $D$11, 100%, $F$11)</f>
        <v>38.933500000000002</v>
      </c>
      <c r="C901" s="8">
        <f>CHOOSE( CONTROL!$C$32, 38.9416, 38.9367) * CHOOSE(CONTROL!$C$15, $D$11, 100%, $F$11)</f>
        <v>38.941600000000001</v>
      </c>
      <c r="D901" s="8">
        <f>CHOOSE( CONTROL!$C$32, 38.9634, 38.9585) * CHOOSE( CONTROL!$C$15, $D$11, 100%, $F$11)</f>
        <v>38.9634</v>
      </c>
      <c r="E901" s="12">
        <f>CHOOSE( CONTROL!$C$32, 38.9543, 38.9494) * CHOOSE( CONTROL!$C$15, $D$11, 100%, $F$11)</f>
        <v>38.954300000000003</v>
      </c>
      <c r="F901" s="4">
        <f>CHOOSE( CONTROL!$C$32, 39.6313, 39.6265) * CHOOSE(CONTROL!$C$15, $D$11, 100%, $F$11)</f>
        <v>39.631300000000003</v>
      </c>
      <c r="G901" s="8">
        <f>CHOOSE( CONTROL!$C$32, 38.0137, 38.0089) * CHOOSE( CONTROL!$C$15, $D$11, 100%, $F$11)</f>
        <v>38.0137</v>
      </c>
      <c r="H901" s="4">
        <f>CHOOSE( CONTROL!$C$32, 38.9428, 38.9381) * CHOOSE(CONTROL!$C$15, $D$11, 100%, $F$11)</f>
        <v>38.942799999999998</v>
      </c>
      <c r="I901" s="8">
        <f>CHOOSE( CONTROL!$C$32, 37.4762, 37.4716) * CHOOSE(CONTROL!$C$15, $D$11, 100%, $F$11)</f>
        <v>37.476199999999999</v>
      </c>
      <c r="J901" s="4">
        <f>CHOOSE( CONTROL!$C$32, 37.3508, 37.3462) * CHOOSE(CONTROL!$C$15, $D$11, 100%, $F$11)</f>
        <v>37.3508</v>
      </c>
      <c r="K901" s="4"/>
      <c r="L901" s="9">
        <v>29.7257</v>
      </c>
      <c r="M901" s="9">
        <v>11.6745</v>
      </c>
      <c r="N901" s="9">
        <v>4.7850000000000001</v>
      </c>
      <c r="O901" s="9">
        <v>0.36199999999999999</v>
      </c>
      <c r="P901" s="9">
        <v>1.1791</v>
      </c>
      <c r="Q901" s="9">
        <v>19.053000000000001</v>
      </c>
      <c r="R901" s="9"/>
      <c r="S901" s="11"/>
    </row>
    <row r="902" spans="1:19" ht="15.75">
      <c r="A902" s="13">
        <v>68972</v>
      </c>
      <c r="B902" s="8">
        <f>40.6549 * CHOOSE(CONTROL!$C$15, $D$11, 100%, $F$11)</f>
        <v>40.654899999999998</v>
      </c>
      <c r="C902" s="8">
        <f>40.6604 * CHOOSE(CONTROL!$C$15, $D$11, 100%, $F$11)</f>
        <v>40.660400000000003</v>
      </c>
      <c r="D902" s="8">
        <f>40.6868 * CHOOSE( CONTROL!$C$15, $D$11, 100%, $F$11)</f>
        <v>40.686799999999998</v>
      </c>
      <c r="E902" s="12">
        <f>40.6775 * CHOOSE( CONTROL!$C$15, $D$11, 100%, $F$11)</f>
        <v>40.677500000000002</v>
      </c>
      <c r="F902" s="4">
        <f>41.3545 * CHOOSE(CONTROL!$C$15, $D$11, 100%, $F$11)</f>
        <v>41.354500000000002</v>
      </c>
      <c r="G902" s="8">
        <f>39.6959 * CHOOSE( CONTROL!$C$15, $D$11, 100%, $F$11)</f>
        <v>39.695900000000002</v>
      </c>
      <c r="H902" s="4">
        <f>40.6258 * CHOOSE(CONTROL!$C$15, $D$11, 100%, $F$11)</f>
        <v>40.625799999999998</v>
      </c>
      <c r="I902" s="8">
        <f>39.1322 * CHOOSE(CONTROL!$C$15, $D$11, 100%, $F$11)</f>
        <v>39.132199999999997</v>
      </c>
      <c r="J902" s="4">
        <f>39.0052 * CHOOSE(CONTROL!$C$15, $D$11, 100%, $F$11)</f>
        <v>39.005200000000002</v>
      </c>
      <c r="K902" s="4"/>
      <c r="L902" s="9">
        <v>31.095300000000002</v>
      </c>
      <c r="M902" s="9">
        <v>12.063700000000001</v>
      </c>
      <c r="N902" s="9">
        <v>4.9444999999999997</v>
      </c>
      <c r="O902" s="9">
        <v>0.37409999999999999</v>
      </c>
      <c r="P902" s="9">
        <v>1.2183999999999999</v>
      </c>
      <c r="Q902" s="9">
        <v>19.688099999999999</v>
      </c>
      <c r="R902" s="9"/>
      <c r="S902" s="11"/>
    </row>
    <row r="903" spans="1:19" ht="15.75">
      <c r="A903" s="13">
        <v>69002</v>
      </c>
      <c r="B903" s="8">
        <f>43.844 * CHOOSE(CONTROL!$C$15, $D$11, 100%, $F$11)</f>
        <v>43.844000000000001</v>
      </c>
      <c r="C903" s="8">
        <f>43.8492 * CHOOSE(CONTROL!$C$15, $D$11, 100%, $F$11)</f>
        <v>43.849200000000003</v>
      </c>
      <c r="D903" s="8">
        <f>43.8385 * CHOOSE( CONTROL!$C$15, $D$11, 100%, $F$11)</f>
        <v>43.838500000000003</v>
      </c>
      <c r="E903" s="12">
        <f>43.8419 * CHOOSE( CONTROL!$C$15, $D$11, 100%, $F$11)</f>
        <v>43.841900000000003</v>
      </c>
      <c r="F903" s="4">
        <f>44.493 * CHOOSE(CONTROL!$C$15, $D$11, 100%, $F$11)</f>
        <v>44.493000000000002</v>
      </c>
      <c r="G903" s="8">
        <f>42.8157 * CHOOSE( CONTROL!$C$15, $D$11, 100%, $F$11)</f>
        <v>42.8157</v>
      </c>
      <c r="H903" s="4">
        <f>43.6912 * CHOOSE(CONTROL!$C$15, $D$11, 100%, $F$11)</f>
        <v>43.691200000000002</v>
      </c>
      <c r="I903" s="8">
        <f>42.2216 * CHOOSE(CONTROL!$C$15, $D$11, 100%, $F$11)</f>
        <v>42.221600000000002</v>
      </c>
      <c r="J903" s="4">
        <f>42.0675 * CHOOSE(CONTROL!$C$15, $D$11, 100%, $F$11)</f>
        <v>42.067500000000003</v>
      </c>
      <c r="K903" s="4"/>
      <c r="L903" s="9">
        <v>28.360600000000002</v>
      </c>
      <c r="M903" s="9">
        <v>11.6745</v>
      </c>
      <c r="N903" s="9">
        <v>4.7850000000000001</v>
      </c>
      <c r="O903" s="9">
        <v>0.36199999999999999</v>
      </c>
      <c r="P903" s="9">
        <v>1.2509999999999999</v>
      </c>
      <c r="Q903" s="9">
        <v>19.053000000000001</v>
      </c>
      <c r="R903" s="9"/>
      <c r="S903" s="11"/>
    </row>
    <row r="904" spans="1:19" ht="15.75">
      <c r="A904" s="13">
        <v>69033</v>
      </c>
      <c r="B904" s="8">
        <f>43.7644 * CHOOSE(CONTROL!$C$15, $D$11, 100%, $F$11)</f>
        <v>43.764400000000002</v>
      </c>
      <c r="C904" s="8">
        <f>43.7695 * CHOOSE(CONTROL!$C$15, $D$11, 100%, $F$11)</f>
        <v>43.769500000000001</v>
      </c>
      <c r="D904" s="8">
        <f>43.7601 * CHOOSE( CONTROL!$C$15, $D$11, 100%, $F$11)</f>
        <v>43.760100000000001</v>
      </c>
      <c r="E904" s="12">
        <f>43.763 * CHOOSE( CONTROL!$C$15, $D$11, 100%, $F$11)</f>
        <v>43.762999999999998</v>
      </c>
      <c r="F904" s="4">
        <f>44.4133 * CHOOSE(CONTROL!$C$15, $D$11, 100%, $F$11)</f>
        <v>44.4133</v>
      </c>
      <c r="G904" s="8">
        <f>42.7389 * CHOOSE( CONTROL!$C$15, $D$11, 100%, $F$11)</f>
        <v>42.738900000000001</v>
      </c>
      <c r="H904" s="4">
        <f>43.6134 * CHOOSE(CONTROL!$C$15, $D$11, 100%, $F$11)</f>
        <v>43.613399999999999</v>
      </c>
      <c r="I904" s="8">
        <f>42.1494 * CHOOSE(CONTROL!$C$15, $D$11, 100%, $F$11)</f>
        <v>42.1494</v>
      </c>
      <c r="J904" s="4">
        <f>41.991 * CHOOSE(CONTROL!$C$15, $D$11, 100%, $F$11)</f>
        <v>41.991</v>
      </c>
      <c r="K904" s="4"/>
      <c r="L904" s="9">
        <v>29.306000000000001</v>
      </c>
      <c r="M904" s="9">
        <v>12.063700000000001</v>
      </c>
      <c r="N904" s="9">
        <v>4.9444999999999997</v>
      </c>
      <c r="O904" s="9">
        <v>0.37409999999999999</v>
      </c>
      <c r="P904" s="9">
        <v>1.2927</v>
      </c>
      <c r="Q904" s="9">
        <v>19.688099999999999</v>
      </c>
      <c r="R904" s="9"/>
      <c r="S904" s="11"/>
    </row>
    <row r="905" spans="1:19" ht="15.75">
      <c r="A905" s="13">
        <v>69064</v>
      </c>
      <c r="B905" s="8">
        <f>45.4359 * CHOOSE(CONTROL!$C$15, $D$11, 100%, $F$11)</f>
        <v>45.435899999999997</v>
      </c>
      <c r="C905" s="8">
        <f>45.4411 * CHOOSE(CONTROL!$C$15, $D$11, 100%, $F$11)</f>
        <v>45.441099999999999</v>
      </c>
      <c r="D905" s="8">
        <f>45.4276 * CHOOSE( CONTROL!$C$15, $D$11, 100%, $F$11)</f>
        <v>45.427599999999998</v>
      </c>
      <c r="E905" s="12">
        <f>45.432 * CHOOSE( CONTROL!$C$15, $D$11, 100%, $F$11)</f>
        <v>45.432000000000002</v>
      </c>
      <c r="F905" s="4">
        <f>46.0848 * CHOOSE(CONTROL!$C$15, $D$11, 100%, $F$11)</f>
        <v>46.084800000000001</v>
      </c>
      <c r="G905" s="8">
        <f>44.3652 * CHOOSE( CONTROL!$C$15, $D$11, 100%, $F$11)</f>
        <v>44.365200000000002</v>
      </c>
      <c r="H905" s="4">
        <f>45.246 * CHOOSE(CONTROL!$C$15, $D$11, 100%, $F$11)</f>
        <v>45.246000000000002</v>
      </c>
      <c r="I905" s="8">
        <f>43.7313 * CHOOSE(CONTROL!$C$15, $D$11, 100%, $F$11)</f>
        <v>43.731299999999997</v>
      </c>
      <c r="J905" s="4">
        <f>43.5959 * CHOOSE(CONTROL!$C$15, $D$11, 100%, $F$11)</f>
        <v>43.5959</v>
      </c>
      <c r="K905" s="4"/>
      <c r="L905" s="9">
        <v>29.306000000000001</v>
      </c>
      <c r="M905" s="9">
        <v>12.063700000000001</v>
      </c>
      <c r="N905" s="9">
        <v>4.9444999999999997</v>
      </c>
      <c r="O905" s="9">
        <v>0.37409999999999999</v>
      </c>
      <c r="P905" s="9">
        <v>1.2927</v>
      </c>
      <c r="Q905" s="9">
        <v>19.688099999999999</v>
      </c>
      <c r="R905" s="9"/>
      <c r="S905" s="11"/>
    </row>
    <row r="906" spans="1:19" ht="15.75">
      <c r="A906" s="13">
        <v>69092</v>
      </c>
      <c r="B906" s="8">
        <f>42.5004 * CHOOSE(CONTROL!$C$15, $D$11, 100%, $F$11)</f>
        <v>42.500399999999999</v>
      </c>
      <c r="C906" s="8">
        <f>42.5056 * CHOOSE(CONTROL!$C$15, $D$11, 100%, $F$11)</f>
        <v>42.505600000000001</v>
      </c>
      <c r="D906" s="8">
        <f>42.4921 * CHOOSE( CONTROL!$C$15, $D$11, 100%, $F$11)</f>
        <v>42.492100000000001</v>
      </c>
      <c r="E906" s="12">
        <f>42.4965 * CHOOSE( CONTROL!$C$15, $D$11, 100%, $F$11)</f>
        <v>42.496499999999997</v>
      </c>
      <c r="F906" s="4">
        <f>43.1493 * CHOOSE(CONTROL!$C$15, $D$11, 100%, $F$11)</f>
        <v>43.149299999999997</v>
      </c>
      <c r="G906" s="8">
        <f>41.4981 * CHOOSE( CONTROL!$C$15, $D$11, 100%, $F$11)</f>
        <v>41.498100000000001</v>
      </c>
      <c r="H906" s="4">
        <f>42.3789 * CHOOSE(CONTROL!$C$15, $D$11, 100%, $F$11)</f>
        <v>42.378900000000002</v>
      </c>
      <c r="I906" s="8">
        <f>40.9115 * CHOOSE(CONTROL!$C$15, $D$11, 100%, $F$11)</f>
        <v>40.911499999999997</v>
      </c>
      <c r="J906" s="4">
        <f>40.7775 * CHOOSE(CONTROL!$C$15, $D$11, 100%, $F$11)</f>
        <v>40.777500000000003</v>
      </c>
      <c r="K906" s="4"/>
      <c r="L906" s="9">
        <v>26.469899999999999</v>
      </c>
      <c r="M906" s="9">
        <v>10.8962</v>
      </c>
      <c r="N906" s="9">
        <v>4.4660000000000002</v>
      </c>
      <c r="O906" s="9">
        <v>0.33789999999999998</v>
      </c>
      <c r="P906" s="9">
        <v>1.1676</v>
      </c>
      <c r="Q906" s="9">
        <v>17.782800000000002</v>
      </c>
      <c r="R906" s="9"/>
      <c r="S906" s="11"/>
    </row>
    <row r="907" spans="1:19" ht="15.75">
      <c r="A907" s="13">
        <v>69123</v>
      </c>
      <c r="B907" s="8">
        <f>41.5963 * CHOOSE(CONTROL!$C$15, $D$11, 100%, $F$11)</f>
        <v>41.596299999999999</v>
      </c>
      <c r="C907" s="8">
        <f>41.6015 * CHOOSE(CONTROL!$C$15, $D$11, 100%, $F$11)</f>
        <v>41.601500000000001</v>
      </c>
      <c r="D907" s="8">
        <f>41.5876 * CHOOSE( CONTROL!$C$15, $D$11, 100%, $F$11)</f>
        <v>41.587600000000002</v>
      </c>
      <c r="E907" s="12">
        <f>41.5921 * CHOOSE( CONTROL!$C$15, $D$11, 100%, $F$11)</f>
        <v>41.592100000000002</v>
      </c>
      <c r="F907" s="4">
        <f>42.2452 * CHOOSE(CONTROL!$C$15, $D$11, 100%, $F$11)</f>
        <v>42.245199999999997</v>
      </c>
      <c r="G907" s="8">
        <f>40.6148 * CHOOSE( CONTROL!$C$15, $D$11, 100%, $F$11)</f>
        <v>40.614800000000002</v>
      </c>
      <c r="H907" s="4">
        <f>41.4958 * CHOOSE(CONTROL!$C$15, $D$11, 100%, $F$11)</f>
        <v>41.495800000000003</v>
      </c>
      <c r="I907" s="8">
        <f>40.042 * CHOOSE(CONTROL!$C$15, $D$11, 100%, $F$11)</f>
        <v>40.042000000000002</v>
      </c>
      <c r="J907" s="4">
        <f>39.9094 * CHOOSE(CONTROL!$C$15, $D$11, 100%, $F$11)</f>
        <v>39.909399999999998</v>
      </c>
      <c r="K907" s="4"/>
      <c r="L907" s="9">
        <v>29.306000000000001</v>
      </c>
      <c r="M907" s="9">
        <v>12.063700000000001</v>
      </c>
      <c r="N907" s="9">
        <v>4.9444999999999997</v>
      </c>
      <c r="O907" s="9">
        <v>0.37409999999999999</v>
      </c>
      <c r="P907" s="9">
        <v>1.2927</v>
      </c>
      <c r="Q907" s="9">
        <v>19.688099999999999</v>
      </c>
      <c r="R907" s="9"/>
      <c r="S907" s="11"/>
    </row>
    <row r="908" spans="1:19" ht="15.75">
      <c r="A908" s="13">
        <v>69153</v>
      </c>
      <c r="B908" s="8">
        <f>42.2288 * CHOOSE(CONTROL!$C$15, $D$11, 100%, $F$11)</f>
        <v>42.2288</v>
      </c>
      <c r="C908" s="8">
        <f>42.2334 * CHOOSE(CONTROL!$C$15, $D$11, 100%, $F$11)</f>
        <v>42.233400000000003</v>
      </c>
      <c r="D908" s="8">
        <f>42.2597 * CHOOSE( CONTROL!$C$15, $D$11, 100%, $F$11)</f>
        <v>42.259700000000002</v>
      </c>
      <c r="E908" s="12">
        <f>42.2505 * CHOOSE( CONTROL!$C$15, $D$11, 100%, $F$11)</f>
        <v>42.250500000000002</v>
      </c>
      <c r="F908" s="4">
        <f>42.928 * CHOOSE(CONTROL!$C$15, $D$11, 100%, $F$11)</f>
        <v>42.927999999999997</v>
      </c>
      <c r="G908" s="8">
        <f>41.2319 * CHOOSE( CONTROL!$C$15, $D$11, 100%, $F$11)</f>
        <v>41.231900000000003</v>
      </c>
      <c r="H908" s="4">
        <f>42.1627 * CHOOSE(CONTROL!$C$15, $D$11, 100%, $F$11)</f>
        <v>42.162700000000001</v>
      </c>
      <c r="I908" s="8">
        <f>40.6408 * CHOOSE(CONTROL!$C$15, $D$11, 100%, $F$11)</f>
        <v>40.640799999999999</v>
      </c>
      <c r="J908" s="4">
        <f>40.516 * CHOOSE(CONTROL!$C$15, $D$11, 100%, $F$11)</f>
        <v>40.515999999999998</v>
      </c>
      <c r="K908" s="4"/>
      <c r="L908" s="9">
        <v>30.092199999999998</v>
      </c>
      <c r="M908" s="9">
        <v>11.6745</v>
      </c>
      <c r="N908" s="9">
        <v>4.7850000000000001</v>
      </c>
      <c r="O908" s="9">
        <v>0.36199999999999999</v>
      </c>
      <c r="P908" s="9">
        <v>1.1791</v>
      </c>
      <c r="Q908" s="9">
        <v>19.053000000000001</v>
      </c>
      <c r="R908" s="9"/>
      <c r="S908" s="11"/>
    </row>
    <row r="909" spans="1:19" ht="15.75">
      <c r="A909" s="13">
        <v>69184</v>
      </c>
      <c r="B909" s="8">
        <f>CHOOSE( CONTROL!$C$32, 43.3595, 43.3546) * CHOOSE(CONTROL!$C$15, $D$11, 100%, $F$11)</f>
        <v>43.359499999999997</v>
      </c>
      <c r="C909" s="8">
        <f>CHOOSE( CONTROL!$C$32, 43.3675, 43.3627) * CHOOSE(CONTROL!$C$15, $D$11, 100%, $F$11)</f>
        <v>43.3675</v>
      </c>
      <c r="D909" s="8">
        <f>CHOOSE( CONTROL!$C$32, 43.3889, 43.384) * CHOOSE( CONTROL!$C$15, $D$11, 100%, $F$11)</f>
        <v>43.3889</v>
      </c>
      <c r="E909" s="12">
        <f>CHOOSE( CONTROL!$C$32, 43.3799, 43.375) * CHOOSE( CONTROL!$C$15, $D$11, 100%, $F$11)</f>
        <v>43.379899999999999</v>
      </c>
      <c r="F909" s="4">
        <f>CHOOSE( CONTROL!$C$32, 44.0573, 44.0524) * CHOOSE(CONTROL!$C$15, $D$11, 100%, $F$11)</f>
        <v>44.057299999999998</v>
      </c>
      <c r="G909" s="8">
        <f>CHOOSE( CONTROL!$C$32, 42.3358, 42.3311) * CHOOSE( CONTROL!$C$15, $D$11, 100%, $F$11)</f>
        <v>42.335799999999999</v>
      </c>
      <c r="H909" s="4">
        <f>CHOOSE( CONTROL!$C$32, 43.2657, 43.2609) * CHOOSE(CONTROL!$C$15, $D$11, 100%, $F$11)</f>
        <v>43.265700000000002</v>
      </c>
      <c r="I909" s="8">
        <f>CHOOSE( CONTROL!$C$32, 41.7255, 41.7209) * CHOOSE(CONTROL!$C$15, $D$11, 100%, $F$11)</f>
        <v>41.725499999999997</v>
      </c>
      <c r="J909" s="4">
        <f>CHOOSE( CONTROL!$C$32, 41.6002, 41.5955) * CHOOSE(CONTROL!$C$15, $D$11, 100%, $F$11)</f>
        <v>41.600200000000001</v>
      </c>
      <c r="K909" s="4"/>
      <c r="L909" s="9">
        <v>30.7165</v>
      </c>
      <c r="M909" s="9">
        <v>12.063700000000001</v>
      </c>
      <c r="N909" s="9">
        <v>4.9444999999999997</v>
      </c>
      <c r="O909" s="9">
        <v>0.37409999999999999</v>
      </c>
      <c r="P909" s="9">
        <v>1.2183999999999999</v>
      </c>
      <c r="Q909" s="9">
        <v>19.688099999999999</v>
      </c>
      <c r="R909" s="9"/>
      <c r="S909" s="11"/>
    </row>
    <row r="910" spans="1:19" ht="15.75">
      <c r="A910" s="13">
        <v>69214</v>
      </c>
      <c r="B910" s="8">
        <f>CHOOSE( CONTROL!$C$32, 42.6629, 42.6581) * CHOOSE(CONTROL!$C$15, $D$11, 100%, $F$11)</f>
        <v>42.6629</v>
      </c>
      <c r="C910" s="8">
        <f>CHOOSE( CONTROL!$C$32, 42.671, 42.6662) * CHOOSE(CONTROL!$C$15, $D$11, 100%, $F$11)</f>
        <v>42.670999999999999</v>
      </c>
      <c r="D910" s="8">
        <f>CHOOSE( CONTROL!$C$32, 42.6925, 42.6877) * CHOOSE( CONTROL!$C$15, $D$11, 100%, $F$11)</f>
        <v>42.692500000000003</v>
      </c>
      <c r="E910" s="12">
        <f>CHOOSE( CONTROL!$C$32, 42.6835, 42.6787) * CHOOSE( CONTROL!$C$15, $D$11, 100%, $F$11)</f>
        <v>42.683500000000002</v>
      </c>
      <c r="F910" s="4">
        <f>CHOOSE( CONTROL!$C$32, 43.3607, 43.3559) * CHOOSE(CONTROL!$C$15, $D$11, 100%, $F$11)</f>
        <v>43.360700000000001</v>
      </c>
      <c r="G910" s="8">
        <f>CHOOSE( CONTROL!$C$32, 41.6558, 41.6511) * CHOOSE( CONTROL!$C$15, $D$11, 100%, $F$11)</f>
        <v>41.655799999999999</v>
      </c>
      <c r="H910" s="4">
        <f>CHOOSE( CONTROL!$C$32, 42.5853, 42.5806) * CHOOSE(CONTROL!$C$15, $D$11, 100%, $F$11)</f>
        <v>42.585299999999997</v>
      </c>
      <c r="I910" s="8">
        <f>CHOOSE( CONTROL!$C$32, 41.0573, 41.0527) * CHOOSE(CONTROL!$C$15, $D$11, 100%, $F$11)</f>
        <v>41.057299999999998</v>
      </c>
      <c r="J910" s="4">
        <f>CHOOSE( CONTROL!$C$32, 40.9314, 40.9268) * CHOOSE(CONTROL!$C$15, $D$11, 100%, $F$11)</f>
        <v>40.931399999999996</v>
      </c>
      <c r="K910" s="4"/>
      <c r="L910" s="9">
        <v>29.7257</v>
      </c>
      <c r="M910" s="9">
        <v>11.6745</v>
      </c>
      <c r="N910" s="9">
        <v>4.7850000000000001</v>
      </c>
      <c r="O910" s="9">
        <v>0.36199999999999999</v>
      </c>
      <c r="P910" s="9">
        <v>1.1791</v>
      </c>
      <c r="Q910" s="9">
        <v>19.053000000000001</v>
      </c>
      <c r="R910" s="9"/>
      <c r="S910" s="11"/>
    </row>
    <row r="911" spans="1:19" ht="15.75">
      <c r="A911" s="13">
        <v>69245</v>
      </c>
      <c r="B911" s="8">
        <f>CHOOSE( CONTROL!$C$32, 44.4972, 44.4924) * CHOOSE(CONTROL!$C$15, $D$11, 100%, $F$11)</f>
        <v>44.497199999999999</v>
      </c>
      <c r="C911" s="8">
        <f>CHOOSE( CONTROL!$C$32, 44.5053, 44.5004) * CHOOSE(CONTROL!$C$15, $D$11, 100%, $F$11)</f>
        <v>44.505299999999998</v>
      </c>
      <c r="D911" s="8">
        <f>CHOOSE( CONTROL!$C$32, 44.527, 44.5222) * CHOOSE( CONTROL!$C$15, $D$11, 100%, $F$11)</f>
        <v>44.527000000000001</v>
      </c>
      <c r="E911" s="12">
        <f>CHOOSE( CONTROL!$C$32, 44.5179, 44.5131) * CHOOSE( CONTROL!$C$15, $D$11, 100%, $F$11)</f>
        <v>44.517899999999997</v>
      </c>
      <c r="F911" s="4">
        <f>CHOOSE( CONTROL!$C$32, 45.195, 45.1902) * CHOOSE(CONTROL!$C$15, $D$11, 100%, $F$11)</f>
        <v>45.195</v>
      </c>
      <c r="G911" s="8">
        <f>CHOOSE( CONTROL!$C$32, 43.4477, 43.443) * CHOOSE( CONTROL!$C$15, $D$11, 100%, $F$11)</f>
        <v>43.447699999999998</v>
      </c>
      <c r="H911" s="4">
        <f>CHOOSE( CONTROL!$C$32, 44.3769, 44.3722) * CHOOSE(CONTROL!$C$15, $D$11, 100%, $F$11)</f>
        <v>44.376899999999999</v>
      </c>
      <c r="I911" s="8">
        <f>CHOOSE( CONTROL!$C$32, 42.8204, 42.8158) * CHOOSE(CONTROL!$C$15, $D$11, 100%, $F$11)</f>
        <v>42.820399999999999</v>
      </c>
      <c r="J911" s="4">
        <f>CHOOSE( CONTROL!$C$32, 42.6925, 42.6879) * CHOOSE(CONTROL!$C$15, $D$11, 100%, $F$11)</f>
        <v>42.692500000000003</v>
      </c>
      <c r="K911" s="4"/>
      <c r="L911" s="9">
        <v>30.7165</v>
      </c>
      <c r="M911" s="9">
        <v>12.063700000000001</v>
      </c>
      <c r="N911" s="9">
        <v>4.9444999999999997</v>
      </c>
      <c r="O911" s="9">
        <v>0.37409999999999999</v>
      </c>
      <c r="P911" s="9">
        <v>1.2183999999999999</v>
      </c>
      <c r="Q911" s="9">
        <v>19.688099999999999</v>
      </c>
      <c r="R911" s="9"/>
      <c r="S911" s="11"/>
    </row>
    <row r="912" spans="1:19" ht="15.75">
      <c r="A912" s="13">
        <v>69276</v>
      </c>
      <c r="B912" s="8">
        <f>CHOOSE( CONTROL!$C$32, 41.065, 41.0602) * CHOOSE(CONTROL!$C$15, $D$11, 100%, $F$11)</f>
        <v>41.064999999999998</v>
      </c>
      <c r="C912" s="8">
        <f>CHOOSE( CONTROL!$C$32, 41.0731, 41.0683) * CHOOSE(CONTROL!$C$15, $D$11, 100%, $F$11)</f>
        <v>41.073099999999997</v>
      </c>
      <c r="D912" s="8">
        <f>CHOOSE( CONTROL!$C$32, 41.0949, 41.0901) * CHOOSE( CONTROL!$C$15, $D$11, 100%, $F$11)</f>
        <v>41.094900000000003</v>
      </c>
      <c r="E912" s="12">
        <f>CHOOSE( CONTROL!$C$32, 41.0858, 41.081) * CHOOSE( CONTROL!$C$15, $D$11, 100%, $F$11)</f>
        <v>41.085799999999999</v>
      </c>
      <c r="F912" s="4">
        <f>CHOOSE( CONTROL!$C$32, 41.7629, 41.758) * CHOOSE(CONTROL!$C$15, $D$11, 100%, $F$11)</f>
        <v>41.762900000000002</v>
      </c>
      <c r="G912" s="8">
        <f>CHOOSE( CONTROL!$C$32, 40.0956, 40.0909) * CHOOSE( CONTROL!$C$15, $D$11, 100%, $F$11)</f>
        <v>40.095599999999997</v>
      </c>
      <c r="H912" s="4">
        <f>CHOOSE( CONTROL!$C$32, 41.0247, 41.02) * CHOOSE(CONTROL!$C$15, $D$11, 100%, $F$11)</f>
        <v>41.024700000000003</v>
      </c>
      <c r="I912" s="8">
        <f>CHOOSE( CONTROL!$C$32, 39.5239, 39.5192) * CHOOSE(CONTROL!$C$15, $D$11, 100%, $F$11)</f>
        <v>39.523899999999998</v>
      </c>
      <c r="J912" s="4">
        <f>CHOOSE( CONTROL!$C$32, 39.3973, 39.3927) * CHOOSE(CONTROL!$C$15, $D$11, 100%, $F$11)</f>
        <v>39.397300000000001</v>
      </c>
      <c r="K912" s="4"/>
      <c r="L912" s="9">
        <v>30.7165</v>
      </c>
      <c r="M912" s="9">
        <v>12.063700000000001</v>
      </c>
      <c r="N912" s="9">
        <v>4.9444999999999997</v>
      </c>
      <c r="O912" s="9">
        <v>0.37409999999999999</v>
      </c>
      <c r="P912" s="9">
        <v>1.2183999999999999</v>
      </c>
      <c r="Q912" s="9">
        <v>19.688099999999999</v>
      </c>
      <c r="R912" s="9"/>
      <c r="S912" s="11"/>
    </row>
    <row r="913" spans="1:19" ht="15.75">
      <c r="A913" s="13">
        <v>69306</v>
      </c>
      <c r="B913" s="8">
        <f>CHOOSE( CONTROL!$C$32, 40.2056, 40.2008) * CHOOSE(CONTROL!$C$15, $D$11, 100%, $F$11)</f>
        <v>40.205599999999997</v>
      </c>
      <c r="C913" s="8">
        <f>CHOOSE( CONTROL!$C$32, 40.2137, 40.2089) * CHOOSE(CONTROL!$C$15, $D$11, 100%, $F$11)</f>
        <v>40.213700000000003</v>
      </c>
      <c r="D913" s="8">
        <f>CHOOSE( CONTROL!$C$32, 40.2355, 40.2306) * CHOOSE( CONTROL!$C$15, $D$11, 100%, $F$11)</f>
        <v>40.235500000000002</v>
      </c>
      <c r="E913" s="12">
        <f>CHOOSE( CONTROL!$C$32, 40.2264, 40.2215) * CHOOSE( CONTROL!$C$15, $D$11, 100%, $F$11)</f>
        <v>40.226399999999998</v>
      </c>
      <c r="F913" s="4">
        <f>CHOOSE( CONTROL!$C$32, 40.9034, 40.8986) * CHOOSE(CONTROL!$C$15, $D$11, 100%, $F$11)</f>
        <v>40.903399999999998</v>
      </c>
      <c r="G913" s="8">
        <f>CHOOSE( CONTROL!$C$32, 39.2561, 39.2514) * CHOOSE( CONTROL!$C$15, $D$11, 100%, $F$11)</f>
        <v>39.256100000000004</v>
      </c>
      <c r="H913" s="4">
        <f>CHOOSE( CONTROL!$C$32, 40.1853, 40.1806) * CHOOSE(CONTROL!$C$15, $D$11, 100%, $F$11)</f>
        <v>40.185299999999998</v>
      </c>
      <c r="I913" s="8">
        <f>CHOOSE( CONTROL!$C$32, 38.6982, 38.6936) * CHOOSE(CONTROL!$C$15, $D$11, 100%, $F$11)</f>
        <v>38.6982</v>
      </c>
      <c r="J913" s="4">
        <f>CHOOSE( CONTROL!$C$32, 38.5722, 38.5675) * CHOOSE(CONTROL!$C$15, $D$11, 100%, $F$11)</f>
        <v>38.572200000000002</v>
      </c>
      <c r="K913" s="4"/>
      <c r="L913" s="9">
        <v>29.7257</v>
      </c>
      <c r="M913" s="9">
        <v>11.6745</v>
      </c>
      <c r="N913" s="9">
        <v>4.7850000000000001</v>
      </c>
      <c r="O913" s="9">
        <v>0.36199999999999999</v>
      </c>
      <c r="P913" s="9">
        <v>1.1791</v>
      </c>
      <c r="Q913" s="9">
        <v>19.053000000000001</v>
      </c>
      <c r="R913" s="9"/>
      <c r="S913" s="11"/>
    </row>
    <row r="914" spans="1:19" ht="15.75">
      <c r="A914" s="13">
        <v>69337</v>
      </c>
      <c r="B914" s="8">
        <f>41.9836 * CHOOSE(CONTROL!$C$15, $D$11, 100%, $F$11)</f>
        <v>41.983600000000003</v>
      </c>
      <c r="C914" s="8">
        <f>41.989 * CHOOSE(CONTROL!$C$15, $D$11, 100%, $F$11)</f>
        <v>41.988999999999997</v>
      </c>
      <c r="D914" s="8">
        <f>42.0154 * CHOOSE( CONTROL!$C$15, $D$11, 100%, $F$11)</f>
        <v>42.0154</v>
      </c>
      <c r="E914" s="12">
        <f>42.0061 * CHOOSE( CONTROL!$C$15, $D$11, 100%, $F$11)</f>
        <v>42.006100000000004</v>
      </c>
      <c r="F914" s="4">
        <f>42.6831 * CHOOSE(CONTROL!$C$15, $D$11, 100%, $F$11)</f>
        <v>42.683100000000003</v>
      </c>
      <c r="G914" s="8">
        <f>40.9936 * CHOOSE( CONTROL!$C$15, $D$11, 100%, $F$11)</f>
        <v>40.993600000000001</v>
      </c>
      <c r="H914" s="4">
        <f>41.9235 * CHOOSE(CONTROL!$C$15, $D$11, 100%, $F$11)</f>
        <v>41.923499999999997</v>
      </c>
      <c r="I914" s="8">
        <f>40.4085 * CHOOSE(CONTROL!$C$15, $D$11, 100%, $F$11)</f>
        <v>40.408499999999997</v>
      </c>
      <c r="J914" s="4">
        <f>40.2808 * CHOOSE(CONTROL!$C$15, $D$11, 100%, $F$11)</f>
        <v>40.280799999999999</v>
      </c>
      <c r="K914" s="4"/>
      <c r="L914" s="9">
        <v>31.095300000000002</v>
      </c>
      <c r="M914" s="9">
        <v>12.063700000000001</v>
      </c>
      <c r="N914" s="9">
        <v>4.9444999999999997</v>
      </c>
      <c r="O914" s="9">
        <v>0.37409999999999999</v>
      </c>
      <c r="P914" s="9">
        <v>1.2183999999999999</v>
      </c>
      <c r="Q914" s="9">
        <v>19.688099999999999</v>
      </c>
      <c r="R914" s="9"/>
      <c r="S914" s="11"/>
    </row>
    <row r="915" spans="1:19" ht="15.75">
      <c r="A915" s="13">
        <v>69367</v>
      </c>
      <c r="B915" s="8">
        <f>45.277 * CHOOSE(CONTROL!$C$15, $D$11, 100%, $F$11)</f>
        <v>45.277000000000001</v>
      </c>
      <c r="C915" s="8">
        <f>45.2822 * CHOOSE(CONTROL!$C$15, $D$11, 100%, $F$11)</f>
        <v>45.282200000000003</v>
      </c>
      <c r="D915" s="8">
        <f>45.2714 * CHOOSE( CONTROL!$C$15, $D$11, 100%, $F$11)</f>
        <v>45.2714</v>
      </c>
      <c r="E915" s="12">
        <f>45.2748 * CHOOSE( CONTROL!$C$15, $D$11, 100%, $F$11)</f>
        <v>45.274799999999999</v>
      </c>
      <c r="F915" s="4">
        <f>45.9259 * CHOOSE(CONTROL!$C$15, $D$11, 100%, $F$11)</f>
        <v>45.925899999999999</v>
      </c>
      <c r="G915" s="8">
        <f>44.2153 * CHOOSE( CONTROL!$C$15, $D$11, 100%, $F$11)</f>
        <v>44.215299999999999</v>
      </c>
      <c r="H915" s="4">
        <f>45.0908 * CHOOSE(CONTROL!$C$15, $D$11, 100%, $F$11)</f>
        <v>45.090800000000002</v>
      </c>
      <c r="I915" s="8">
        <f>43.5981 * CHOOSE(CONTROL!$C$15, $D$11, 100%, $F$11)</f>
        <v>43.598100000000002</v>
      </c>
      <c r="J915" s="4">
        <f>43.4433 * CHOOSE(CONTROL!$C$15, $D$11, 100%, $F$11)</f>
        <v>43.443300000000001</v>
      </c>
      <c r="K915" s="4"/>
      <c r="L915" s="9">
        <v>28.360600000000002</v>
      </c>
      <c r="M915" s="9">
        <v>11.6745</v>
      </c>
      <c r="N915" s="9">
        <v>4.7850000000000001</v>
      </c>
      <c r="O915" s="9">
        <v>0.36199999999999999</v>
      </c>
      <c r="P915" s="9">
        <v>1.2509999999999999</v>
      </c>
      <c r="Q915" s="9">
        <v>19.053000000000001</v>
      </c>
      <c r="R915" s="9"/>
      <c r="S915" s="11"/>
    </row>
    <row r="916" spans="1:19" ht="15.75">
      <c r="A916" s="13">
        <v>69398</v>
      </c>
      <c r="B916" s="8">
        <f>45.1947 * CHOOSE(CONTROL!$C$15, $D$11, 100%, $F$11)</f>
        <v>45.194699999999997</v>
      </c>
      <c r="C916" s="8">
        <f>45.1999 * CHOOSE(CONTROL!$C$15, $D$11, 100%, $F$11)</f>
        <v>45.1999</v>
      </c>
      <c r="D916" s="8">
        <f>45.1905 * CHOOSE( CONTROL!$C$15, $D$11, 100%, $F$11)</f>
        <v>45.1905</v>
      </c>
      <c r="E916" s="12">
        <f>45.1934 * CHOOSE( CONTROL!$C$15, $D$11, 100%, $F$11)</f>
        <v>45.193399999999997</v>
      </c>
      <c r="F916" s="4">
        <f>45.8436 * CHOOSE(CONTROL!$C$15, $D$11, 100%, $F$11)</f>
        <v>45.843600000000002</v>
      </c>
      <c r="G916" s="8">
        <f>44.1359 * CHOOSE( CONTROL!$C$15, $D$11, 100%, $F$11)</f>
        <v>44.135899999999999</v>
      </c>
      <c r="H916" s="4">
        <f>45.0104 * CHOOSE(CONTROL!$C$15, $D$11, 100%, $F$11)</f>
        <v>45.010399999999997</v>
      </c>
      <c r="I916" s="8">
        <f>43.5233 * CHOOSE(CONTROL!$C$15, $D$11, 100%, $F$11)</f>
        <v>43.523299999999999</v>
      </c>
      <c r="J916" s="4">
        <f>43.3642 * CHOOSE(CONTROL!$C$15, $D$11, 100%, $F$11)</f>
        <v>43.364199999999997</v>
      </c>
      <c r="K916" s="4"/>
      <c r="L916" s="9">
        <v>29.306000000000001</v>
      </c>
      <c r="M916" s="9">
        <v>12.063700000000001</v>
      </c>
      <c r="N916" s="9">
        <v>4.9444999999999997</v>
      </c>
      <c r="O916" s="9">
        <v>0.37409999999999999</v>
      </c>
      <c r="P916" s="9">
        <v>1.2927</v>
      </c>
      <c r="Q916" s="9">
        <v>19.688099999999999</v>
      </c>
      <c r="R916" s="9"/>
      <c r="S916" s="11"/>
    </row>
    <row r="917" spans="1:19" ht="15.75">
      <c r="A917" s="13">
        <v>69429</v>
      </c>
      <c r="B917" s="8">
        <f>46.9209 * CHOOSE(CONTROL!$C$15, $D$11, 100%, $F$11)</f>
        <v>46.920900000000003</v>
      </c>
      <c r="C917" s="8">
        <f>46.9261 * CHOOSE(CONTROL!$C$15, $D$11, 100%, $F$11)</f>
        <v>46.926099999999998</v>
      </c>
      <c r="D917" s="8">
        <f>46.9126 * CHOOSE( CONTROL!$C$15, $D$11, 100%, $F$11)</f>
        <v>46.912599999999998</v>
      </c>
      <c r="E917" s="12">
        <f>46.917 * CHOOSE( CONTROL!$C$15, $D$11, 100%, $F$11)</f>
        <v>46.917000000000002</v>
      </c>
      <c r="F917" s="4">
        <f>47.5698 * CHOOSE(CONTROL!$C$15, $D$11, 100%, $F$11)</f>
        <v>47.569800000000001</v>
      </c>
      <c r="G917" s="8">
        <f>45.8156 * CHOOSE( CONTROL!$C$15, $D$11, 100%, $F$11)</f>
        <v>45.815600000000003</v>
      </c>
      <c r="H917" s="4">
        <f>46.6964 * CHOOSE(CONTROL!$C$15, $D$11, 100%, $F$11)</f>
        <v>46.696399999999997</v>
      </c>
      <c r="I917" s="8">
        <f>45.1578 * CHOOSE(CONTROL!$C$15, $D$11, 100%, $F$11)</f>
        <v>45.157800000000002</v>
      </c>
      <c r="J917" s="4">
        <f>45.0216 * CHOOSE(CONTROL!$C$15, $D$11, 100%, $F$11)</f>
        <v>45.021599999999999</v>
      </c>
      <c r="K917" s="4"/>
      <c r="L917" s="9">
        <v>29.306000000000001</v>
      </c>
      <c r="M917" s="9">
        <v>12.063700000000001</v>
      </c>
      <c r="N917" s="9">
        <v>4.9444999999999997</v>
      </c>
      <c r="O917" s="9">
        <v>0.37409999999999999</v>
      </c>
      <c r="P917" s="9">
        <v>1.2927</v>
      </c>
      <c r="Q917" s="9">
        <v>19.688099999999999</v>
      </c>
      <c r="R917" s="9"/>
      <c r="S917" s="11"/>
    </row>
    <row r="918" spans="1:19" ht="15.75">
      <c r="A918" s="13">
        <v>69457</v>
      </c>
      <c r="B918" s="8">
        <f>43.8894 * CHOOSE(CONTROL!$C$15, $D$11, 100%, $F$11)</f>
        <v>43.889400000000002</v>
      </c>
      <c r="C918" s="8">
        <f>43.8946 * CHOOSE(CONTROL!$C$15, $D$11, 100%, $F$11)</f>
        <v>43.894599999999997</v>
      </c>
      <c r="D918" s="8">
        <f>43.8811 * CHOOSE( CONTROL!$C$15, $D$11, 100%, $F$11)</f>
        <v>43.881100000000004</v>
      </c>
      <c r="E918" s="12">
        <f>43.8855 * CHOOSE( CONTROL!$C$15, $D$11, 100%, $F$11)</f>
        <v>43.8855</v>
      </c>
      <c r="F918" s="4">
        <f>44.5383 * CHOOSE(CONTROL!$C$15, $D$11, 100%, $F$11)</f>
        <v>44.5383</v>
      </c>
      <c r="G918" s="8">
        <f>42.8547 * CHOOSE( CONTROL!$C$15, $D$11, 100%, $F$11)</f>
        <v>42.854700000000001</v>
      </c>
      <c r="H918" s="4">
        <f>43.7355 * CHOOSE(CONTROL!$C$15, $D$11, 100%, $F$11)</f>
        <v>43.735500000000002</v>
      </c>
      <c r="I918" s="8">
        <f>42.2458 * CHOOSE(CONTROL!$C$15, $D$11, 100%, $F$11)</f>
        <v>42.245800000000003</v>
      </c>
      <c r="J918" s="4">
        <f>42.111 * CHOOSE(CONTROL!$C$15, $D$11, 100%, $F$11)</f>
        <v>42.110999999999997</v>
      </c>
      <c r="K918" s="4"/>
      <c r="L918" s="9">
        <v>26.469899999999999</v>
      </c>
      <c r="M918" s="9">
        <v>10.8962</v>
      </c>
      <c r="N918" s="9">
        <v>4.4660000000000002</v>
      </c>
      <c r="O918" s="9">
        <v>0.33789999999999998</v>
      </c>
      <c r="P918" s="9">
        <v>1.1676</v>
      </c>
      <c r="Q918" s="9">
        <v>17.782800000000002</v>
      </c>
      <c r="R918" s="9"/>
      <c r="S918" s="11"/>
    </row>
    <row r="919" spans="1:19" ht="15.75">
      <c r="A919" s="13">
        <v>69488</v>
      </c>
      <c r="B919" s="8">
        <f>42.9557 * CHOOSE(CONTROL!$C$15, $D$11, 100%, $F$11)</f>
        <v>42.9557</v>
      </c>
      <c r="C919" s="8">
        <f>42.9609 * CHOOSE(CONTROL!$C$15, $D$11, 100%, $F$11)</f>
        <v>42.960900000000002</v>
      </c>
      <c r="D919" s="8">
        <f>42.947 * CHOOSE( CONTROL!$C$15, $D$11, 100%, $F$11)</f>
        <v>42.947000000000003</v>
      </c>
      <c r="E919" s="12">
        <f>42.9515 * CHOOSE( CONTROL!$C$15, $D$11, 100%, $F$11)</f>
        <v>42.951500000000003</v>
      </c>
      <c r="F919" s="4">
        <f>43.6046 * CHOOSE(CONTROL!$C$15, $D$11, 100%, $F$11)</f>
        <v>43.604599999999998</v>
      </c>
      <c r="G919" s="8">
        <f>41.9425 * CHOOSE( CONTROL!$C$15, $D$11, 100%, $F$11)</f>
        <v>41.942500000000003</v>
      </c>
      <c r="H919" s="4">
        <f>42.8235 * CHOOSE(CONTROL!$C$15, $D$11, 100%, $F$11)</f>
        <v>42.823500000000003</v>
      </c>
      <c r="I919" s="8">
        <f>41.3479 * CHOOSE(CONTROL!$C$15, $D$11, 100%, $F$11)</f>
        <v>41.347900000000003</v>
      </c>
      <c r="J919" s="4">
        <f>41.2146 * CHOOSE(CONTROL!$C$15, $D$11, 100%, $F$11)</f>
        <v>41.214599999999997</v>
      </c>
      <c r="K919" s="4"/>
      <c r="L919" s="9">
        <v>29.306000000000001</v>
      </c>
      <c r="M919" s="9">
        <v>12.063700000000001</v>
      </c>
      <c r="N919" s="9">
        <v>4.9444999999999997</v>
      </c>
      <c r="O919" s="9">
        <v>0.37409999999999999</v>
      </c>
      <c r="P919" s="9">
        <v>1.2927</v>
      </c>
      <c r="Q919" s="9">
        <v>19.688099999999999</v>
      </c>
      <c r="R919" s="9"/>
      <c r="S919" s="11"/>
    </row>
    <row r="920" spans="1:19" ht="15.75">
      <c r="A920" s="13">
        <v>69518</v>
      </c>
      <c r="B920" s="8">
        <f>43.6089 * CHOOSE(CONTROL!$C$15, $D$11, 100%, $F$11)</f>
        <v>43.608899999999998</v>
      </c>
      <c r="C920" s="8">
        <f>43.6135 * CHOOSE(CONTROL!$C$15, $D$11, 100%, $F$11)</f>
        <v>43.613500000000002</v>
      </c>
      <c r="D920" s="8">
        <f>43.6398 * CHOOSE( CONTROL!$C$15, $D$11, 100%, $F$11)</f>
        <v>43.639800000000001</v>
      </c>
      <c r="E920" s="12">
        <f>43.6306 * CHOOSE( CONTROL!$C$15, $D$11, 100%, $F$11)</f>
        <v>43.630600000000001</v>
      </c>
      <c r="F920" s="4">
        <f>44.3081 * CHOOSE(CONTROL!$C$15, $D$11, 100%, $F$11)</f>
        <v>44.308100000000003</v>
      </c>
      <c r="G920" s="8">
        <f>42.5798 * CHOOSE( CONTROL!$C$15, $D$11, 100%, $F$11)</f>
        <v>42.579799999999999</v>
      </c>
      <c r="H920" s="4">
        <f>43.5106 * CHOOSE(CONTROL!$C$15, $D$11, 100%, $F$11)</f>
        <v>43.510599999999997</v>
      </c>
      <c r="I920" s="8">
        <f>41.9665 * CHOOSE(CONTROL!$C$15, $D$11, 100%, $F$11)</f>
        <v>41.966500000000003</v>
      </c>
      <c r="J920" s="4">
        <f>41.841 * CHOOSE(CONTROL!$C$15, $D$11, 100%, $F$11)</f>
        <v>41.841000000000001</v>
      </c>
      <c r="K920" s="4"/>
      <c r="L920" s="9">
        <v>30.092199999999998</v>
      </c>
      <c r="M920" s="9">
        <v>11.6745</v>
      </c>
      <c r="N920" s="9">
        <v>4.7850000000000001</v>
      </c>
      <c r="O920" s="9">
        <v>0.36199999999999999</v>
      </c>
      <c r="P920" s="9">
        <v>1.1791</v>
      </c>
      <c r="Q920" s="9">
        <v>19.053000000000001</v>
      </c>
      <c r="R920" s="9"/>
      <c r="S920" s="11"/>
    </row>
    <row r="921" spans="1:19" ht="15.75">
      <c r="A921" s="13">
        <v>69549</v>
      </c>
      <c r="B921" s="8">
        <f>CHOOSE( CONTROL!$C$32, 44.7763, 44.7715) * CHOOSE(CONTROL!$C$15, $D$11, 100%, $F$11)</f>
        <v>44.776299999999999</v>
      </c>
      <c r="C921" s="8">
        <f>CHOOSE( CONTROL!$C$32, 44.7844, 44.7796) * CHOOSE(CONTROL!$C$15, $D$11, 100%, $F$11)</f>
        <v>44.784399999999998</v>
      </c>
      <c r="D921" s="8">
        <f>CHOOSE( CONTROL!$C$32, 44.8057, 44.8009) * CHOOSE( CONTROL!$C$15, $D$11, 100%, $F$11)</f>
        <v>44.805700000000002</v>
      </c>
      <c r="E921" s="12">
        <f>CHOOSE( CONTROL!$C$32, 44.7967, 44.7919) * CHOOSE( CONTROL!$C$15, $D$11, 100%, $F$11)</f>
        <v>44.796700000000001</v>
      </c>
      <c r="F921" s="4">
        <f>CHOOSE( CONTROL!$C$32, 45.4741, 45.4693) * CHOOSE(CONTROL!$C$15, $D$11, 100%, $F$11)</f>
        <v>45.4741</v>
      </c>
      <c r="G921" s="8">
        <f>CHOOSE( CONTROL!$C$32, 43.7197, 43.715) * CHOOSE( CONTROL!$C$15, $D$11, 100%, $F$11)</f>
        <v>43.719700000000003</v>
      </c>
      <c r="H921" s="4">
        <f>CHOOSE( CONTROL!$C$32, 44.6495, 44.6448) * CHOOSE(CONTROL!$C$15, $D$11, 100%, $F$11)</f>
        <v>44.649500000000003</v>
      </c>
      <c r="I921" s="8">
        <f>CHOOSE( CONTROL!$C$32, 43.0865, 43.0819) * CHOOSE(CONTROL!$C$15, $D$11, 100%, $F$11)</f>
        <v>43.086500000000001</v>
      </c>
      <c r="J921" s="4">
        <f>CHOOSE( CONTROL!$C$32, 42.9605, 42.9559) * CHOOSE(CONTROL!$C$15, $D$11, 100%, $F$11)</f>
        <v>42.960500000000003</v>
      </c>
      <c r="K921" s="4"/>
      <c r="L921" s="9">
        <v>30.7165</v>
      </c>
      <c r="M921" s="9">
        <v>12.063700000000001</v>
      </c>
      <c r="N921" s="9">
        <v>4.9444999999999997</v>
      </c>
      <c r="O921" s="9">
        <v>0.37409999999999999</v>
      </c>
      <c r="P921" s="9">
        <v>1.2183999999999999</v>
      </c>
      <c r="Q921" s="9">
        <v>19.688099999999999</v>
      </c>
      <c r="R921" s="9"/>
      <c r="S921" s="11"/>
    </row>
    <row r="922" spans="1:19" ht="15.75">
      <c r="A922" s="13">
        <v>69579</v>
      </c>
      <c r="B922" s="8">
        <f>CHOOSE( CONTROL!$C$32, 44.057, 44.0522) * CHOOSE(CONTROL!$C$15, $D$11, 100%, $F$11)</f>
        <v>44.057000000000002</v>
      </c>
      <c r="C922" s="8">
        <f>CHOOSE( CONTROL!$C$32, 44.0651, 44.0602) * CHOOSE(CONTROL!$C$15, $D$11, 100%, $F$11)</f>
        <v>44.065100000000001</v>
      </c>
      <c r="D922" s="8">
        <f>CHOOSE( CONTROL!$C$32, 44.0866, 44.0817) * CHOOSE( CONTROL!$C$15, $D$11, 100%, $F$11)</f>
        <v>44.086599999999997</v>
      </c>
      <c r="E922" s="12">
        <f>CHOOSE( CONTROL!$C$32, 44.0776, 44.0727) * CHOOSE( CONTROL!$C$15, $D$11, 100%, $F$11)</f>
        <v>44.077599999999997</v>
      </c>
      <c r="F922" s="4">
        <f>CHOOSE( CONTROL!$C$32, 44.7548, 44.75) * CHOOSE(CONTROL!$C$15, $D$11, 100%, $F$11)</f>
        <v>44.754800000000003</v>
      </c>
      <c r="G922" s="8">
        <f>CHOOSE( CONTROL!$C$32, 43.0174, 43.0127) * CHOOSE( CONTROL!$C$15, $D$11, 100%, $F$11)</f>
        <v>43.017400000000002</v>
      </c>
      <c r="H922" s="4">
        <f>CHOOSE( CONTROL!$C$32, 43.9469, 43.9422) * CHOOSE(CONTROL!$C$15, $D$11, 100%, $F$11)</f>
        <v>43.946899999999999</v>
      </c>
      <c r="I922" s="8">
        <f>CHOOSE( CONTROL!$C$32, 42.3965, 42.3918) * CHOOSE(CONTROL!$C$15, $D$11, 100%, $F$11)</f>
        <v>42.396500000000003</v>
      </c>
      <c r="J922" s="4">
        <f>CHOOSE( CONTROL!$C$32, 42.2699, 42.2652) * CHOOSE(CONTROL!$C$15, $D$11, 100%, $F$11)</f>
        <v>42.2699</v>
      </c>
      <c r="K922" s="4"/>
      <c r="L922" s="9">
        <v>29.7257</v>
      </c>
      <c r="M922" s="9">
        <v>11.6745</v>
      </c>
      <c r="N922" s="9">
        <v>4.7850000000000001</v>
      </c>
      <c r="O922" s="9">
        <v>0.36199999999999999</v>
      </c>
      <c r="P922" s="9">
        <v>1.1791</v>
      </c>
      <c r="Q922" s="9">
        <v>19.053000000000001</v>
      </c>
      <c r="R922" s="9"/>
      <c r="S922" s="11"/>
    </row>
    <row r="923" spans="1:19" ht="15.75">
      <c r="A923" s="13">
        <v>69610</v>
      </c>
      <c r="B923" s="8">
        <f>CHOOSE( CONTROL!$C$32, 45.9513, 45.9464) * CHOOSE(CONTROL!$C$15, $D$11, 100%, $F$11)</f>
        <v>45.951300000000003</v>
      </c>
      <c r="C923" s="8">
        <f>CHOOSE( CONTROL!$C$32, 45.9593, 45.9545) * CHOOSE(CONTROL!$C$15, $D$11, 100%, $F$11)</f>
        <v>45.959299999999999</v>
      </c>
      <c r="D923" s="8">
        <f>CHOOSE( CONTROL!$C$32, 45.9811, 45.9762) * CHOOSE( CONTROL!$C$15, $D$11, 100%, $F$11)</f>
        <v>45.981099999999998</v>
      </c>
      <c r="E923" s="12">
        <f>CHOOSE( CONTROL!$C$32, 45.972, 45.9671) * CHOOSE( CONTROL!$C$15, $D$11, 100%, $F$11)</f>
        <v>45.972000000000001</v>
      </c>
      <c r="F923" s="4">
        <f>CHOOSE( CONTROL!$C$32, 46.6491, 46.6442) * CHOOSE(CONTROL!$C$15, $D$11, 100%, $F$11)</f>
        <v>46.649099999999997</v>
      </c>
      <c r="G923" s="8">
        <f>CHOOSE( CONTROL!$C$32, 44.8679, 44.8632) * CHOOSE( CONTROL!$C$15, $D$11, 100%, $F$11)</f>
        <v>44.867899999999999</v>
      </c>
      <c r="H923" s="4">
        <f>CHOOSE( CONTROL!$C$32, 45.7971, 45.7924) * CHOOSE(CONTROL!$C$15, $D$11, 100%, $F$11)</f>
        <v>45.7971</v>
      </c>
      <c r="I923" s="8">
        <f>CHOOSE( CONTROL!$C$32, 44.2172, 44.2125) * CHOOSE(CONTROL!$C$15, $D$11, 100%, $F$11)</f>
        <v>44.217199999999998</v>
      </c>
      <c r="J923" s="4">
        <f>CHOOSE( CONTROL!$C$32, 44.0886, 44.0839) * CHOOSE(CONTROL!$C$15, $D$11, 100%, $F$11)</f>
        <v>44.0886</v>
      </c>
      <c r="K923" s="4"/>
      <c r="L923" s="9">
        <v>30.7165</v>
      </c>
      <c r="M923" s="9">
        <v>12.063700000000001</v>
      </c>
      <c r="N923" s="9">
        <v>4.9444999999999997</v>
      </c>
      <c r="O923" s="9">
        <v>0.37409999999999999</v>
      </c>
      <c r="P923" s="9">
        <v>1.2183999999999999</v>
      </c>
      <c r="Q923" s="9">
        <v>19.688099999999999</v>
      </c>
      <c r="R923" s="9"/>
      <c r="S923" s="11"/>
    </row>
    <row r="924" spans="1:19" ht="15.75">
      <c r="A924" s="13">
        <v>69641</v>
      </c>
      <c r="B924" s="8">
        <f>CHOOSE( CONTROL!$C$32, 42.4069, 42.402) * CHOOSE(CONTROL!$C$15, $D$11, 100%, $F$11)</f>
        <v>42.4069</v>
      </c>
      <c r="C924" s="8">
        <f>CHOOSE( CONTROL!$C$32, 42.415, 42.4101) * CHOOSE(CONTROL!$C$15, $D$11, 100%, $F$11)</f>
        <v>42.414999999999999</v>
      </c>
      <c r="D924" s="8">
        <f>CHOOSE( CONTROL!$C$32, 42.4368, 42.4319) * CHOOSE( CONTROL!$C$15, $D$11, 100%, $F$11)</f>
        <v>42.436799999999998</v>
      </c>
      <c r="E924" s="12">
        <f>CHOOSE( CONTROL!$C$32, 42.4277, 42.4228) * CHOOSE( CONTROL!$C$15, $D$11, 100%, $F$11)</f>
        <v>42.427700000000002</v>
      </c>
      <c r="F924" s="4">
        <f>CHOOSE( CONTROL!$C$32, 43.1047, 43.0999) * CHOOSE(CONTROL!$C$15, $D$11, 100%, $F$11)</f>
        <v>43.104700000000001</v>
      </c>
      <c r="G924" s="8">
        <f>CHOOSE( CONTROL!$C$32, 41.4062, 41.4014) * CHOOSE( CONTROL!$C$15, $D$11, 100%, $F$11)</f>
        <v>41.406199999999998</v>
      </c>
      <c r="H924" s="4">
        <f>CHOOSE( CONTROL!$C$32, 42.3353, 42.3306) * CHOOSE(CONTROL!$C$15, $D$11, 100%, $F$11)</f>
        <v>42.335299999999997</v>
      </c>
      <c r="I924" s="8">
        <f>CHOOSE( CONTROL!$C$32, 40.8128, 40.8082) * CHOOSE(CONTROL!$C$15, $D$11, 100%, $F$11)</f>
        <v>40.812800000000003</v>
      </c>
      <c r="J924" s="4">
        <f>CHOOSE( CONTROL!$C$32, 40.6856, 40.681) * CHOOSE(CONTROL!$C$15, $D$11, 100%, $F$11)</f>
        <v>40.685600000000001</v>
      </c>
      <c r="K924" s="4"/>
      <c r="L924" s="9">
        <v>30.7165</v>
      </c>
      <c r="M924" s="9">
        <v>12.063700000000001</v>
      </c>
      <c r="N924" s="9">
        <v>4.9444999999999997</v>
      </c>
      <c r="O924" s="9">
        <v>0.37409999999999999</v>
      </c>
      <c r="P924" s="9">
        <v>1.2183999999999999</v>
      </c>
      <c r="Q924" s="9">
        <v>19.688099999999999</v>
      </c>
      <c r="R924" s="9"/>
      <c r="S924" s="11"/>
    </row>
    <row r="925" spans="1:19" ht="15.75">
      <c r="A925" s="13">
        <v>69671</v>
      </c>
      <c r="B925" s="8">
        <f>CHOOSE( CONTROL!$C$32, 41.5193, 41.5145) * CHOOSE(CONTROL!$C$15, $D$11, 100%, $F$11)</f>
        <v>41.519300000000001</v>
      </c>
      <c r="C925" s="8">
        <f>CHOOSE( CONTROL!$C$32, 41.5274, 41.5226) * CHOOSE(CONTROL!$C$15, $D$11, 100%, $F$11)</f>
        <v>41.5274</v>
      </c>
      <c r="D925" s="8">
        <f>CHOOSE( CONTROL!$C$32, 41.5492, 41.5444) * CHOOSE( CONTROL!$C$15, $D$11, 100%, $F$11)</f>
        <v>41.549199999999999</v>
      </c>
      <c r="E925" s="12">
        <f>CHOOSE( CONTROL!$C$32, 41.5401, 41.5353) * CHOOSE( CONTROL!$C$15, $D$11, 100%, $F$11)</f>
        <v>41.540100000000002</v>
      </c>
      <c r="F925" s="4">
        <f>CHOOSE( CONTROL!$C$32, 42.2171, 42.2123) * CHOOSE(CONTROL!$C$15, $D$11, 100%, $F$11)</f>
        <v>42.217100000000002</v>
      </c>
      <c r="G925" s="8">
        <f>CHOOSE( CONTROL!$C$32, 40.5393, 40.5345) * CHOOSE( CONTROL!$C$15, $D$11, 100%, $F$11)</f>
        <v>40.539299999999997</v>
      </c>
      <c r="H925" s="4">
        <f>CHOOSE( CONTROL!$C$32, 41.4684, 41.4637) * CHOOSE(CONTROL!$C$15, $D$11, 100%, $F$11)</f>
        <v>41.468400000000003</v>
      </c>
      <c r="I925" s="8">
        <f>CHOOSE( CONTROL!$C$32, 39.9601, 39.9555) * CHOOSE(CONTROL!$C$15, $D$11, 100%, $F$11)</f>
        <v>39.960099999999997</v>
      </c>
      <c r="J925" s="4">
        <f>CHOOSE( CONTROL!$C$32, 39.8335, 39.8288) * CHOOSE(CONTROL!$C$15, $D$11, 100%, $F$11)</f>
        <v>39.833500000000001</v>
      </c>
      <c r="K925" s="4"/>
      <c r="L925" s="9">
        <v>29.7257</v>
      </c>
      <c r="M925" s="9">
        <v>11.6745</v>
      </c>
      <c r="N925" s="9">
        <v>4.7850000000000001</v>
      </c>
      <c r="O925" s="9">
        <v>0.36199999999999999</v>
      </c>
      <c r="P925" s="9">
        <v>1.1791</v>
      </c>
      <c r="Q925" s="9">
        <v>19.053000000000001</v>
      </c>
      <c r="R925" s="9"/>
      <c r="S925" s="11"/>
    </row>
    <row r="926" spans="1:19" ht="15.75">
      <c r="A926" s="13">
        <v>69702</v>
      </c>
      <c r="B926" s="8">
        <f>43.3556 * CHOOSE(CONTROL!$C$15, $D$11, 100%, $F$11)</f>
        <v>43.355600000000003</v>
      </c>
      <c r="C926" s="8">
        <f>43.3611 * CHOOSE(CONTROL!$C$15, $D$11, 100%, $F$11)</f>
        <v>43.3611</v>
      </c>
      <c r="D926" s="8">
        <f>43.3875 * CHOOSE( CONTROL!$C$15, $D$11, 100%, $F$11)</f>
        <v>43.387500000000003</v>
      </c>
      <c r="E926" s="12">
        <f>43.3782 * CHOOSE( CONTROL!$C$15, $D$11, 100%, $F$11)</f>
        <v>43.3782</v>
      </c>
      <c r="F926" s="4">
        <f>44.0552 * CHOOSE(CONTROL!$C$15, $D$11, 100%, $F$11)</f>
        <v>44.055199999999999</v>
      </c>
      <c r="G926" s="8">
        <f>42.3337 * CHOOSE( CONTROL!$C$15, $D$11, 100%, $F$11)</f>
        <v>42.3337</v>
      </c>
      <c r="H926" s="4">
        <f>43.2636 * CHOOSE(CONTROL!$C$15, $D$11, 100%, $F$11)</f>
        <v>43.263599999999997</v>
      </c>
      <c r="I926" s="8">
        <f>41.7265 * CHOOSE(CONTROL!$C$15, $D$11, 100%, $F$11)</f>
        <v>41.726500000000001</v>
      </c>
      <c r="J926" s="4">
        <f>41.5982 * CHOOSE(CONTROL!$C$15, $D$11, 100%, $F$11)</f>
        <v>41.598199999999999</v>
      </c>
      <c r="K926" s="4"/>
      <c r="L926" s="9">
        <v>31.095300000000002</v>
      </c>
      <c r="M926" s="9">
        <v>12.063700000000001</v>
      </c>
      <c r="N926" s="9">
        <v>4.9444999999999997</v>
      </c>
      <c r="O926" s="9">
        <v>0.37409999999999999</v>
      </c>
      <c r="P926" s="9">
        <v>1.2183999999999999</v>
      </c>
      <c r="Q926" s="9">
        <v>19.688099999999999</v>
      </c>
      <c r="R926" s="9"/>
      <c r="S926" s="11"/>
    </row>
    <row r="927" spans="1:19" ht="15.75">
      <c r="A927" s="13">
        <v>69732</v>
      </c>
      <c r="B927" s="8">
        <f>46.7568 * CHOOSE(CONTROL!$C$15, $D$11, 100%, $F$11)</f>
        <v>46.756799999999998</v>
      </c>
      <c r="C927" s="8">
        <f>46.762 * CHOOSE(CONTROL!$C$15, $D$11, 100%, $F$11)</f>
        <v>46.762</v>
      </c>
      <c r="D927" s="8">
        <f>46.7512 * CHOOSE( CONTROL!$C$15, $D$11, 100%, $F$11)</f>
        <v>46.751199999999997</v>
      </c>
      <c r="E927" s="12">
        <f>46.7546 * CHOOSE( CONTROL!$C$15, $D$11, 100%, $F$11)</f>
        <v>46.754600000000003</v>
      </c>
      <c r="F927" s="4">
        <f>47.4057 * CHOOSE(CONTROL!$C$15, $D$11, 100%, $F$11)</f>
        <v>47.405700000000003</v>
      </c>
      <c r="G927" s="8">
        <f>45.6606 * CHOOSE( CONTROL!$C$15, $D$11, 100%, $F$11)</f>
        <v>45.660600000000002</v>
      </c>
      <c r="H927" s="4">
        <f>46.5361 * CHOOSE(CONTROL!$C$15, $D$11, 100%, $F$11)</f>
        <v>46.536099999999998</v>
      </c>
      <c r="I927" s="8">
        <f>45.0195 * CHOOSE(CONTROL!$C$15, $D$11, 100%, $F$11)</f>
        <v>45.019500000000001</v>
      </c>
      <c r="J927" s="4">
        <f>44.864 * CHOOSE(CONTROL!$C$15, $D$11, 100%, $F$11)</f>
        <v>44.863999999999997</v>
      </c>
      <c r="K927" s="4"/>
      <c r="L927" s="9">
        <v>28.360600000000002</v>
      </c>
      <c r="M927" s="9">
        <v>11.6745</v>
      </c>
      <c r="N927" s="9">
        <v>4.7850000000000001</v>
      </c>
      <c r="O927" s="9">
        <v>0.36199999999999999</v>
      </c>
      <c r="P927" s="9">
        <v>1.2509999999999999</v>
      </c>
      <c r="Q927" s="9">
        <v>19.053000000000001</v>
      </c>
      <c r="R927" s="9"/>
      <c r="S927" s="11"/>
    </row>
    <row r="928" spans="1:19" ht="15.75">
      <c r="A928" s="13">
        <v>69763</v>
      </c>
      <c r="B928" s="8">
        <f>46.6718 * CHOOSE(CONTROL!$C$15, $D$11, 100%, $F$11)</f>
        <v>46.671799999999998</v>
      </c>
      <c r="C928" s="8">
        <f>46.677 * CHOOSE(CONTROL!$C$15, $D$11, 100%, $F$11)</f>
        <v>46.677</v>
      </c>
      <c r="D928" s="8">
        <f>46.6676 * CHOOSE( CONTROL!$C$15, $D$11, 100%, $F$11)</f>
        <v>46.6676</v>
      </c>
      <c r="E928" s="12">
        <f>46.6705 * CHOOSE( CONTROL!$C$15, $D$11, 100%, $F$11)</f>
        <v>46.670499999999997</v>
      </c>
      <c r="F928" s="4">
        <f>47.3207 * CHOOSE(CONTROL!$C$15, $D$11, 100%, $F$11)</f>
        <v>47.320700000000002</v>
      </c>
      <c r="G928" s="8">
        <f>45.5786 * CHOOSE( CONTROL!$C$15, $D$11, 100%, $F$11)</f>
        <v>45.578600000000002</v>
      </c>
      <c r="H928" s="4">
        <f>46.4531 * CHOOSE(CONTROL!$C$15, $D$11, 100%, $F$11)</f>
        <v>46.453099999999999</v>
      </c>
      <c r="I928" s="8">
        <f>44.9422 * CHOOSE(CONTROL!$C$15, $D$11, 100%, $F$11)</f>
        <v>44.9422</v>
      </c>
      <c r="J928" s="4">
        <f>44.7824 * CHOOSE(CONTROL!$C$15, $D$11, 100%, $F$11)</f>
        <v>44.782400000000003</v>
      </c>
      <c r="K928" s="4"/>
      <c r="L928" s="9">
        <v>29.306000000000001</v>
      </c>
      <c r="M928" s="9">
        <v>12.063700000000001</v>
      </c>
      <c r="N928" s="9">
        <v>4.9444999999999997</v>
      </c>
      <c r="O928" s="9">
        <v>0.37409999999999999</v>
      </c>
      <c r="P928" s="9">
        <v>1.2927</v>
      </c>
      <c r="Q928" s="9">
        <v>19.688099999999999</v>
      </c>
      <c r="R928" s="9"/>
      <c r="S928" s="11"/>
    </row>
    <row r="929" spans="1:19" ht="15.75">
      <c r="A929" s="13">
        <v>69794</v>
      </c>
      <c r="B929" s="8">
        <f>48.4545 * CHOOSE(CONTROL!$C$15, $D$11, 100%, $F$11)</f>
        <v>48.454500000000003</v>
      </c>
      <c r="C929" s="8">
        <f>48.4597 * CHOOSE(CONTROL!$C$15, $D$11, 100%, $F$11)</f>
        <v>48.459699999999998</v>
      </c>
      <c r="D929" s="8">
        <f>48.4461 * CHOOSE( CONTROL!$C$15, $D$11, 100%, $F$11)</f>
        <v>48.446100000000001</v>
      </c>
      <c r="E929" s="12">
        <f>48.4505 * CHOOSE( CONTROL!$C$15, $D$11, 100%, $F$11)</f>
        <v>48.450499999999998</v>
      </c>
      <c r="F929" s="4">
        <f>49.1034 * CHOOSE(CONTROL!$C$15, $D$11, 100%, $F$11)</f>
        <v>49.103400000000001</v>
      </c>
      <c r="G929" s="8">
        <f>47.3135 * CHOOSE( CONTROL!$C$15, $D$11, 100%, $F$11)</f>
        <v>47.313499999999998</v>
      </c>
      <c r="H929" s="4">
        <f>48.1942 * CHOOSE(CONTROL!$C$15, $D$11, 100%, $F$11)</f>
        <v>48.194200000000002</v>
      </c>
      <c r="I929" s="8">
        <f>46.6309 * CHOOSE(CONTROL!$C$15, $D$11, 100%, $F$11)</f>
        <v>46.630899999999997</v>
      </c>
      <c r="J929" s="4">
        <f>46.494 * CHOOSE(CONTROL!$C$15, $D$11, 100%, $F$11)</f>
        <v>46.494</v>
      </c>
      <c r="K929" s="4"/>
      <c r="L929" s="9">
        <v>29.306000000000001</v>
      </c>
      <c r="M929" s="9">
        <v>12.063700000000001</v>
      </c>
      <c r="N929" s="9">
        <v>4.9444999999999997</v>
      </c>
      <c r="O929" s="9">
        <v>0.37409999999999999</v>
      </c>
      <c r="P929" s="9">
        <v>1.2927</v>
      </c>
      <c r="Q929" s="9">
        <v>19.688099999999999</v>
      </c>
      <c r="R929" s="9"/>
      <c r="S929" s="11"/>
    </row>
    <row r="930" spans="1:19" ht="15.75">
      <c r="A930" s="13">
        <v>69822</v>
      </c>
      <c r="B930" s="8">
        <f>45.3238 * CHOOSE(CONTROL!$C$15, $D$11, 100%, $F$11)</f>
        <v>45.323799999999999</v>
      </c>
      <c r="C930" s="8">
        <f>45.329 * CHOOSE(CONTROL!$C$15, $D$11, 100%, $F$11)</f>
        <v>45.329000000000001</v>
      </c>
      <c r="D930" s="8">
        <f>45.3155 * CHOOSE( CONTROL!$C$15, $D$11, 100%, $F$11)</f>
        <v>45.3155</v>
      </c>
      <c r="E930" s="12">
        <f>45.3199 * CHOOSE( CONTROL!$C$15, $D$11, 100%, $F$11)</f>
        <v>45.319899999999997</v>
      </c>
      <c r="F930" s="4">
        <f>45.9727 * CHOOSE(CONTROL!$C$15, $D$11, 100%, $F$11)</f>
        <v>45.972700000000003</v>
      </c>
      <c r="G930" s="8">
        <f>44.2557 * CHOOSE( CONTROL!$C$15, $D$11, 100%, $F$11)</f>
        <v>44.255699999999997</v>
      </c>
      <c r="H930" s="4">
        <f>45.1365 * CHOOSE(CONTROL!$C$15, $D$11, 100%, $F$11)</f>
        <v>45.136499999999998</v>
      </c>
      <c r="I930" s="8">
        <f>43.6237 * CHOOSE(CONTROL!$C$15, $D$11, 100%, $F$11)</f>
        <v>43.623699999999999</v>
      </c>
      <c r="J930" s="4">
        <f>43.4882 * CHOOSE(CONTROL!$C$15, $D$11, 100%, $F$11)</f>
        <v>43.488199999999999</v>
      </c>
      <c r="K930" s="4"/>
      <c r="L930" s="9">
        <v>26.469899999999999</v>
      </c>
      <c r="M930" s="9">
        <v>10.8962</v>
      </c>
      <c r="N930" s="9">
        <v>4.4660000000000002</v>
      </c>
      <c r="O930" s="9">
        <v>0.33789999999999998</v>
      </c>
      <c r="P930" s="9">
        <v>1.1676</v>
      </c>
      <c r="Q930" s="9">
        <v>17.782800000000002</v>
      </c>
      <c r="R930" s="9"/>
      <c r="S930" s="11"/>
    </row>
    <row r="931" spans="1:19" ht="15.75">
      <c r="A931" s="13">
        <v>69853</v>
      </c>
      <c r="B931" s="8">
        <f>44.3596 * CHOOSE(CONTROL!$C$15, $D$11, 100%, $F$11)</f>
        <v>44.3596</v>
      </c>
      <c r="C931" s="8">
        <f>44.3648 * CHOOSE(CONTROL!$C$15, $D$11, 100%, $F$11)</f>
        <v>44.364800000000002</v>
      </c>
      <c r="D931" s="8">
        <f>44.3509 * CHOOSE( CONTROL!$C$15, $D$11, 100%, $F$11)</f>
        <v>44.350900000000003</v>
      </c>
      <c r="E931" s="12">
        <f>44.3554 * CHOOSE( CONTROL!$C$15, $D$11, 100%, $F$11)</f>
        <v>44.355400000000003</v>
      </c>
      <c r="F931" s="4">
        <f>45.0085 * CHOOSE(CONTROL!$C$15, $D$11, 100%, $F$11)</f>
        <v>45.008499999999998</v>
      </c>
      <c r="G931" s="8">
        <f>43.3137 * CHOOSE( CONTROL!$C$15, $D$11, 100%, $F$11)</f>
        <v>43.313699999999997</v>
      </c>
      <c r="H931" s="4">
        <f>44.1947 * CHOOSE(CONTROL!$C$15, $D$11, 100%, $F$11)</f>
        <v>44.194699999999997</v>
      </c>
      <c r="I931" s="8">
        <f>42.6964 * CHOOSE(CONTROL!$C$15, $D$11, 100%, $F$11)</f>
        <v>42.696399999999997</v>
      </c>
      <c r="J931" s="4">
        <f>42.5625 * CHOOSE(CONTROL!$C$15, $D$11, 100%, $F$11)</f>
        <v>42.5625</v>
      </c>
      <c r="K931" s="4"/>
      <c r="L931" s="9">
        <v>29.306000000000001</v>
      </c>
      <c r="M931" s="9">
        <v>12.063700000000001</v>
      </c>
      <c r="N931" s="9">
        <v>4.9444999999999997</v>
      </c>
      <c r="O931" s="9">
        <v>0.37409999999999999</v>
      </c>
      <c r="P931" s="9">
        <v>1.2927</v>
      </c>
      <c r="Q931" s="9">
        <v>19.688099999999999</v>
      </c>
      <c r="R931" s="9"/>
      <c r="S931" s="11"/>
    </row>
    <row r="932" spans="1:19" ht="15.75">
      <c r="A932" s="13">
        <v>69883</v>
      </c>
      <c r="B932" s="8">
        <f>45.0341 * CHOOSE(CONTROL!$C$15, $D$11, 100%, $F$11)</f>
        <v>45.034100000000002</v>
      </c>
      <c r="C932" s="8">
        <f>45.0387 * CHOOSE(CONTROL!$C$15, $D$11, 100%, $F$11)</f>
        <v>45.038699999999999</v>
      </c>
      <c r="D932" s="8">
        <f>45.065 * CHOOSE( CONTROL!$C$15, $D$11, 100%, $F$11)</f>
        <v>45.064999999999998</v>
      </c>
      <c r="E932" s="12">
        <f>45.0558 * CHOOSE( CONTROL!$C$15, $D$11, 100%, $F$11)</f>
        <v>45.055799999999998</v>
      </c>
      <c r="F932" s="4">
        <f>45.7333 * CHOOSE(CONTROL!$C$15, $D$11, 100%, $F$11)</f>
        <v>45.7333</v>
      </c>
      <c r="G932" s="8">
        <f>43.9718 * CHOOSE( CONTROL!$C$15, $D$11, 100%, $F$11)</f>
        <v>43.971800000000002</v>
      </c>
      <c r="H932" s="4">
        <f>44.9027 * CHOOSE(CONTROL!$C$15, $D$11, 100%, $F$11)</f>
        <v>44.902700000000003</v>
      </c>
      <c r="I932" s="8">
        <f>43.3355 * CHOOSE(CONTROL!$C$15, $D$11, 100%, $F$11)</f>
        <v>43.335500000000003</v>
      </c>
      <c r="J932" s="4">
        <f>43.2094 * CHOOSE(CONTROL!$C$15, $D$11, 100%, $F$11)</f>
        <v>43.209400000000002</v>
      </c>
      <c r="K932" s="4"/>
      <c r="L932" s="9">
        <v>30.092199999999998</v>
      </c>
      <c r="M932" s="9">
        <v>11.6745</v>
      </c>
      <c r="N932" s="9">
        <v>4.7850000000000001</v>
      </c>
      <c r="O932" s="9">
        <v>0.36199999999999999</v>
      </c>
      <c r="P932" s="9">
        <v>1.1791</v>
      </c>
      <c r="Q932" s="9">
        <v>19.053000000000001</v>
      </c>
      <c r="R932" s="9"/>
      <c r="S932" s="11"/>
    </row>
    <row r="933" spans="1:19" ht="15.75">
      <c r="A933" s="13">
        <v>69914</v>
      </c>
      <c r="B933" s="8">
        <f>CHOOSE( CONTROL!$C$32, 46.2395, 46.2347) * CHOOSE(CONTROL!$C$15, $D$11, 100%, $F$11)</f>
        <v>46.2395</v>
      </c>
      <c r="C933" s="8">
        <f>CHOOSE( CONTROL!$C$32, 46.2476, 46.2428) * CHOOSE(CONTROL!$C$15, $D$11, 100%, $F$11)</f>
        <v>46.247599999999998</v>
      </c>
      <c r="D933" s="8">
        <f>CHOOSE( CONTROL!$C$32, 46.2689, 46.2641) * CHOOSE( CONTROL!$C$15, $D$11, 100%, $F$11)</f>
        <v>46.268900000000002</v>
      </c>
      <c r="E933" s="12">
        <f>CHOOSE( CONTROL!$C$32, 46.2599, 46.2551) * CHOOSE( CONTROL!$C$15, $D$11, 100%, $F$11)</f>
        <v>46.259900000000002</v>
      </c>
      <c r="F933" s="4">
        <f>CHOOSE( CONTROL!$C$32, 46.9373, 46.9325) * CHOOSE(CONTROL!$C$15, $D$11, 100%, $F$11)</f>
        <v>46.9373</v>
      </c>
      <c r="G933" s="8">
        <f>CHOOSE( CONTROL!$C$32, 45.1488, 45.1441) * CHOOSE( CONTROL!$C$15, $D$11, 100%, $F$11)</f>
        <v>45.148800000000001</v>
      </c>
      <c r="H933" s="4">
        <f>CHOOSE( CONTROL!$C$32, 46.0786, 46.0739) * CHOOSE(CONTROL!$C$15, $D$11, 100%, $F$11)</f>
        <v>46.078600000000002</v>
      </c>
      <c r="I933" s="8">
        <f>CHOOSE( CONTROL!$C$32, 44.492, 44.4874) * CHOOSE(CONTROL!$C$15, $D$11, 100%, $F$11)</f>
        <v>44.491999999999997</v>
      </c>
      <c r="J933" s="4">
        <f>CHOOSE( CONTROL!$C$32, 44.3653, 44.3607) * CHOOSE(CONTROL!$C$15, $D$11, 100%, $F$11)</f>
        <v>44.365299999999998</v>
      </c>
      <c r="K933" s="4"/>
      <c r="L933" s="9">
        <v>30.7165</v>
      </c>
      <c r="M933" s="9">
        <v>12.063700000000001</v>
      </c>
      <c r="N933" s="9">
        <v>4.9444999999999997</v>
      </c>
      <c r="O933" s="9">
        <v>0.37409999999999999</v>
      </c>
      <c r="P933" s="9">
        <v>1.2183999999999999</v>
      </c>
      <c r="Q933" s="9">
        <v>19.688099999999999</v>
      </c>
      <c r="R933" s="9"/>
      <c r="S933" s="11"/>
    </row>
    <row r="934" spans="1:19" ht="15.75">
      <c r="A934" s="13">
        <v>69944</v>
      </c>
      <c r="B934" s="8">
        <f>CHOOSE( CONTROL!$C$32, 45.4967, 45.4918) * CHOOSE(CONTROL!$C$15, $D$11, 100%, $F$11)</f>
        <v>45.496699999999997</v>
      </c>
      <c r="C934" s="8">
        <f>CHOOSE( CONTROL!$C$32, 45.5047, 45.4999) * CHOOSE(CONTROL!$C$15, $D$11, 100%, $F$11)</f>
        <v>45.5047</v>
      </c>
      <c r="D934" s="8">
        <f>CHOOSE( CONTROL!$C$32, 45.5263, 45.5214) * CHOOSE( CONTROL!$C$15, $D$11, 100%, $F$11)</f>
        <v>45.526299999999999</v>
      </c>
      <c r="E934" s="12">
        <f>CHOOSE( CONTROL!$C$32, 45.5173, 45.5124) * CHOOSE( CONTROL!$C$15, $D$11, 100%, $F$11)</f>
        <v>45.517299999999999</v>
      </c>
      <c r="F934" s="4">
        <f>CHOOSE( CONTROL!$C$32, 46.1945, 46.1896) * CHOOSE(CONTROL!$C$15, $D$11, 100%, $F$11)</f>
        <v>46.194499999999998</v>
      </c>
      <c r="G934" s="8">
        <f>CHOOSE( CONTROL!$C$32, 44.4235, 44.4188) * CHOOSE( CONTROL!$C$15, $D$11, 100%, $F$11)</f>
        <v>44.423499999999997</v>
      </c>
      <c r="H934" s="4">
        <f>CHOOSE( CONTROL!$C$32, 45.3531, 45.3484) * CHOOSE(CONTROL!$C$15, $D$11, 100%, $F$11)</f>
        <v>45.353099999999998</v>
      </c>
      <c r="I934" s="8">
        <f>CHOOSE( CONTROL!$C$32, 43.7794, 43.7747) * CHOOSE(CONTROL!$C$15, $D$11, 100%, $F$11)</f>
        <v>43.779400000000003</v>
      </c>
      <c r="J934" s="4">
        <f>CHOOSE( CONTROL!$C$32, 43.6521, 43.6475) * CHOOSE(CONTROL!$C$15, $D$11, 100%, $F$11)</f>
        <v>43.652099999999997</v>
      </c>
      <c r="K934" s="4"/>
      <c r="L934" s="9">
        <v>29.7257</v>
      </c>
      <c r="M934" s="9">
        <v>11.6745</v>
      </c>
      <c r="N934" s="9">
        <v>4.7850000000000001</v>
      </c>
      <c r="O934" s="9">
        <v>0.36199999999999999</v>
      </c>
      <c r="P934" s="9">
        <v>1.1791</v>
      </c>
      <c r="Q934" s="9">
        <v>19.053000000000001</v>
      </c>
      <c r="R934" s="9"/>
      <c r="S934" s="11"/>
    </row>
    <row r="935" spans="1:19" ht="15.75">
      <c r="A935" s="13">
        <v>69975</v>
      </c>
      <c r="B935" s="8">
        <f>CHOOSE( CONTROL!$C$32, 47.4529, 47.448) * CHOOSE(CONTROL!$C$15, $D$11, 100%, $F$11)</f>
        <v>47.4529</v>
      </c>
      <c r="C935" s="8">
        <f>CHOOSE( CONTROL!$C$32, 47.461, 47.4561) * CHOOSE(CONTROL!$C$15, $D$11, 100%, $F$11)</f>
        <v>47.460999999999999</v>
      </c>
      <c r="D935" s="8">
        <f>CHOOSE( CONTROL!$C$32, 47.4827, 47.4779) * CHOOSE( CONTROL!$C$15, $D$11, 100%, $F$11)</f>
        <v>47.482700000000001</v>
      </c>
      <c r="E935" s="12">
        <f>CHOOSE( CONTROL!$C$32, 47.4736, 47.4688) * CHOOSE( CONTROL!$C$15, $D$11, 100%, $F$11)</f>
        <v>47.473599999999998</v>
      </c>
      <c r="F935" s="4">
        <f>CHOOSE( CONTROL!$C$32, 48.1507, 48.1459) * CHOOSE(CONTROL!$C$15, $D$11, 100%, $F$11)</f>
        <v>48.150700000000001</v>
      </c>
      <c r="G935" s="8">
        <f>CHOOSE( CONTROL!$C$32, 46.3345, 46.3298) * CHOOSE( CONTROL!$C$15, $D$11, 100%, $F$11)</f>
        <v>46.334499999999998</v>
      </c>
      <c r="H935" s="4">
        <f>CHOOSE( CONTROL!$C$32, 47.2637, 47.259) * CHOOSE(CONTROL!$C$15, $D$11, 100%, $F$11)</f>
        <v>47.2637</v>
      </c>
      <c r="I935" s="8">
        <f>CHOOSE( CONTROL!$C$32, 45.6596, 45.655) * CHOOSE(CONTROL!$C$15, $D$11, 100%, $F$11)</f>
        <v>45.659599999999998</v>
      </c>
      <c r="J935" s="4">
        <f>CHOOSE( CONTROL!$C$32, 45.5303, 45.5256) * CHOOSE(CONTROL!$C$15, $D$11, 100%, $F$11)</f>
        <v>45.530299999999997</v>
      </c>
      <c r="K935" s="4"/>
      <c r="L935" s="9">
        <v>30.7165</v>
      </c>
      <c r="M935" s="9">
        <v>12.063700000000001</v>
      </c>
      <c r="N935" s="9">
        <v>4.9444999999999997</v>
      </c>
      <c r="O935" s="9">
        <v>0.37409999999999999</v>
      </c>
      <c r="P935" s="9">
        <v>1.2183999999999999</v>
      </c>
      <c r="Q935" s="9">
        <v>19.688099999999999</v>
      </c>
      <c r="R935" s="9"/>
      <c r="S935" s="11"/>
    </row>
    <row r="936" spans="1:19" ht="15.75">
      <c r="A936" s="13">
        <v>70006</v>
      </c>
      <c r="B936" s="8">
        <f>CHOOSE( CONTROL!$C$32, 43.7926, 43.7878) * CHOOSE(CONTROL!$C$15, $D$11, 100%, $F$11)</f>
        <v>43.7926</v>
      </c>
      <c r="C936" s="8">
        <f>CHOOSE( CONTROL!$C$32, 43.8007, 43.7958) * CHOOSE(CONTROL!$C$15, $D$11, 100%, $F$11)</f>
        <v>43.800699999999999</v>
      </c>
      <c r="D936" s="8">
        <f>CHOOSE( CONTROL!$C$32, 43.8225, 43.8176) * CHOOSE( CONTROL!$C$15, $D$11, 100%, $F$11)</f>
        <v>43.822499999999998</v>
      </c>
      <c r="E936" s="12">
        <f>CHOOSE( CONTROL!$C$32, 43.8134, 43.8085) * CHOOSE( CONTROL!$C$15, $D$11, 100%, $F$11)</f>
        <v>43.813400000000001</v>
      </c>
      <c r="F936" s="4">
        <f>CHOOSE( CONTROL!$C$32, 44.4904, 44.4856) * CHOOSE(CONTROL!$C$15, $D$11, 100%, $F$11)</f>
        <v>44.490400000000001</v>
      </c>
      <c r="G936" s="8">
        <f>CHOOSE( CONTROL!$C$32, 42.7596, 42.7549) * CHOOSE( CONTROL!$C$15, $D$11, 100%, $F$11)</f>
        <v>42.759599999999999</v>
      </c>
      <c r="H936" s="4">
        <f>CHOOSE( CONTROL!$C$32, 43.6887, 43.684) * CHOOSE(CONTROL!$C$15, $D$11, 100%, $F$11)</f>
        <v>43.688699999999997</v>
      </c>
      <c r="I936" s="8">
        <f>CHOOSE( CONTROL!$C$32, 42.1439, 42.1392) * CHOOSE(CONTROL!$C$15, $D$11, 100%, $F$11)</f>
        <v>42.143900000000002</v>
      </c>
      <c r="J936" s="4">
        <f>CHOOSE( CONTROL!$C$32, 42.016, 42.0114) * CHOOSE(CONTROL!$C$15, $D$11, 100%, $F$11)</f>
        <v>42.015999999999998</v>
      </c>
      <c r="K936" s="4"/>
      <c r="L936" s="9">
        <v>30.7165</v>
      </c>
      <c r="M936" s="9">
        <v>12.063700000000001</v>
      </c>
      <c r="N936" s="9">
        <v>4.9444999999999997</v>
      </c>
      <c r="O936" s="9">
        <v>0.37409999999999999</v>
      </c>
      <c r="P936" s="9">
        <v>1.2183999999999999</v>
      </c>
      <c r="Q936" s="9">
        <v>19.688099999999999</v>
      </c>
      <c r="R936" s="9"/>
      <c r="S936" s="11"/>
    </row>
    <row r="937" spans="1:19" ht="15.75">
      <c r="A937" s="13">
        <v>70036</v>
      </c>
      <c r="B937" s="8">
        <f>CHOOSE( CONTROL!$C$32, 42.876, 42.8712) * CHOOSE(CONTROL!$C$15, $D$11, 100%, $F$11)</f>
        <v>42.875999999999998</v>
      </c>
      <c r="C937" s="8">
        <f>CHOOSE( CONTROL!$C$32, 42.8841, 42.8793) * CHOOSE(CONTROL!$C$15, $D$11, 100%, $F$11)</f>
        <v>42.884099999999997</v>
      </c>
      <c r="D937" s="8">
        <f>CHOOSE( CONTROL!$C$32, 42.9059, 42.901) * CHOOSE( CONTROL!$C$15, $D$11, 100%, $F$11)</f>
        <v>42.905900000000003</v>
      </c>
      <c r="E937" s="12">
        <f>CHOOSE( CONTROL!$C$32, 42.8968, 42.8919) * CHOOSE( CONTROL!$C$15, $D$11, 100%, $F$11)</f>
        <v>42.896799999999999</v>
      </c>
      <c r="F937" s="4">
        <f>CHOOSE( CONTROL!$C$32, 43.5738, 43.569) * CHOOSE(CONTROL!$C$15, $D$11, 100%, $F$11)</f>
        <v>43.573799999999999</v>
      </c>
      <c r="G937" s="8">
        <f>CHOOSE( CONTROL!$C$32, 41.8643, 41.8596) * CHOOSE( CONTROL!$C$15, $D$11, 100%, $F$11)</f>
        <v>41.8643</v>
      </c>
      <c r="H937" s="4">
        <f>CHOOSE( CONTROL!$C$32, 42.7935, 42.7888) * CHOOSE(CONTROL!$C$15, $D$11, 100%, $F$11)</f>
        <v>42.793500000000002</v>
      </c>
      <c r="I937" s="8">
        <f>CHOOSE( CONTROL!$C$32, 41.2634, 41.2587) * CHOOSE(CONTROL!$C$15, $D$11, 100%, $F$11)</f>
        <v>41.263399999999997</v>
      </c>
      <c r="J937" s="4">
        <f>CHOOSE( CONTROL!$C$32, 41.136, 41.1314) * CHOOSE(CONTROL!$C$15, $D$11, 100%, $F$11)</f>
        <v>41.136000000000003</v>
      </c>
      <c r="K937" s="4"/>
      <c r="L937" s="9">
        <v>29.7257</v>
      </c>
      <c r="M937" s="9">
        <v>11.6745</v>
      </c>
      <c r="N937" s="9">
        <v>4.7850000000000001</v>
      </c>
      <c r="O937" s="9">
        <v>0.36199999999999999</v>
      </c>
      <c r="P937" s="9">
        <v>1.1791</v>
      </c>
      <c r="Q937" s="9">
        <v>19.053000000000001</v>
      </c>
      <c r="R937" s="9"/>
      <c r="S937" s="11"/>
    </row>
    <row r="938" spans="1:19" ht="15.75">
      <c r="A938" s="13">
        <v>70067</v>
      </c>
      <c r="B938" s="8">
        <f>44.7726 * CHOOSE(CONTROL!$C$15, $D$11, 100%, $F$11)</f>
        <v>44.772599999999997</v>
      </c>
      <c r="C938" s="8">
        <f>44.778 * CHOOSE(CONTROL!$C$15, $D$11, 100%, $F$11)</f>
        <v>44.777999999999999</v>
      </c>
      <c r="D938" s="8">
        <f>44.8044 * CHOOSE( CONTROL!$C$15, $D$11, 100%, $F$11)</f>
        <v>44.804400000000001</v>
      </c>
      <c r="E938" s="12">
        <f>44.7951 * CHOOSE( CONTROL!$C$15, $D$11, 100%, $F$11)</f>
        <v>44.795099999999998</v>
      </c>
      <c r="F938" s="4">
        <f>45.4721 * CHOOSE(CONTROL!$C$15, $D$11, 100%, $F$11)</f>
        <v>45.472099999999998</v>
      </c>
      <c r="G938" s="8">
        <f>43.7177 * CHOOSE( CONTROL!$C$15, $D$11, 100%, $F$11)</f>
        <v>43.717700000000001</v>
      </c>
      <c r="H938" s="4">
        <f>44.6476 * CHOOSE(CONTROL!$C$15, $D$11, 100%, $F$11)</f>
        <v>44.647599999999997</v>
      </c>
      <c r="I938" s="8">
        <f>43.0876 * CHOOSE(CONTROL!$C$15, $D$11, 100%, $F$11)</f>
        <v>43.087600000000002</v>
      </c>
      <c r="J938" s="4">
        <f>42.9586 * CHOOSE(CONTROL!$C$15, $D$11, 100%, $F$11)</f>
        <v>42.958599999999997</v>
      </c>
      <c r="K938" s="4"/>
      <c r="L938" s="9">
        <v>31.095300000000002</v>
      </c>
      <c r="M938" s="9">
        <v>12.063700000000001</v>
      </c>
      <c r="N938" s="9">
        <v>4.9444999999999997</v>
      </c>
      <c r="O938" s="9">
        <v>0.37409999999999999</v>
      </c>
      <c r="P938" s="9">
        <v>1.2183999999999999</v>
      </c>
      <c r="Q938" s="9">
        <v>19.688099999999999</v>
      </c>
      <c r="R938" s="9"/>
      <c r="S938" s="11"/>
    </row>
    <row r="939" spans="1:19" ht="15.75">
      <c r="A939" s="13">
        <v>70097</v>
      </c>
      <c r="B939" s="8">
        <f>48.285 * CHOOSE(CONTROL!$C$15, $D$11, 100%, $F$11)</f>
        <v>48.284999999999997</v>
      </c>
      <c r="C939" s="8">
        <f>48.2902 * CHOOSE(CONTROL!$C$15, $D$11, 100%, $F$11)</f>
        <v>48.290199999999999</v>
      </c>
      <c r="D939" s="8">
        <f>48.2794 * CHOOSE( CONTROL!$C$15, $D$11, 100%, $F$11)</f>
        <v>48.279400000000003</v>
      </c>
      <c r="E939" s="12">
        <f>48.2828 * CHOOSE( CONTROL!$C$15, $D$11, 100%, $F$11)</f>
        <v>48.282800000000002</v>
      </c>
      <c r="F939" s="4">
        <f>48.9339 * CHOOSE(CONTROL!$C$15, $D$11, 100%, $F$11)</f>
        <v>48.933900000000001</v>
      </c>
      <c r="G939" s="8">
        <f>47.1532 * CHOOSE( CONTROL!$C$15, $D$11, 100%, $F$11)</f>
        <v>47.153199999999998</v>
      </c>
      <c r="H939" s="4">
        <f>48.0287 * CHOOSE(CONTROL!$C$15, $D$11, 100%, $F$11)</f>
        <v>48.028700000000001</v>
      </c>
      <c r="I939" s="8">
        <f>46.4875 * CHOOSE(CONTROL!$C$15, $D$11, 100%, $F$11)</f>
        <v>46.487499999999997</v>
      </c>
      <c r="J939" s="4">
        <f>46.3312 * CHOOSE(CONTROL!$C$15, $D$11, 100%, $F$11)</f>
        <v>46.331200000000003</v>
      </c>
      <c r="K939" s="4"/>
      <c r="L939" s="9">
        <v>28.360600000000002</v>
      </c>
      <c r="M939" s="9">
        <v>11.6745</v>
      </c>
      <c r="N939" s="9">
        <v>4.7850000000000001</v>
      </c>
      <c r="O939" s="9">
        <v>0.36199999999999999</v>
      </c>
      <c r="P939" s="9">
        <v>1.2509999999999999</v>
      </c>
      <c r="Q939" s="9">
        <v>19.053000000000001</v>
      </c>
      <c r="R939" s="9"/>
      <c r="S939" s="11"/>
    </row>
    <row r="940" spans="1:19" ht="15.75">
      <c r="A940" s="13">
        <v>70128</v>
      </c>
      <c r="B940" s="8">
        <f>48.1972 * CHOOSE(CONTROL!$C$15, $D$11, 100%, $F$11)</f>
        <v>48.197200000000002</v>
      </c>
      <c r="C940" s="8">
        <f>48.2024 * CHOOSE(CONTROL!$C$15, $D$11, 100%, $F$11)</f>
        <v>48.202399999999997</v>
      </c>
      <c r="D940" s="8">
        <f>48.193 * CHOOSE( CONTROL!$C$15, $D$11, 100%, $F$11)</f>
        <v>48.192999999999998</v>
      </c>
      <c r="E940" s="12">
        <f>48.1959 * CHOOSE( CONTROL!$C$15, $D$11, 100%, $F$11)</f>
        <v>48.195900000000002</v>
      </c>
      <c r="F940" s="4">
        <f>48.8461 * CHOOSE(CONTROL!$C$15, $D$11, 100%, $F$11)</f>
        <v>48.8461</v>
      </c>
      <c r="G940" s="8">
        <f>47.0684 * CHOOSE( CONTROL!$C$15, $D$11, 100%, $F$11)</f>
        <v>47.068399999999997</v>
      </c>
      <c r="H940" s="4">
        <f>47.943 * CHOOSE(CONTROL!$C$15, $D$11, 100%, $F$11)</f>
        <v>47.942999999999998</v>
      </c>
      <c r="I940" s="8">
        <f>46.4075 * CHOOSE(CONTROL!$C$15, $D$11, 100%, $F$11)</f>
        <v>46.407499999999999</v>
      </c>
      <c r="J940" s="4">
        <f>46.247 * CHOOSE(CONTROL!$C$15, $D$11, 100%, $F$11)</f>
        <v>46.247</v>
      </c>
      <c r="K940" s="4"/>
      <c r="L940" s="9">
        <v>29.306000000000001</v>
      </c>
      <c r="M940" s="9">
        <v>12.063700000000001</v>
      </c>
      <c r="N940" s="9">
        <v>4.9444999999999997</v>
      </c>
      <c r="O940" s="9">
        <v>0.37409999999999999</v>
      </c>
      <c r="P940" s="9">
        <v>1.2927</v>
      </c>
      <c r="Q940" s="9">
        <v>19.688099999999999</v>
      </c>
      <c r="R940" s="9"/>
      <c r="S940" s="11"/>
    </row>
    <row r="941" spans="1:19" ht="15.75">
      <c r="A941" s="13">
        <v>70159</v>
      </c>
      <c r="B941" s="8">
        <f>50.0382 * CHOOSE(CONTROL!$C$15, $D$11, 100%, $F$11)</f>
        <v>50.038200000000003</v>
      </c>
      <c r="C941" s="8">
        <f>50.0434 * CHOOSE(CONTROL!$C$15, $D$11, 100%, $F$11)</f>
        <v>50.043399999999998</v>
      </c>
      <c r="D941" s="8">
        <f>50.0299 * CHOOSE( CONTROL!$C$15, $D$11, 100%, $F$11)</f>
        <v>50.029899999999998</v>
      </c>
      <c r="E941" s="12">
        <f>50.0343 * CHOOSE( CONTROL!$C$15, $D$11, 100%, $F$11)</f>
        <v>50.034300000000002</v>
      </c>
      <c r="F941" s="4">
        <f>50.6871 * CHOOSE(CONTROL!$C$15, $D$11, 100%, $F$11)</f>
        <v>50.687100000000001</v>
      </c>
      <c r="G941" s="8">
        <f>48.8603 * CHOOSE( CONTROL!$C$15, $D$11, 100%, $F$11)</f>
        <v>48.860300000000002</v>
      </c>
      <c r="H941" s="4">
        <f>49.7411 * CHOOSE(CONTROL!$C$15, $D$11, 100%, $F$11)</f>
        <v>49.741100000000003</v>
      </c>
      <c r="I941" s="8">
        <f>48.1522 * CHOOSE(CONTROL!$C$15, $D$11, 100%, $F$11)</f>
        <v>48.152200000000001</v>
      </c>
      <c r="J941" s="4">
        <f>48.0145 * CHOOSE(CONTROL!$C$15, $D$11, 100%, $F$11)</f>
        <v>48.014499999999998</v>
      </c>
      <c r="K941" s="4"/>
      <c r="L941" s="9">
        <v>29.306000000000001</v>
      </c>
      <c r="M941" s="9">
        <v>12.063700000000001</v>
      </c>
      <c r="N941" s="9">
        <v>4.9444999999999997</v>
      </c>
      <c r="O941" s="9">
        <v>0.37409999999999999</v>
      </c>
      <c r="P941" s="9">
        <v>1.2927</v>
      </c>
      <c r="Q941" s="9">
        <v>19.688099999999999</v>
      </c>
      <c r="R941" s="9"/>
      <c r="S941" s="11"/>
    </row>
    <row r="942" spans="1:19" ht="15.75">
      <c r="A942" s="13">
        <v>70188</v>
      </c>
      <c r="B942" s="8">
        <f>46.8051 * CHOOSE(CONTROL!$C$15, $D$11, 100%, $F$11)</f>
        <v>46.805100000000003</v>
      </c>
      <c r="C942" s="8">
        <f>46.8103 * CHOOSE(CONTROL!$C$15, $D$11, 100%, $F$11)</f>
        <v>46.810299999999998</v>
      </c>
      <c r="D942" s="8">
        <f>46.7968 * CHOOSE( CONTROL!$C$15, $D$11, 100%, $F$11)</f>
        <v>46.796799999999998</v>
      </c>
      <c r="E942" s="12">
        <f>46.8012 * CHOOSE( CONTROL!$C$15, $D$11, 100%, $F$11)</f>
        <v>46.801200000000001</v>
      </c>
      <c r="F942" s="4">
        <f>47.454 * CHOOSE(CONTROL!$C$15, $D$11, 100%, $F$11)</f>
        <v>47.454000000000001</v>
      </c>
      <c r="G942" s="8">
        <f>45.7025 * CHOOSE( CONTROL!$C$15, $D$11, 100%, $F$11)</f>
        <v>45.702500000000001</v>
      </c>
      <c r="H942" s="4">
        <f>46.5833 * CHOOSE(CONTROL!$C$15, $D$11, 100%, $F$11)</f>
        <v>46.583300000000001</v>
      </c>
      <c r="I942" s="8">
        <f>45.0466 * CHOOSE(CONTROL!$C$15, $D$11, 100%, $F$11)</f>
        <v>45.046599999999998</v>
      </c>
      <c r="J942" s="4">
        <f>44.9104 * CHOOSE(CONTROL!$C$15, $D$11, 100%, $F$11)</f>
        <v>44.910400000000003</v>
      </c>
      <c r="K942" s="4"/>
      <c r="L942" s="9">
        <v>27.415299999999998</v>
      </c>
      <c r="M942" s="9">
        <v>11.285299999999999</v>
      </c>
      <c r="N942" s="9">
        <v>4.6254999999999997</v>
      </c>
      <c r="O942" s="9">
        <v>0.34989999999999999</v>
      </c>
      <c r="P942" s="9">
        <v>1.2093</v>
      </c>
      <c r="Q942" s="9">
        <v>18.417899999999999</v>
      </c>
      <c r="R942" s="9"/>
      <c r="S942" s="11"/>
    </row>
    <row r="943" spans="1:19" ht="15.75">
      <c r="A943" s="13">
        <v>70219</v>
      </c>
      <c r="B943" s="8">
        <f>45.8094 * CHOOSE(CONTROL!$C$15, $D$11, 100%, $F$11)</f>
        <v>45.809399999999997</v>
      </c>
      <c r="C943" s="8">
        <f>45.8146 * CHOOSE(CONTROL!$C$15, $D$11, 100%, $F$11)</f>
        <v>45.814599999999999</v>
      </c>
      <c r="D943" s="8">
        <f>45.8007 * CHOOSE( CONTROL!$C$15, $D$11, 100%, $F$11)</f>
        <v>45.800699999999999</v>
      </c>
      <c r="E943" s="12">
        <f>45.8052 * CHOOSE( CONTROL!$C$15, $D$11, 100%, $F$11)</f>
        <v>45.805199999999999</v>
      </c>
      <c r="F943" s="4">
        <f>46.4583 * CHOOSE(CONTROL!$C$15, $D$11, 100%, $F$11)</f>
        <v>46.458300000000001</v>
      </c>
      <c r="G943" s="8">
        <f>44.7297 * CHOOSE( CONTROL!$C$15, $D$11, 100%, $F$11)</f>
        <v>44.729700000000001</v>
      </c>
      <c r="H943" s="4">
        <f>45.6107 * CHOOSE(CONTROL!$C$15, $D$11, 100%, $F$11)</f>
        <v>45.610700000000001</v>
      </c>
      <c r="I943" s="8">
        <f>44.0891 * CHOOSE(CONTROL!$C$15, $D$11, 100%, $F$11)</f>
        <v>44.089100000000002</v>
      </c>
      <c r="J943" s="4">
        <f>43.9544 * CHOOSE(CONTROL!$C$15, $D$11, 100%, $F$11)</f>
        <v>43.9544</v>
      </c>
      <c r="K943" s="4"/>
      <c r="L943" s="9">
        <v>29.306000000000001</v>
      </c>
      <c r="M943" s="9">
        <v>12.063700000000001</v>
      </c>
      <c r="N943" s="9">
        <v>4.9444999999999997</v>
      </c>
      <c r="O943" s="9">
        <v>0.37409999999999999</v>
      </c>
      <c r="P943" s="9">
        <v>1.2927</v>
      </c>
      <c r="Q943" s="9">
        <v>19.688099999999999</v>
      </c>
      <c r="R943" s="9"/>
      <c r="S943" s="11"/>
    </row>
    <row r="944" spans="1:19" ht="15.75">
      <c r="A944" s="13">
        <v>70249</v>
      </c>
      <c r="B944" s="8">
        <f>46.506 * CHOOSE(CONTROL!$C$15, $D$11, 100%, $F$11)</f>
        <v>46.506</v>
      </c>
      <c r="C944" s="8">
        <f>46.5106 * CHOOSE(CONTROL!$C$15, $D$11, 100%, $F$11)</f>
        <v>46.510599999999997</v>
      </c>
      <c r="D944" s="8">
        <f>46.5369 * CHOOSE( CONTROL!$C$15, $D$11, 100%, $F$11)</f>
        <v>46.536900000000003</v>
      </c>
      <c r="E944" s="12">
        <f>46.5277 * CHOOSE( CONTROL!$C$15, $D$11, 100%, $F$11)</f>
        <v>46.527700000000003</v>
      </c>
      <c r="F944" s="4">
        <f>47.2051 * CHOOSE(CONTROL!$C$15, $D$11, 100%, $F$11)</f>
        <v>47.205100000000002</v>
      </c>
      <c r="G944" s="8">
        <f>45.4094 * CHOOSE( CONTROL!$C$15, $D$11, 100%, $F$11)</f>
        <v>45.409399999999998</v>
      </c>
      <c r="H944" s="4">
        <f>46.3402 * CHOOSE(CONTROL!$C$15, $D$11, 100%, $F$11)</f>
        <v>46.340200000000003</v>
      </c>
      <c r="I944" s="8">
        <f>44.7493 * CHOOSE(CONTROL!$C$15, $D$11, 100%, $F$11)</f>
        <v>44.749299999999998</v>
      </c>
      <c r="J944" s="4">
        <f>44.6225 * CHOOSE(CONTROL!$C$15, $D$11, 100%, $F$11)</f>
        <v>44.622500000000002</v>
      </c>
      <c r="K944" s="4"/>
      <c r="L944" s="9">
        <v>30.092199999999998</v>
      </c>
      <c r="M944" s="9">
        <v>11.6745</v>
      </c>
      <c r="N944" s="9">
        <v>4.7850000000000001</v>
      </c>
      <c r="O944" s="9">
        <v>0.36199999999999999</v>
      </c>
      <c r="P944" s="9">
        <v>1.1791</v>
      </c>
      <c r="Q944" s="9">
        <v>19.053000000000001</v>
      </c>
      <c r="R944" s="9"/>
      <c r="S944" s="11"/>
    </row>
    <row r="945" spans="1:19" ht="15.75">
      <c r="A945" s="13">
        <v>70280</v>
      </c>
      <c r="B945" s="8">
        <f>CHOOSE( CONTROL!$C$32, 47.7506, 47.7457) * CHOOSE(CONTROL!$C$15, $D$11, 100%, $F$11)</f>
        <v>47.750599999999999</v>
      </c>
      <c r="C945" s="8">
        <f>CHOOSE( CONTROL!$C$32, 47.7587, 47.7538) * CHOOSE(CONTROL!$C$15, $D$11, 100%, $F$11)</f>
        <v>47.758699999999997</v>
      </c>
      <c r="D945" s="8">
        <f>CHOOSE( CONTROL!$C$32, 47.78, 47.7751) * CHOOSE( CONTROL!$C$15, $D$11, 100%, $F$11)</f>
        <v>47.78</v>
      </c>
      <c r="E945" s="12">
        <f>CHOOSE( CONTROL!$C$32, 47.771, 47.7661) * CHOOSE( CONTROL!$C$15, $D$11, 100%, $F$11)</f>
        <v>47.771000000000001</v>
      </c>
      <c r="F945" s="4">
        <f>CHOOSE( CONTROL!$C$32, 48.4484, 48.4435) * CHOOSE(CONTROL!$C$15, $D$11, 100%, $F$11)</f>
        <v>48.448399999999999</v>
      </c>
      <c r="G945" s="8">
        <f>CHOOSE( CONTROL!$C$32, 46.6246, 46.6199) * CHOOSE( CONTROL!$C$15, $D$11, 100%, $F$11)</f>
        <v>46.624600000000001</v>
      </c>
      <c r="H945" s="4">
        <f>CHOOSE( CONTROL!$C$32, 47.5545, 47.5498) * CHOOSE(CONTROL!$C$15, $D$11, 100%, $F$11)</f>
        <v>47.554499999999997</v>
      </c>
      <c r="I945" s="8">
        <f>CHOOSE( CONTROL!$C$32, 45.9435, 45.9389) * CHOOSE(CONTROL!$C$15, $D$11, 100%, $F$11)</f>
        <v>45.9435</v>
      </c>
      <c r="J945" s="4">
        <f>CHOOSE( CONTROL!$C$32, 45.8161, 45.8115) * CHOOSE(CONTROL!$C$15, $D$11, 100%, $F$11)</f>
        <v>45.816099999999999</v>
      </c>
      <c r="K945" s="4"/>
      <c r="L945" s="9">
        <v>30.7165</v>
      </c>
      <c r="M945" s="9">
        <v>12.063700000000001</v>
      </c>
      <c r="N945" s="9">
        <v>4.9444999999999997</v>
      </c>
      <c r="O945" s="9">
        <v>0.37409999999999999</v>
      </c>
      <c r="P945" s="9">
        <v>1.2183999999999999</v>
      </c>
      <c r="Q945" s="9">
        <v>19.688099999999999</v>
      </c>
      <c r="R945" s="9"/>
      <c r="S945" s="11"/>
    </row>
    <row r="946" spans="1:19" ht="15.75">
      <c r="A946" s="13">
        <v>70310</v>
      </c>
      <c r="B946" s="8">
        <f>CHOOSE( CONTROL!$C$32, 46.9834, 46.9786) * CHOOSE(CONTROL!$C$15, $D$11, 100%, $F$11)</f>
        <v>46.983400000000003</v>
      </c>
      <c r="C946" s="8">
        <f>CHOOSE( CONTROL!$C$32, 46.9915, 46.9867) * CHOOSE(CONTROL!$C$15, $D$11, 100%, $F$11)</f>
        <v>46.991500000000002</v>
      </c>
      <c r="D946" s="8">
        <f>CHOOSE( CONTROL!$C$32, 47.013, 47.0082) * CHOOSE( CONTROL!$C$15, $D$11, 100%, $F$11)</f>
        <v>47.012999999999998</v>
      </c>
      <c r="E946" s="12">
        <f>CHOOSE( CONTROL!$C$32, 47.004, 46.9992) * CHOOSE( CONTROL!$C$15, $D$11, 100%, $F$11)</f>
        <v>47.003999999999998</v>
      </c>
      <c r="F946" s="4">
        <f>CHOOSE( CONTROL!$C$32, 47.6812, 47.6764) * CHOOSE(CONTROL!$C$15, $D$11, 100%, $F$11)</f>
        <v>47.681199999999997</v>
      </c>
      <c r="G946" s="8">
        <f>CHOOSE( CONTROL!$C$32, 45.8756, 45.8709) * CHOOSE( CONTROL!$C$15, $D$11, 100%, $F$11)</f>
        <v>45.875599999999999</v>
      </c>
      <c r="H946" s="4">
        <f>CHOOSE( CONTROL!$C$32, 46.8052, 46.8005) * CHOOSE(CONTROL!$C$15, $D$11, 100%, $F$11)</f>
        <v>46.805199999999999</v>
      </c>
      <c r="I946" s="8">
        <f>CHOOSE( CONTROL!$C$32, 45.2075, 45.2029) * CHOOSE(CONTROL!$C$15, $D$11, 100%, $F$11)</f>
        <v>45.207500000000003</v>
      </c>
      <c r="J946" s="4">
        <f>CHOOSE( CONTROL!$C$32, 45.0796, 45.0749) * CHOOSE(CONTROL!$C$15, $D$11, 100%, $F$11)</f>
        <v>45.079599999999999</v>
      </c>
      <c r="K946" s="4"/>
      <c r="L946" s="9">
        <v>29.7257</v>
      </c>
      <c r="M946" s="9">
        <v>11.6745</v>
      </c>
      <c r="N946" s="9">
        <v>4.7850000000000001</v>
      </c>
      <c r="O946" s="9">
        <v>0.36199999999999999</v>
      </c>
      <c r="P946" s="9">
        <v>1.1791</v>
      </c>
      <c r="Q946" s="9">
        <v>19.053000000000001</v>
      </c>
      <c r="R946" s="9"/>
      <c r="S946" s="11"/>
    </row>
    <row r="947" spans="1:19" ht="15.75">
      <c r="A947" s="13">
        <v>70341</v>
      </c>
      <c r="B947" s="8">
        <f>CHOOSE( CONTROL!$C$32, 49.0036, 48.9988) * CHOOSE(CONTROL!$C$15, $D$11, 100%, $F$11)</f>
        <v>49.003599999999999</v>
      </c>
      <c r="C947" s="8">
        <f>CHOOSE( CONTROL!$C$32, 49.0117, 49.0069) * CHOOSE(CONTROL!$C$15, $D$11, 100%, $F$11)</f>
        <v>49.011699999999998</v>
      </c>
      <c r="D947" s="8">
        <f>CHOOSE( CONTROL!$C$32, 49.0334, 49.0286) * CHOOSE( CONTROL!$C$15, $D$11, 100%, $F$11)</f>
        <v>49.0334</v>
      </c>
      <c r="E947" s="12">
        <f>CHOOSE( CONTROL!$C$32, 49.0243, 49.0195) * CHOOSE( CONTROL!$C$15, $D$11, 100%, $F$11)</f>
        <v>49.024299999999997</v>
      </c>
      <c r="F947" s="4">
        <f>CHOOSE( CONTROL!$C$32, 49.7014, 49.6966) * CHOOSE(CONTROL!$C$15, $D$11, 100%, $F$11)</f>
        <v>49.7014</v>
      </c>
      <c r="G947" s="8">
        <f>CHOOSE( CONTROL!$C$32, 47.8491, 47.8444) * CHOOSE( CONTROL!$C$15, $D$11, 100%, $F$11)</f>
        <v>47.8491</v>
      </c>
      <c r="H947" s="4">
        <f>CHOOSE( CONTROL!$C$32, 48.7783, 48.7736) * CHOOSE(CONTROL!$C$15, $D$11, 100%, $F$11)</f>
        <v>48.778300000000002</v>
      </c>
      <c r="I947" s="8">
        <f>CHOOSE( CONTROL!$C$32, 47.1492, 47.1446) * CHOOSE(CONTROL!$C$15, $D$11, 100%, $F$11)</f>
        <v>47.1492</v>
      </c>
      <c r="J947" s="4">
        <f>CHOOSE( CONTROL!$C$32, 47.0191, 47.0145) * CHOOSE(CONTROL!$C$15, $D$11, 100%, $F$11)</f>
        <v>47.019100000000002</v>
      </c>
      <c r="K947" s="4"/>
      <c r="L947" s="9">
        <v>30.7165</v>
      </c>
      <c r="M947" s="9">
        <v>12.063700000000001</v>
      </c>
      <c r="N947" s="9">
        <v>4.9444999999999997</v>
      </c>
      <c r="O947" s="9">
        <v>0.37409999999999999</v>
      </c>
      <c r="P947" s="9">
        <v>1.2183999999999999</v>
      </c>
      <c r="Q947" s="9">
        <v>19.688099999999999</v>
      </c>
      <c r="R947" s="9"/>
      <c r="S947" s="11"/>
    </row>
    <row r="948" spans="1:19" ht="15.75">
      <c r="A948" s="13">
        <v>70372</v>
      </c>
      <c r="B948" s="8">
        <f>CHOOSE( CONTROL!$C$32, 45.2236, 45.2188) * CHOOSE(CONTROL!$C$15, $D$11, 100%, $F$11)</f>
        <v>45.223599999999998</v>
      </c>
      <c r="C948" s="8">
        <f>CHOOSE( CONTROL!$C$32, 45.2317, 45.2269) * CHOOSE(CONTROL!$C$15, $D$11, 100%, $F$11)</f>
        <v>45.231699999999996</v>
      </c>
      <c r="D948" s="8">
        <f>CHOOSE( CONTROL!$C$32, 45.2535, 45.2487) * CHOOSE( CONTROL!$C$15, $D$11, 100%, $F$11)</f>
        <v>45.253500000000003</v>
      </c>
      <c r="E948" s="12">
        <f>CHOOSE( CONTROL!$C$32, 45.2444, 45.2396) * CHOOSE( CONTROL!$C$15, $D$11, 100%, $F$11)</f>
        <v>45.244399999999999</v>
      </c>
      <c r="F948" s="4">
        <f>CHOOSE( CONTROL!$C$32, 45.9214, 45.9166) * CHOOSE(CONTROL!$C$15, $D$11, 100%, $F$11)</f>
        <v>45.921399999999998</v>
      </c>
      <c r="G948" s="8">
        <f>CHOOSE( CONTROL!$C$32, 44.1573, 44.1526) * CHOOSE( CONTROL!$C$15, $D$11, 100%, $F$11)</f>
        <v>44.157299999999999</v>
      </c>
      <c r="H948" s="4">
        <f>CHOOSE( CONTROL!$C$32, 45.0864, 45.0817) * CHOOSE(CONTROL!$C$15, $D$11, 100%, $F$11)</f>
        <v>45.086399999999998</v>
      </c>
      <c r="I948" s="8">
        <f>CHOOSE( CONTROL!$C$32, 43.5185, 43.5139) * CHOOSE(CONTROL!$C$15, $D$11, 100%, $F$11)</f>
        <v>43.518500000000003</v>
      </c>
      <c r="J948" s="4">
        <f>CHOOSE( CONTROL!$C$32, 43.39, 43.3853) * CHOOSE(CONTROL!$C$15, $D$11, 100%, $F$11)</f>
        <v>43.39</v>
      </c>
      <c r="K948" s="4"/>
      <c r="L948" s="9">
        <v>30.7165</v>
      </c>
      <c r="M948" s="9">
        <v>12.063700000000001</v>
      </c>
      <c r="N948" s="9">
        <v>4.9444999999999997</v>
      </c>
      <c r="O948" s="9">
        <v>0.37409999999999999</v>
      </c>
      <c r="P948" s="9">
        <v>1.2183999999999999</v>
      </c>
      <c r="Q948" s="9">
        <v>19.688099999999999</v>
      </c>
      <c r="R948" s="9"/>
      <c r="S948" s="11"/>
    </row>
    <row r="949" spans="1:19" ht="15.75">
      <c r="A949" s="13">
        <v>70402</v>
      </c>
      <c r="B949" s="8">
        <f>CHOOSE( CONTROL!$C$32, 44.2771, 44.2722) * CHOOSE(CONTROL!$C$15, $D$11, 100%, $F$11)</f>
        <v>44.277099999999997</v>
      </c>
      <c r="C949" s="8">
        <f>CHOOSE( CONTROL!$C$32, 44.2851, 44.2803) * CHOOSE(CONTROL!$C$15, $D$11, 100%, $F$11)</f>
        <v>44.2851</v>
      </c>
      <c r="D949" s="8">
        <f>CHOOSE( CONTROL!$C$32, 44.3069, 44.3021) * CHOOSE( CONTROL!$C$15, $D$11, 100%, $F$11)</f>
        <v>44.306899999999999</v>
      </c>
      <c r="E949" s="12">
        <f>CHOOSE( CONTROL!$C$32, 44.2978, 44.293) * CHOOSE( CONTROL!$C$15, $D$11, 100%, $F$11)</f>
        <v>44.297800000000002</v>
      </c>
      <c r="F949" s="4">
        <f>CHOOSE( CONTROL!$C$32, 44.9749, 44.97) * CHOOSE(CONTROL!$C$15, $D$11, 100%, $F$11)</f>
        <v>44.974899999999998</v>
      </c>
      <c r="G949" s="8">
        <f>CHOOSE( CONTROL!$C$32, 43.2327, 43.228) * CHOOSE( CONTROL!$C$15, $D$11, 100%, $F$11)</f>
        <v>43.232700000000001</v>
      </c>
      <c r="H949" s="4">
        <f>CHOOSE( CONTROL!$C$32, 44.1619, 44.1572) * CHOOSE(CONTROL!$C$15, $D$11, 100%, $F$11)</f>
        <v>44.161900000000003</v>
      </c>
      <c r="I949" s="8">
        <f>CHOOSE( CONTROL!$C$32, 42.6092, 42.6045) * CHOOSE(CONTROL!$C$15, $D$11, 100%, $F$11)</f>
        <v>42.609200000000001</v>
      </c>
      <c r="J949" s="4">
        <f>CHOOSE( CONTROL!$C$32, 42.4812, 42.4765) * CHOOSE(CONTROL!$C$15, $D$11, 100%, $F$11)</f>
        <v>42.481200000000001</v>
      </c>
      <c r="K949" s="4"/>
      <c r="L949" s="9">
        <v>29.7257</v>
      </c>
      <c r="M949" s="9">
        <v>11.6745</v>
      </c>
      <c r="N949" s="9">
        <v>4.7850000000000001</v>
      </c>
      <c r="O949" s="9">
        <v>0.36199999999999999</v>
      </c>
      <c r="P949" s="9">
        <v>1.1791</v>
      </c>
      <c r="Q949" s="9">
        <v>19.053000000000001</v>
      </c>
      <c r="R949" s="9"/>
      <c r="S949" s="11"/>
    </row>
    <row r="950" spans="1:19" ht="15.75">
      <c r="A950" s="13">
        <v>70433</v>
      </c>
      <c r="B950" s="8">
        <f>46.2359 * CHOOSE(CONTROL!$C$15, $D$11, 100%, $F$11)</f>
        <v>46.235900000000001</v>
      </c>
      <c r="C950" s="8">
        <f>46.2413 * CHOOSE(CONTROL!$C$15, $D$11, 100%, $F$11)</f>
        <v>46.241300000000003</v>
      </c>
      <c r="D950" s="8">
        <f>46.2677 * CHOOSE( CONTROL!$C$15, $D$11, 100%, $F$11)</f>
        <v>46.267699999999998</v>
      </c>
      <c r="E950" s="12">
        <f>46.2584 * CHOOSE( CONTROL!$C$15, $D$11, 100%, $F$11)</f>
        <v>46.258400000000002</v>
      </c>
      <c r="F950" s="4">
        <f>46.9354 * CHOOSE(CONTROL!$C$15, $D$11, 100%, $F$11)</f>
        <v>46.935400000000001</v>
      </c>
      <c r="G950" s="8">
        <f>45.1469 * CHOOSE( CONTROL!$C$15, $D$11, 100%, $F$11)</f>
        <v>45.146900000000002</v>
      </c>
      <c r="H950" s="4">
        <f>46.0768 * CHOOSE(CONTROL!$C$15, $D$11, 100%, $F$11)</f>
        <v>46.076799999999999</v>
      </c>
      <c r="I950" s="8">
        <f>44.4932 * CHOOSE(CONTROL!$C$15, $D$11, 100%, $F$11)</f>
        <v>44.493200000000002</v>
      </c>
      <c r="J950" s="4">
        <f>44.3635 * CHOOSE(CONTROL!$C$15, $D$11, 100%, $F$11)</f>
        <v>44.363500000000002</v>
      </c>
      <c r="K950" s="4"/>
      <c r="L950" s="9">
        <v>31.095300000000002</v>
      </c>
      <c r="M950" s="9">
        <v>12.063700000000001</v>
      </c>
      <c r="N950" s="9">
        <v>4.9444999999999997</v>
      </c>
      <c r="O950" s="9">
        <v>0.37409999999999999</v>
      </c>
      <c r="P950" s="9">
        <v>1.2183999999999999</v>
      </c>
      <c r="Q950" s="9">
        <v>19.688099999999999</v>
      </c>
      <c r="R950" s="9"/>
      <c r="S950" s="11"/>
    </row>
    <row r="951" spans="1:19" ht="15.75">
      <c r="A951" s="13">
        <v>70463</v>
      </c>
      <c r="B951" s="8">
        <f>49.8632 * CHOOSE(CONTROL!$C$15, $D$11, 100%, $F$11)</f>
        <v>49.863199999999999</v>
      </c>
      <c r="C951" s="8">
        <f>49.8683 * CHOOSE(CONTROL!$C$15, $D$11, 100%, $F$11)</f>
        <v>49.868299999999998</v>
      </c>
      <c r="D951" s="8">
        <f>49.8576 * CHOOSE( CONTROL!$C$15, $D$11, 100%, $F$11)</f>
        <v>49.857599999999998</v>
      </c>
      <c r="E951" s="12">
        <f>49.861 * CHOOSE( CONTROL!$C$15, $D$11, 100%, $F$11)</f>
        <v>49.860999999999997</v>
      </c>
      <c r="F951" s="4">
        <f>50.5121 * CHOOSE(CONTROL!$C$15, $D$11, 100%, $F$11)</f>
        <v>50.512099999999997</v>
      </c>
      <c r="G951" s="8">
        <f>48.6946 * CHOOSE( CONTROL!$C$15, $D$11, 100%, $F$11)</f>
        <v>48.694600000000001</v>
      </c>
      <c r="H951" s="4">
        <f>49.5701 * CHOOSE(CONTROL!$C$15, $D$11, 100%, $F$11)</f>
        <v>49.570099999999996</v>
      </c>
      <c r="I951" s="8">
        <f>48.0034 * CHOOSE(CONTROL!$C$15, $D$11, 100%, $F$11)</f>
        <v>48.003399999999999</v>
      </c>
      <c r="J951" s="4">
        <f>47.8464 * CHOOSE(CONTROL!$C$15, $D$11, 100%, $F$11)</f>
        <v>47.846400000000003</v>
      </c>
      <c r="K951" s="4"/>
      <c r="L951" s="9">
        <v>28.360600000000002</v>
      </c>
      <c r="M951" s="9">
        <v>11.6745</v>
      </c>
      <c r="N951" s="9">
        <v>4.7850000000000001</v>
      </c>
      <c r="O951" s="9">
        <v>0.36199999999999999</v>
      </c>
      <c r="P951" s="9">
        <v>1.2509999999999999</v>
      </c>
      <c r="Q951" s="9">
        <v>19.053000000000001</v>
      </c>
      <c r="R951" s="9"/>
      <c r="S951" s="11"/>
    </row>
    <row r="952" spans="1:19" ht="15.75">
      <c r="A952" s="13">
        <v>70494</v>
      </c>
      <c r="B952" s="8">
        <f>49.7725 * CHOOSE(CONTROL!$C$15, $D$11, 100%, $F$11)</f>
        <v>49.772500000000001</v>
      </c>
      <c r="C952" s="8">
        <f>49.7777 * CHOOSE(CONTROL!$C$15, $D$11, 100%, $F$11)</f>
        <v>49.777700000000003</v>
      </c>
      <c r="D952" s="8">
        <f>49.7683 * CHOOSE( CONTROL!$C$15, $D$11, 100%, $F$11)</f>
        <v>49.768300000000004</v>
      </c>
      <c r="E952" s="12">
        <f>49.7712 * CHOOSE( CONTROL!$C$15, $D$11, 100%, $F$11)</f>
        <v>49.7712</v>
      </c>
      <c r="F952" s="4">
        <f>50.4214 * CHOOSE(CONTROL!$C$15, $D$11, 100%, $F$11)</f>
        <v>50.421399999999998</v>
      </c>
      <c r="G952" s="8">
        <f>48.6071 * CHOOSE( CONTROL!$C$15, $D$11, 100%, $F$11)</f>
        <v>48.607100000000003</v>
      </c>
      <c r="H952" s="4">
        <f>49.4816 * CHOOSE(CONTROL!$C$15, $D$11, 100%, $F$11)</f>
        <v>49.4816</v>
      </c>
      <c r="I952" s="8">
        <f>47.9207 * CHOOSE(CONTROL!$C$15, $D$11, 100%, $F$11)</f>
        <v>47.920699999999997</v>
      </c>
      <c r="J952" s="4">
        <f>47.7594 * CHOOSE(CONTROL!$C$15, $D$11, 100%, $F$11)</f>
        <v>47.759399999999999</v>
      </c>
      <c r="K952" s="4"/>
      <c r="L952" s="9">
        <v>29.306000000000001</v>
      </c>
      <c r="M952" s="9">
        <v>12.063700000000001</v>
      </c>
      <c r="N952" s="9">
        <v>4.9444999999999997</v>
      </c>
      <c r="O952" s="9">
        <v>0.37409999999999999</v>
      </c>
      <c r="P952" s="9">
        <v>1.2927</v>
      </c>
      <c r="Q952" s="9">
        <v>19.688099999999999</v>
      </c>
      <c r="R952" s="9"/>
      <c r="S952" s="11"/>
    </row>
    <row r="953" spans="1:19" ht="15.75">
      <c r="A953" s="13">
        <v>70525</v>
      </c>
      <c r="B953" s="8">
        <f>51.6737 * CHOOSE(CONTROL!$C$15, $D$11, 100%, $F$11)</f>
        <v>51.673699999999997</v>
      </c>
      <c r="C953" s="8">
        <f>51.6789 * CHOOSE(CONTROL!$C$15, $D$11, 100%, $F$11)</f>
        <v>51.678899999999999</v>
      </c>
      <c r="D953" s="8">
        <f>51.6654 * CHOOSE( CONTROL!$C$15, $D$11, 100%, $F$11)</f>
        <v>51.665399999999998</v>
      </c>
      <c r="E953" s="12">
        <f>51.6698 * CHOOSE( CONTROL!$C$15, $D$11, 100%, $F$11)</f>
        <v>51.669800000000002</v>
      </c>
      <c r="F953" s="4">
        <f>52.3226 * CHOOSE(CONTROL!$C$15, $D$11, 100%, $F$11)</f>
        <v>52.322600000000001</v>
      </c>
      <c r="G953" s="8">
        <f>50.4577 * CHOOSE( CONTROL!$C$15, $D$11, 100%, $F$11)</f>
        <v>50.457700000000003</v>
      </c>
      <c r="H953" s="4">
        <f>51.3385 * CHOOSE(CONTROL!$C$15, $D$11, 100%, $F$11)</f>
        <v>51.338500000000003</v>
      </c>
      <c r="I953" s="8">
        <f>49.7232 * CHOOSE(CONTROL!$C$15, $D$11, 100%, $F$11)</f>
        <v>49.723199999999999</v>
      </c>
      <c r="J953" s="4">
        <f>49.5847 * CHOOSE(CONTROL!$C$15, $D$11, 100%, $F$11)</f>
        <v>49.584699999999998</v>
      </c>
      <c r="K953" s="4"/>
      <c r="L953" s="9">
        <v>29.306000000000001</v>
      </c>
      <c r="M953" s="9">
        <v>12.063700000000001</v>
      </c>
      <c r="N953" s="9">
        <v>4.9444999999999997</v>
      </c>
      <c r="O953" s="9">
        <v>0.37409999999999999</v>
      </c>
      <c r="P953" s="9">
        <v>1.2927</v>
      </c>
      <c r="Q953" s="9">
        <v>19.688099999999999</v>
      </c>
      <c r="R953" s="9"/>
      <c r="S953" s="11"/>
    </row>
    <row r="954" spans="1:19" ht="15.75">
      <c r="A954" s="13">
        <v>70553</v>
      </c>
      <c r="B954" s="8">
        <f>48.3349 * CHOOSE(CONTROL!$C$15, $D$11, 100%, $F$11)</f>
        <v>48.334899999999998</v>
      </c>
      <c r="C954" s="8">
        <f>48.3401 * CHOOSE(CONTROL!$C$15, $D$11, 100%, $F$11)</f>
        <v>48.3401</v>
      </c>
      <c r="D954" s="8">
        <f>48.3266 * CHOOSE( CONTROL!$C$15, $D$11, 100%, $F$11)</f>
        <v>48.326599999999999</v>
      </c>
      <c r="E954" s="12">
        <f>48.331 * CHOOSE( CONTROL!$C$15, $D$11, 100%, $F$11)</f>
        <v>48.331000000000003</v>
      </c>
      <c r="F954" s="4">
        <f>48.9838 * CHOOSE(CONTROL!$C$15, $D$11, 100%, $F$11)</f>
        <v>48.983800000000002</v>
      </c>
      <c r="G954" s="8">
        <f>47.1967 * CHOOSE( CONTROL!$C$15, $D$11, 100%, $F$11)</f>
        <v>47.1967</v>
      </c>
      <c r="H954" s="4">
        <f>48.0775 * CHOOSE(CONTROL!$C$15, $D$11, 100%, $F$11)</f>
        <v>48.077500000000001</v>
      </c>
      <c r="I954" s="8">
        <f>46.5161 * CHOOSE(CONTROL!$C$15, $D$11, 100%, $F$11)</f>
        <v>46.516100000000002</v>
      </c>
      <c r="J954" s="4">
        <f>46.3792 * CHOOSE(CONTROL!$C$15, $D$11, 100%, $F$11)</f>
        <v>46.379199999999997</v>
      </c>
      <c r="K954" s="4"/>
      <c r="L954" s="9">
        <v>26.469899999999999</v>
      </c>
      <c r="M954" s="9">
        <v>10.8962</v>
      </c>
      <c r="N954" s="9">
        <v>4.4660000000000002</v>
      </c>
      <c r="O954" s="9">
        <v>0.33789999999999998</v>
      </c>
      <c r="P954" s="9">
        <v>1.1676</v>
      </c>
      <c r="Q954" s="9">
        <v>17.782800000000002</v>
      </c>
      <c r="R954" s="9"/>
      <c r="S954" s="11"/>
    </row>
    <row r="955" spans="1:19" ht="15.75">
      <c r="A955" s="13">
        <v>70584</v>
      </c>
      <c r="B955" s="8">
        <f>47.3066 * CHOOSE(CONTROL!$C$15, $D$11, 100%, $F$11)</f>
        <v>47.306600000000003</v>
      </c>
      <c r="C955" s="8">
        <f>47.3118 * CHOOSE(CONTROL!$C$15, $D$11, 100%, $F$11)</f>
        <v>47.311799999999998</v>
      </c>
      <c r="D955" s="8">
        <f>47.2979 * CHOOSE( CONTROL!$C$15, $D$11, 100%, $F$11)</f>
        <v>47.297899999999998</v>
      </c>
      <c r="E955" s="12">
        <f>47.3024 * CHOOSE( CONTROL!$C$15, $D$11, 100%, $F$11)</f>
        <v>47.302399999999999</v>
      </c>
      <c r="F955" s="4">
        <f>47.9555 * CHOOSE(CONTROL!$C$15, $D$11, 100%, $F$11)</f>
        <v>47.955500000000001</v>
      </c>
      <c r="G955" s="8">
        <f>46.1921 * CHOOSE( CONTROL!$C$15, $D$11, 100%, $F$11)</f>
        <v>46.192100000000003</v>
      </c>
      <c r="H955" s="4">
        <f>47.0731 * CHOOSE(CONTROL!$C$15, $D$11, 100%, $F$11)</f>
        <v>47.073099999999997</v>
      </c>
      <c r="I955" s="8">
        <f>45.5273 * CHOOSE(CONTROL!$C$15, $D$11, 100%, $F$11)</f>
        <v>45.527299999999997</v>
      </c>
      <c r="J955" s="4">
        <f>45.3919 * CHOOSE(CONTROL!$C$15, $D$11, 100%, $F$11)</f>
        <v>45.3919</v>
      </c>
      <c r="K955" s="4"/>
      <c r="L955" s="9">
        <v>29.306000000000001</v>
      </c>
      <c r="M955" s="9">
        <v>12.063700000000001</v>
      </c>
      <c r="N955" s="9">
        <v>4.9444999999999997</v>
      </c>
      <c r="O955" s="9">
        <v>0.37409999999999999</v>
      </c>
      <c r="P955" s="9">
        <v>1.2927</v>
      </c>
      <c r="Q955" s="9">
        <v>19.688099999999999</v>
      </c>
      <c r="R955" s="9"/>
      <c r="S955" s="11"/>
    </row>
    <row r="956" spans="1:19" ht="15.75">
      <c r="A956" s="13">
        <v>70614</v>
      </c>
      <c r="B956" s="8">
        <f>48.0259 * CHOOSE(CONTROL!$C$15, $D$11, 100%, $F$11)</f>
        <v>48.0259</v>
      </c>
      <c r="C956" s="8">
        <f>48.0305 * CHOOSE(CONTROL!$C$15, $D$11, 100%, $F$11)</f>
        <v>48.030500000000004</v>
      </c>
      <c r="D956" s="8">
        <f>48.0568 * CHOOSE( CONTROL!$C$15, $D$11, 100%, $F$11)</f>
        <v>48.056800000000003</v>
      </c>
      <c r="E956" s="12">
        <f>48.0476 * CHOOSE( CONTROL!$C$15, $D$11, 100%, $F$11)</f>
        <v>48.047600000000003</v>
      </c>
      <c r="F956" s="4">
        <f>48.7251 * CHOOSE(CONTROL!$C$15, $D$11, 100%, $F$11)</f>
        <v>48.725099999999998</v>
      </c>
      <c r="G956" s="8">
        <f>46.8939 * CHOOSE( CONTROL!$C$15, $D$11, 100%, $F$11)</f>
        <v>46.893900000000002</v>
      </c>
      <c r="H956" s="4">
        <f>47.8248 * CHOOSE(CONTROL!$C$15, $D$11, 100%, $F$11)</f>
        <v>47.824800000000003</v>
      </c>
      <c r="I956" s="8">
        <f>46.2094 * CHOOSE(CONTROL!$C$15, $D$11, 100%, $F$11)</f>
        <v>46.209400000000002</v>
      </c>
      <c r="J956" s="4">
        <f>46.0818 * CHOOSE(CONTROL!$C$15, $D$11, 100%, $F$11)</f>
        <v>46.081800000000001</v>
      </c>
      <c r="K956" s="4"/>
      <c r="L956" s="9">
        <v>30.092199999999998</v>
      </c>
      <c r="M956" s="9">
        <v>11.6745</v>
      </c>
      <c r="N956" s="9">
        <v>4.7850000000000001</v>
      </c>
      <c r="O956" s="9">
        <v>0.36199999999999999</v>
      </c>
      <c r="P956" s="9">
        <v>1.1791</v>
      </c>
      <c r="Q956" s="9">
        <v>19.053000000000001</v>
      </c>
      <c r="R956" s="9"/>
      <c r="S956" s="11"/>
    </row>
    <row r="957" spans="1:19" ht="15.75">
      <c r="A957" s="13">
        <v>70645</v>
      </c>
      <c r="B957" s="8">
        <f>CHOOSE( CONTROL!$C$32, 49.311, 49.3062) * CHOOSE(CONTROL!$C$15, $D$11, 100%, $F$11)</f>
        <v>49.311</v>
      </c>
      <c r="C957" s="8">
        <f>CHOOSE( CONTROL!$C$32, 49.3191, 49.3143) * CHOOSE(CONTROL!$C$15, $D$11, 100%, $F$11)</f>
        <v>49.319099999999999</v>
      </c>
      <c r="D957" s="8">
        <f>CHOOSE( CONTROL!$C$32, 49.3404, 49.3356) * CHOOSE( CONTROL!$C$15, $D$11, 100%, $F$11)</f>
        <v>49.340400000000002</v>
      </c>
      <c r="E957" s="12">
        <f>CHOOSE( CONTROL!$C$32, 49.3314, 49.3266) * CHOOSE( CONTROL!$C$15, $D$11, 100%, $F$11)</f>
        <v>49.331400000000002</v>
      </c>
      <c r="F957" s="4">
        <f>CHOOSE( CONTROL!$C$32, 50.0088, 50.004) * CHOOSE(CONTROL!$C$15, $D$11, 100%, $F$11)</f>
        <v>50.008800000000001</v>
      </c>
      <c r="G957" s="8">
        <f>CHOOSE( CONTROL!$C$32, 48.1487, 48.144) * CHOOSE( CONTROL!$C$15, $D$11, 100%, $F$11)</f>
        <v>48.148699999999998</v>
      </c>
      <c r="H957" s="4">
        <f>CHOOSE( CONTROL!$C$32, 49.0786, 49.0739) * CHOOSE(CONTROL!$C$15, $D$11, 100%, $F$11)</f>
        <v>49.078600000000002</v>
      </c>
      <c r="I957" s="8">
        <f>CHOOSE( CONTROL!$C$32, 47.4425, 47.4378) * CHOOSE(CONTROL!$C$15, $D$11, 100%, $F$11)</f>
        <v>47.442500000000003</v>
      </c>
      <c r="J957" s="4">
        <f>CHOOSE( CONTROL!$C$32, 47.3143, 47.3097) * CHOOSE(CONTROL!$C$15, $D$11, 100%, $F$11)</f>
        <v>47.314300000000003</v>
      </c>
      <c r="K957" s="4"/>
      <c r="L957" s="9">
        <v>30.7165</v>
      </c>
      <c r="M957" s="9">
        <v>12.063700000000001</v>
      </c>
      <c r="N957" s="9">
        <v>4.9444999999999997</v>
      </c>
      <c r="O957" s="9">
        <v>0.37409999999999999</v>
      </c>
      <c r="P957" s="9">
        <v>1.2183999999999999</v>
      </c>
      <c r="Q957" s="9">
        <v>19.688099999999999</v>
      </c>
      <c r="R957" s="9"/>
      <c r="S957" s="11"/>
    </row>
    <row r="958" spans="1:19" ht="15.75">
      <c r="A958" s="13">
        <v>70675</v>
      </c>
      <c r="B958" s="8">
        <f>CHOOSE( CONTROL!$C$32, 48.5188, 48.514) * CHOOSE(CONTROL!$C$15, $D$11, 100%, $F$11)</f>
        <v>48.518799999999999</v>
      </c>
      <c r="C958" s="8">
        <f>CHOOSE( CONTROL!$C$32, 48.5269, 48.522) * CHOOSE(CONTROL!$C$15, $D$11, 100%, $F$11)</f>
        <v>48.526899999999998</v>
      </c>
      <c r="D958" s="8">
        <f>CHOOSE( CONTROL!$C$32, 48.5484, 48.5436) * CHOOSE( CONTROL!$C$15, $D$11, 100%, $F$11)</f>
        <v>48.548400000000001</v>
      </c>
      <c r="E958" s="12">
        <f>CHOOSE( CONTROL!$C$32, 48.5394, 48.5346) * CHOOSE( CONTROL!$C$15, $D$11, 100%, $F$11)</f>
        <v>48.539400000000001</v>
      </c>
      <c r="F958" s="4">
        <f>CHOOSE( CONTROL!$C$32, 49.2166, 49.2118) * CHOOSE(CONTROL!$C$15, $D$11, 100%, $F$11)</f>
        <v>49.2166</v>
      </c>
      <c r="G958" s="8">
        <f>CHOOSE( CONTROL!$C$32, 47.3753, 47.3705) * CHOOSE( CONTROL!$C$15, $D$11, 100%, $F$11)</f>
        <v>47.375300000000003</v>
      </c>
      <c r="H958" s="4">
        <f>CHOOSE( CONTROL!$C$32, 48.3048, 48.3001) * CHOOSE(CONTROL!$C$15, $D$11, 100%, $F$11)</f>
        <v>48.3048</v>
      </c>
      <c r="I958" s="8">
        <f>CHOOSE( CONTROL!$C$32, 46.6824, 46.6777) * CHOOSE(CONTROL!$C$15, $D$11, 100%, $F$11)</f>
        <v>46.682400000000001</v>
      </c>
      <c r="J958" s="4">
        <f>CHOOSE( CONTROL!$C$32, 46.5537, 46.549) * CHOOSE(CONTROL!$C$15, $D$11, 100%, $F$11)</f>
        <v>46.553699999999999</v>
      </c>
      <c r="K958" s="4"/>
      <c r="L958" s="9">
        <v>29.7257</v>
      </c>
      <c r="M958" s="9">
        <v>11.6745</v>
      </c>
      <c r="N958" s="9">
        <v>4.7850000000000001</v>
      </c>
      <c r="O958" s="9">
        <v>0.36199999999999999</v>
      </c>
      <c r="P958" s="9">
        <v>1.1791</v>
      </c>
      <c r="Q958" s="9">
        <v>19.053000000000001</v>
      </c>
      <c r="R958" s="9"/>
      <c r="S958" s="11"/>
    </row>
    <row r="959" spans="1:19" ht="15.75">
      <c r="A959" s="13">
        <v>70706</v>
      </c>
      <c r="B959" s="8">
        <f>CHOOSE( CONTROL!$C$32, 50.6051, 50.6002) * CHOOSE(CONTROL!$C$15, $D$11, 100%, $F$11)</f>
        <v>50.6051</v>
      </c>
      <c r="C959" s="8">
        <f>CHOOSE( CONTROL!$C$32, 50.6131, 50.6083) * CHOOSE(CONTROL!$C$15, $D$11, 100%, $F$11)</f>
        <v>50.613100000000003</v>
      </c>
      <c r="D959" s="8">
        <f>CHOOSE( CONTROL!$C$32, 50.6349, 50.63) * CHOOSE( CONTROL!$C$15, $D$11, 100%, $F$11)</f>
        <v>50.634900000000002</v>
      </c>
      <c r="E959" s="12">
        <f>CHOOSE( CONTROL!$C$32, 50.6258, 50.6209) * CHOOSE( CONTROL!$C$15, $D$11, 100%, $F$11)</f>
        <v>50.625799999999998</v>
      </c>
      <c r="F959" s="4">
        <f>CHOOSE( CONTROL!$C$32, 51.3029, 51.298) * CHOOSE(CONTROL!$C$15, $D$11, 100%, $F$11)</f>
        <v>51.302900000000001</v>
      </c>
      <c r="G959" s="8">
        <f>CHOOSE( CONTROL!$C$32, 49.4133, 49.4085) * CHOOSE( CONTROL!$C$15, $D$11, 100%, $F$11)</f>
        <v>49.4133</v>
      </c>
      <c r="H959" s="4">
        <f>CHOOSE( CONTROL!$C$32, 50.3425, 50.3378) * CHOOSE(CONTROL!$C$15, $D$11, 100%, $F$11)</f>
        <v>50.342500000000001</v>
      </c>
      <c r="I959" s="8">
        <f>CHOOSE( CONTROL!$C$32, 48.6875, 48.6829) * CHOOSE(CONTROL!$C$15, $D$11, 100%, $F$11)</f>
        <v>48.6875</v>
      </c>
      <c r="J959" s="4">
        <f>CHOOSE( CONTROL!$C$32, 48.5567, 48.552) * CHOOSE(CONTROL!$C$15, $D$11, 100%, $F$11)</f>
        <v>48.556699999999999</v>
      </c>
      <c r="K959" s="4"/>
      <c r="L959" s="9">
        <v>30.7165</v>
      </c>
      <c r="M959" s="9">
        <v>12.063700000000001</v>
      </c>
      <c r="N959" s="9">
        <v>4.9444999999999997</v>
      </c>
      <c r="O959" s="9">
        <v>0.37409999999999999</v>
      </c>
      <c r="P959" s="9">
        <v>1.2183999999999999</v>
      </c>
      <c r="Q959" s="9">
        <v>19.688099999999999</v>
      </c>
      <c r="R959" s="9"/>
      <c r="S959" s="11"/>
    </row>
    <row r="960" spans="1:19" ht="15.75">
      <c r="A960" s="13">
        <v>70737</v>
      </c>
      <c r="B960" s="8">
        <f>CHOOSE( CONTROL!$C$32, 46.7014, 46.6966) * CHOOSE(CONTROL!$C$15, $D$11, 100%, $F$11)</f>
        <v>46.7014</v>
      </c>
      <c r="C960" s="8">
        <f>CHOOSE( CONTROL!$C$32, 46.7095, 46.7047) * CHOOSE(CONTROL!$C$15, $D$11, 100%, $F$11)</f>
        <v>46.709499999999998</v>
      </c>
      <c r="D960" s="8">
        <f>CHOOSE( CONTROL!$C$32, 46.7313, 46.7265) * CHOOSE( CONTROL!$C$15, $D$11, 100%, $F$11)</f>
        <v>46.731299999999997</v>
      </c>
      <c r="E960" s="12">
        <f>CHOOSE( CONTROL!$C$32, 46.7222, 46.7174) * CHOOSE( CONTROL!$C$15, $D$11, 100%, $F$11)</f>
        <v>46.722200000000001</v>
      </c>
      <c r="F960" s="4">
        <f>CHOOSE( CONTROL!$C$32, 47.3992, 47.3944) * CHOOSE(CONTROL!$C$15, $D$11, 100%, $F$11)</f>
        <v>47.3992</v>
      </c>
      <c r="G960" s="8">
        <f>CHOOSE( CONTROL!$C$32, 45.6007, 45.596) * CHOOSE( CONTROL!$C$15, $D$11, 100%, $F$11)</f>
        <v>45.600700000000003</v>
      </c>
      <c r="H960" s="4">
        <f>CHOOSE( CONTROL!$C$32, 46.5298, 46.5251) * CHOOSE(CONTROL!$C$15, $D$11, 100%, $F$11)</f>
        <v>46.529800000000002</v>
      </c>
      <c r="I960" s="8">
        <f>CHOOSE( CONTROL!$C$32, 44.9381, 44.9334) * CHOOSE(CONTROL!$C$15, $D$11, 100%, $F$11)</f>
        <v>44.938099999999999</v>
      </c>
      <c r="J960" s="4">
        <f>CHOOSE( CONTROL!$C$32, 44.8088, 44.8042) * CHOOSE(CONTROL!$C$15, $D$11, 100%, $F$11)</f>
        <v>44.808799999999998</v>
      </c>
      <c r="K960" s="4"/>
      <c r="L960" s="9">
        <v>30.7165</v>
      </c>
      <c r="M960" s="9">
        <v>12.063700000000001</v>
      </c>
      <c r="N960" s="9">
        <v>4.9444999999999997</v>
      </c>
      <c r="O960" s="9">
        <v>0.37409999999999999</v>
      </c>
      <c r="P960" s="9">
        <v>1.2183999999999999</v>
      </c>
      <c r="Q960" s="9">
        <v>19.688099999999999</v>
      </c>
      <c r="R960" s="9"/>
      <c r="S960" s="11"/>
    </row>
    <row r="961" spans="1:19" ht="15.75">
      <c r="A961" s="13">
        <v>70767</v>
      </c>
      <c r="B961" s="8">
        <f>CHOOSE( CONTROL!$C$32, 45.7239, 45.7191) * CHOOSE(CONTROL!$C$15, $D$11, 100%, $F$11)</f>
        <v>45.7239</v>
      </c>
      <c r="C961" s="8">
        <f>CHOOSE( CONTROL!$C$32, 45.732, 45.7272) * CHOOSE(CONTROL!$C$15, $D$11, 100%, $F$11)</f>
        <v>45.731999999999999</v>
      </c>
      <c r="D961" s="8">
        <f>CHOOSE( CONTROL!$C$32, 45.7538, 45.749) * CHOOSE( CONTROL!$C$15, $D$11, 100%, $F$11)</f>
        <v>45.753799999999998</v>
      </c>
      <c r="E961" s="12">
        <f>CHOOSE( CONTROL!$C$32, 45.7447, 45.7399) * CHOOSE( CONTROL!$C$15, $D$11, 100%, $F$11)</f>
        <v>45.744700000000002</v>
      </c>
      <c r="F961" s="4">
        <f>CHOOSE( CONTROL!$C$32, 46.4217, 46.4169) * CHOOSE(CONTROL!$C$15, $D$11, 100%, $F$11)</f>
        <v>46.421700000000001</v>
      </c>
      <c r="G961" s="8">
        <f>CHOOSE( CONTROL!$C$32, 44.6459, 44.6412) * CHOOSE( CONTROL!$C$15, $D$11, 100%, $F$11)</f>
        <v>44.645899999999997</v>
      </c>
      <c r="H961" s="4">
        <f>CHOOSE( CONTROL!$C$32, 45.5751, 45.5703) * CHOOSE(CONTROL!$C$15, $D$11, 100%, $F$11)</f>
        <v>45.575099999999999</v>
      </c>
      <c r="I961" s="8">
        <f>CHOOSE( CONTROL!$C$32, 43.999, 43.9944) * CHOOSE(CONTROL!$C$15, $D$11, 100%, $F$11)</f>
        <v>43.999000000000002</v>
      </c>
      <c r="J961" s="4">
        <f>CHOOSE( CONTROL!$C$32, 43.8703, 43.8657) * CHOOSE(CONTROL!$C$15, $D$11, 100%, $F$11)</f>
        <v>43.8703</v>
      </c>
      <c r="K961" s="4"/>
      <c r="L961" s="9">
        <v>29.7257</v>
      </c>
      <c r="M961" s="9">
        <v>11.6745</v>
      </c>
      <c r="N961" s="9">
        <v>4.7850000000000001</v>
      </c>
      <c r="O961" s="9">
        <v>0.36199999999999999</v>
      </c>
      <c r="P961" s="9">
        <v>1.1791</v>
      </c>
      <c r="Q961" s="9">
        <v>19.053000000000001</v>
      </c>
      <c r="R961" s="9"/>
      <c r="S961" s="11"/>
    </row>
    <row r="962" spans="1:19" ht="15.75">
      <c r="A962" s="13">
        <v>70798</v>
      </c>
      <c r="B962" s="8">
        <f>47.747 * CHOOSE(CONTROL!$C$15, $D$11, 100%, $F$11)</f>
        <v>47.747</v>
      </c>
      <c r="C962" s="8">
        <f>47.7525 * CHOOSE(CONTROL!$C$15, $D$11, 100%, $F$11)</f>
        <v>47.752499999999998</v>
      </c>
      <c r="D962" s="8">
        <f>47.7789 * CHOOSE( CONTROL!$C$15, $D$11, 100%, $F$11)</f>
        <v>47.7789</v>
      </c>
      <c r="E962" s="12">
        <f>47.7696 * CHOOSE( CONTROL!$C$15, $D$11, 100%, $F$11)</f>
        <v>47.769599999999997</v>
      </c>
      <c r="F962" s="4">
        <f>48.4466 * CHOOSE(CONTROL!$C$15, $D$11, 100%, $F$11)</f>
        <v>48.446599999999997</v>
      </c>
      <c r="G962" s="8">
        <f>46.6228 * CHOOSE( CONTROL!$C$15, $D$11, 100%, $F$11)</f>
        <v>46.622799999999998</v>
      </c>
      <c r="H962" s="4">
        <f>47.5527 * CHOOSE(CONTROL!$C$15, $D$11, 100%, $F$11)</f>
        <v>47.552700000000002</v>
      </c>
      <c r="I962" s="8">
        <f>45.9448 * CHOOSE(CONTROL!$C$15, $D$11, 100%, $F$11)</f>
        <v>45.944800000000001</v>
      </c>
      <c r="J962" s="4">
        <f>45.8143 * CHOOSE(CONTROL!$C$15, $D$11, 100%, $F$11)</f>
        <v>45.814300000000003</v>
      </c>
      <c r="K962" s="4"/>
      <c r="L962" s="9">
        <v>31.095300000000002</v>
      </c>
      <c r="M962" s="9">
        <v>12.063700000000001</v>
      </c>
      <c r="N962" s="9">
        <v>4.9444999999999997</v>
      </c>
      <c r="O962" s="9">
        <v>0.37409999999999999</v>
      </c>
      <c r="P962" s="9">
        <v>1.2183999999999999</v>
      </c>
      <c r="Q962" s="9">
        <v>19.688099999999999</v>
      </c>
      <c r="R962" s="9"/>
      <c r="S962" s="11"/>
    </row>
    <row r="963" spans="1:19" ht="15.75">
      <c r="A963" s="13">
        <v>70828</v>
      </c>
      <c r="B963" s="8">
        <f>51.4929 * CHOOSE(CONTROL!$C$15, $D$11, 100%, $F$11)</f>
        <v>51.492899999999999</v>
      </c>
      <c r="C963" s="8">
        <f>51.4981 * CHOOSE(CONTROL!$C$15, $D$11, 100%, $F$11)</f>
        <v>51.498100000000001</v>
      </c>
      <c r="D963" s="8">
        <f>51.4874 * CHOOSE( CONTROL!$C$15, $D$11, 100%, $F$11)</f>
        <v>51.487400000000001</v>
      </c>
      <c r="E963" s="12">
        <f>51.4908 * CHOOSE( CONTROL!$C$15, $D$11, 100%, $F$11)</f>
        <v>51.4908</v>
      </c>
      <c r="F963" s="4">
        <f>52.1418 * CHOOSE(CONTROL!$C$15, $D$11, 100%, $F$11)</f>
        <v>52.141800000000003</v>
      </c>
      <c r="G963" s="8">
        <f>50.2864 * CHOOSE( CONTROL!$C$15, $D$11, 100%, $F$11)</f>
        <v>50.2864</v>
      </c>
      <c r="H963" s="4">
        <f>51.1619 * CHOOSE(CONTROL!$C$15, $D$11, 100%, $F$11)</f>
        <v>51.161900000000003</v>
      </c>
      <c r="I963" s="8">
        <f>49.569 * CHOOSE(CONTROL!$C$15, $D$11, 100%, $F$11)</f>
        <v>49.569000000000003</v>
      </c>
      <c r="J963" s="4">
        <f>49.4112 * CHOOSE(CONTROL!$C$15, $D$11, 100%, $F$11)</f>
        <v>49.411200000000001</v>
      </c>
      <c r="K963" s="4"/>
      <c r="L963" s="9">
        <v>28.360600000000002</v>
      </c>
      <c r="M963" s="9">
        <v>11.6745</v>
      </c>
      <c r="N963" s="9">
        <v>4.7850000000000001</v>
      </c>
      <c r="O963" s="9">
        <v>0.36199999999999999</v>
      </c>
      <c r="P963" s="9">
        <v>1.2509999999999999</v>
      </c>
      <c r="Q963" s="9">
        <v>19.053000000000001</v>
      </c>
      <c r="R963" s="9"/>
      <c r="S963" s="11"/>
    </row>
    <row r="964" spans="1:19" ht="15.75">
      <c r="A964" s="13">
        <v>70859</v>
      </c>
      <c r="B964" s="8">
        <f>51.3993 * CHOOSE(CONTROL!$C$15, $D$11, 100%, $F$11)</f>
        <v>51.399299999999997</v>
      </c>
      <c r="C964" s="8">
        <f>51.4045 * CHOOSE(CONTROL!$C$15, $D$11, 100%, $F$11)</f>
        <v>51.404499999999999</v>
      </c>
      <c r="D964" s="8">
        <f>51.3951 * CHOOSE( CONTROL!$C$15, $D$11, 100%, $F$11)</f>
        <v>51.395099999999999</v>
      </c>
      <c r="E964" s="12">
        <f>51.398 * CHOOSE( CONTROL!$C$15, $D$11, 100%, $F$11)</f>
        <v>51.398000000000003</v>
      </c>
      <c r="F964" s="4">
        <f>52.0482 * CHOOSE(CONTROL!$C$15, $D$11, 100%, $F$11)</f>
        <v>52.048200000000001</v>
      </c>
      <c r="G964" s="8">
        <f>50.196 * CHOOSE( CONTROL!$C$15, $D$11, 100%, $F$11)</f>
        <v>50.195999999999998</v>
      </c>
      <c r="H964" s="4">
        <f>51.0705 * CHOOSE(CONTROL!$C$15, $D$11, 100%, $F$11)</f>
        <v>51.070500000000003</v>
      </c>
      <c r="I964" s="8">
        <f>49.4834 * CHOOSE(CONTROL!$C$15, $D$11, 100%, $F$11)</f>
        <v>49.483400000000003</v>
      </c>
      <c r="J964" s="4">
        <f>49.3213 * CHOOSE(CONTROL!$C$15, $D$11, 100%, $F$11)</f>
        <v>49.321300000000001</v>
      </c>
      <c r="K964" s="4"/>
      <c r="L964" s="9">
        <v>29.306000000000001</v>
      </c>
      <c r="M964" s="9">
        <v>12.063700000000001</v>
      </c>
      <c r="N964" s="9">
        <v>4.9444999999999997</v>
      </c>
      <c r="O964" s="9">
        <v>0.37409999999999999</v>
      </c>
      <c r="P964" s="9">
        <v>1.2927</v>
      </c>
      <c r="Q964" s="9">
        <v>19.688099999999999</v>
      </c>
      <c r="R964" s="9"/>
      <c r="S964" s="11"/>
    </row>
    <row r="965" spans="1:19" ht="15.75">
      <c r="A965" s="13">
        <v>70890</v>
      </c>
      <c r="B965" s="8">
        <f>53.3627 * CHOOSE(CONTROL!$C$15, $D$11, 100%, $F$11)</f>
        <v>53.362699999999997</v>
      </c>
      <c r="C965" s="8">
        <f>53.3679 * CHOOSE(CONTROL!$C$15, $D$11, 100%, $F$11)</f>
        <v>53.367899999999999</v>
      </c>
      <c r="D965" s="8">
        <f>53.3544 * CHOOSE( CONTROL!$C$15, $D$11, 100%, $F$11)</f>
        <v>53.354399999999998</v>
      </c>
      <c r="E965" s="12">
        <f>53.3588 * CHOOSE( CONTROL!$C$15, $D$11, 100%, $F$11)</f>
        <v>53.358800000000002</v>
      </c>
      <c r="F965" s="4">
        <f>54.0116 * CHOOSE(CONTROL!$C$15, $D$11, 100%, $F$11)</f>
        <v>54.011600000000001</v>
      </c>
      <c r="G965" s="8">
        <f>52.1073 * CHOOSE( CONTROL!$C$15, $D$11, 100%, $F$11)</f>
        <v>52.107300000000002</v>
      </c>
      <c r="H965" s="4">
        <f>52.9881 * CHOOSE(CONTROL!$C$15, $D$11, 100%, $F$11)</f>
        <v>52.988100000000003</v>
      </c>
      <c r="I965" s="8">
        <f>51.3457 * CHOOSE(CONTROL!$C$15, $D$11, 100%, $F$11)</f>
        <v>51.345700000000001</v>
      </c>
      <c r="J965" s="4">
        <f>51.2064 * CHOOSE(CONTROL!$C$15, $D$11, 100%, $F$11)</f>
        <v>51.206400000000002</v>
      </c>
      <c r="K965" s="4"/>
      <c r="L965" s="9">
        <v>29.306000000000001</v>
      </c>
      <c r="M965" s="9">
        <v>12.063700000000001</v>
      </c>
      <c r="N965" s="9">
        <v>4.9444999999999997</v>
      </c>
      <c r="O965" s="9">
        <v>0.37409999999999999</v>
      </c>
      <c r="P965" s="9">
        <v>1.2927</v>
      </c>
      <c r="Q965" s="9">
        <v>19.688099999999999</v>
      </c>
      <c r="R965" s="9"/>
      <c r="S965" s="11"/>
    </row>
    <row r="966" spans="1:19" ht="15.75">
      <c r="A966" s="13">
        <v>70918</v>
      </c>
      <c r="B966" s="8">
        <f>49.9147 * CHOOSE(CONTROL!$C$15, $D$11, 100%, $F$11)</f>
        <v>49.914700000000003</v>
      </c>
      <c r="C966" s="8">
        <f>49.9199 * CHOOSE(CONTROL!$C$15, $D$11, 100%, $F$11)</f>
        <v>49.919899999999998</v>
      </c>
      <c r="D966" s="8">
        <f>49.9064 * CHOOSE( CONTROL!$C$15, $D$11, 100%, $F$11)</f>
        <v>49.906399999999998</v>
      </c>
      <c r="E966" s="12">
        <f>49.9108 * CHOOSE( CONTROL!$C$15, $D$11, 100%, $F$11)</f>
        <v>49.910800000000002</v>
      </c>
      <c r="F966" s="4">
        <f>50.5636 * CHOOSE(CONTROL!$C$15, $D$11, 100%, $F$11)</f>
        <v>50.563600000000001</v>
      </c>
      <c r="G966" s="8">
        <f>48.7397 * CHOOSE( CONTROL!$C$15, $D$11, 100%, $F$11)</f>
        <v>48.739699999999999</v>
      </c>
      <c r="H966" s="4">
        <f>49.6205 * CHOOSE(CONTROL!$C$15, $D$11, 100%, $F$11)</f>
        <v>49.6205</v>
      </c>
      <c r="I966" s="8">
        <f>48.0336 * CHOOSE(CONTROL!$C$15, $D$11, 100%, $F$11)</f>
        <v>48.0336</v>
      </c>
      <c r="J966" s="4">
        <f>47.8959 * CHOOSE(CONTROL!$C$15, $D$11, 100%, $F$11)</f>
        <v>47.895899999999997</v>
      </c>
      <c r="K966" s="4"/>
      <c r="L966" s="9">
        <v>26.469899999999999</v>
      </c>
      <c r="M966" s="9">
        <v>10.8962</v>
      </c>
      <c r="N966" s="9">
        <v>4.4660000000000002</v>
      </c>
      <c r="O966" s="9">
        <v>0.33789999999999998</v>
      </c>
      <c r="P966" s="9">
        <v>1.1676</v>
      </c>
      <c r="Q966" s="9">
        <v>17.782800000000002</v>
      </c>
      <c r="R966" s="9"/>
      <c r="S966" s="11"/>
    </row>
    <row r="967" spans="1:19" ht="15.75">
      <c r="A967" s="13">
        <v>70949</v>
      </c>
      <c r="B967" s="8">
        <f>48.8528 * CHOOSE(CONTROL!$C$15, $D$11, 100%, $F$11)</f>
        <v>48.852800000000002</v>
      </c>
      <c r="C967" s="8">
        <f>48.8579 * CHOOSE(CONTROL!$C$15, $D$11, 100%, $F$11)</f>
        <v>48.857900000000001</v>
      </c>
      <c r="D967" s="8">
        <f>48.8441 * CHOOSE( CONTROL!$C$15, $D$11, 100%, $F$11)</f>
        <v>48.844099999999997</v>
      </c>
      <c r="E967" s="12">
        <f>48.8486 * CHOOSE( CONTROL!$C$15, $D$11, 100%, $F$11)</f>
        <v>48.848599999999998</v>
      </c>
      <c r="F967" s="4">
        <f>49.5017 * CHOOSE(CONTROL!$C$15, $D$11, 100%, $F$11)</f>
        <v>49.5017</v>
      </c>
      <c r="G967" s="8">
        <f>47.7022 * CHOOSE( CONTROL!$C$15, $D$11, 100%, $F$11)</f>
        <v>47.702199999999998</v>
      </c>
      <c r="H967" s="4">
        <f>48.5832 * CHOOSE(CONTROL!$C$15, $D$11, 100%, $F$11)</f>
        <v>48.583199999999998</v>
      </c>
      <c r="I967" s="8">
        <f>47.0125 * CHOOSE(CONTROL!$C$15, $D$11, 100%, $F$11)</f>
        <v>47.012500000000003</v>
      </c>
      <c r="J967" s="4">
        <f>46.8764 * CHOOSE(CONTROL!$C$15, $D$11, 100%, $F$11)</f>
        <v>46.876399999999997</v>
      </c>
      <c r="K967" s="4"/>
      <c r="L967" s="9">
        <v>29.306000000000001</v>
      </c>
      <c r="M967" s="9">
        <v>12.063700000000001</v>
      </c>
      <c r="N967" s="9">
        <v>4.9444999999999997</v>
      </c>
      <c r="O967" s="9">
        <v>0.37409999999999999</v>
      </c>
      <c r="P967" s="9">
        <v>1.2927</v>
      </c>
      <c r="Q967" s="9">
        <v>19.688099999999999</v>
      </c>
      <c r="R967" s="9"/>
      <c r="S967" s="11"/>
    </row>
    <row r="968" spans="1:19" ht="15.75">
      <c r="A968" s="13">
        <v>70979</v>
      </c>
      <c r="B968" s="8">
        <f>49.5956 * CHOOSE(CONTROL!$C$15, $D$11, 100%, $F$11)</f>
        <v>49.595599999999997</v>
      </c>
      <c r="C968" s="8">
        <f>49.6002 * CHOOSE(CONTROL!$C$15, $D$11, 100%, $F$11)</f>
        <v>49.600200000000001</v>
      </c>
      <c r="D968" s="8">
        <f>49.6265 * CHOOSE( CONTROL!$C$15, $D$11, 100%, $F$11)</f>
        <v>49.6265</v>
      </c>
      <c r="E968" s="12">
        <f>49.6173 * CHOOSE( CONTROL!$C$15, $D$11, 100%, $F$11)</f>
        <v>49.6173</v>
      </c>
      <c r="F968" s="4">
        <f>50.2948 * CHOOSE(CONTROL!$C$15, $D$11, 100%, $F$11)</f>
        <v>50.294800000000002</v>
      </c>
      <c r="G968" s="8">
        <f>48.427 * CHOOSE( CONTROL!$C$15, $D$11, 100%, $F$11)</f>
        <v>48.427</v>
      </c>
      <c r="H968" s="4">
        <f>49.3579 * CHOOSE(CONTROL!$C$15, $D$11, 100%, $F$11)</f>
        <v>49.357900000000001</v>
      </c>
      <c r="I968" s="8">
        <f>47.7172 * CHOOSE(CONTROL!$C$15, $D$11, 100%, $F$11)</f>
        <v>47.717199999999998</v>
      </c>
      <c r="J968" s="4">
        <f>47.5888 * CHOOSE(CONTROL!$C$15, $D$11, 100%, $F$11)</f>
        <v>47.588799999999999</v>
      </c>
      <c r="K968" s="4"/>
      <c r="L968" s="9">
        <v>30.092199999999998</v>
      </c>
      <c r="M968" s="9">
        <v>11.6745</v>
      </c>
      <c r="N968" s="9">
        <v>4.7850000000000001</v>
      </c>
      <c r="O968" s="9">
        <v>0.36199999999999999</v>
      </c>
      <c r="P968" s="9">
        <v>1.1791</v>
      </c>
      <c r="Q968" s="9">
        <v>19.053000000000001</v>
      </c>
      <c r="R968" s="9"/>
      <c r="S968" s="11"/>
    </row>
    <row r="969" spans="1:19" ht="15.75">
      <c r="A969" s="13">
        <v>71010</v>
      </c>
      <c r="B969" s="8">
        <f>CHOOSE( CONTROL!$C$32, 50.9225, 50.9177) * CHOOSE(CONTROL!$C$15, $D$11, 100%, $F$11)</f>
        <v>50.922499999999999</v>
      </c>
      <c r="C969" s="8">
        <f>CHOOSE( CONTROL!$C$32, 50.9306, 50.9258) * CHOOSE(CONTROL!$C$15, $D$11, 100%, $F$11)</f>
        <v>50.930599999999998</v>
      </c>
      <c r="D969" s="8">
        <f>CHOOSE( CONTROL!$C$32, 50.9519, 50.9471) * CHOOSE( CONTROL!$C$15, $D$11, 100%, $F$11)</f>
        <v>50.951900000000002</v>
      </c>
      <c r="E969" s="12">
        <f>CHOOSE( CONTROL!$C$32, 50.9429, 50.9381) * CHOOSE( CONTROL!$C$15, $D$11, 100%, $F$11)</f>
        <v>50.942900000000002</v>
      </c>
      <c r="F969" s="4">
        <f>CHOOSE( CONTROL!$C$32, 51.6203, 51.6155) * CHOOSE(CONTROL!$C$15, $D$11, 100%, $F$11)</f>
        <v>51.6203</v>
      </c>
      <c r="G969" s="8">
        <f>CHOOSE( CONTROL!$C$32, 49.7227, 49.718) * CHOOSE( CONTROL!$C$15, $D$11, 100%, $F$11)</f>
        <v>49.722700000000003</v>
      </c>
      <c r="H969" s="4">
        <f>CHOOSE( CONTROL!$C$32, 50.6526, 50.6478) * CHOOSE(CONTROL!$C$15, $D$11, 100%, $F$11)</f>
        <v>50.6526</v>
      </c>
      <c r="I969" s="8">
        <f>CHOOSE( CONTROL!$C$32, 48.9904, 48.9858) * CHOOSE(CONTROL!$C$15, $D$11, 100%, $F$11)</f>
        <v>48.990400000000001</v>
      </c>
      <c r="J969" s="4">
        <f>CHOOSE( CONTROL!$C$32, 48.8615, 48.8569) * CHOOSE(CONTROL!$C$15, $D$11, 100%, $F$11)</f>
        <v>48.861499999999999</v>
      </c>
      <c r="K969" s="4"/>
      <c r="L969" s="9">
        <v>30.7165</v>
      </c>
      <c r="M969" s="9">
        <v>12.063700000000001</v>
      </c>
      <c r="N969" s="9">
        <v>4.9444999999999997</v>
      </c>
      <c r="O969" s="9">
        <v>0.37409999999999999</v>
      </c>
      <c r="P969" s="9">
        <v>1.2183999999999999</v>
      </c>
      <c r="Q969" s="9">
        <v>19.688099999999999</v>
      </c>
      <c r="R969" s="9"/>
      <c r="S969" s="11"/>
    </row>
    <row r="970" spans="1:19" ht="15.75">
      <c r="A970" s="13">
        <v>71040</v>
      </c>
      <c r="B970" s="8">
        <f>CHOOSE( CONTROL!$C$32, 50.1044, 50.0996) * CHOOSE(CONTROL!$C$15, $D$11, 100%, $F$11)</f>
        <v>50.104399999999998</v>
      </c>
      <c r="C970" s="8">
        <f>CHOOSE( CONTROL!$C$32, 50.1125, 50.1076) * CHOOSE(CONTROL!$C$15, $D$11, 100%, $F$11)</f>
        <v>50.112499999999997</v>
      </c>
      <c r="D970" s="8">
        <f>CHOOSE( CONTROL!$C$32, 50.134, 50.1291) * CHOOSE( CONTROL!$C$15, $D$11, 100%, $F$11)</f>
        <v>50.134</v>
      </c>
      <c r="E970" s="12">
        <f>CHOOSE( CONTROL!$C$32, 50.125, 50.1201) * CHOOSE( CONTROL!$C$15, $D$11, 100%, $F$11)</f>
        <v>50.125</v>
      </c>
      <c r="F970" s="4">
        <f>CHOOSE( CONTROL!$C$32, 50.8022, 50.7974) * CHOOSE(CONTROL!$C$15, $D$11, 100%, $F$11)</f>
        <v>50.802199999999999</v>
      </c>
      <c r="G970" s="8">
        <f>CHOOSE( CONTROL!$C$32, 48.9239, 48.9192) * CHOOSE( CONTROL!$C$15, $D$11, 100%, $F$11)</f>
        <v>48.923900000000003</v>
      </c>
      <c r="H970" s="4">
        <f>CHOOSE( CONTROL!$C$32, 49.8535, 49.8487) * CHOOSE(CONTROL!$C$15, $D$11, 100%, $F$11)</f>
        <v>49.853499999999997</v>
      </c>
      <c r="I970" s="8">
        <f>CHOOSE( CONTROL!$C$32, 48.2055, 48.2008) * CHOOSE(CONTROL!$C$15, $D$11, 100%, $F$11)</f>
        <v>48.205500000000001</v>
      </c>
      <c r="J970" s="4">
        <f>CHOOSE( CONTROL!$C$32, 48.076, 48.0714) * CHOOSE(CONTROL!$C$15, $D$11, 100%, $F$11)</f>
        <v>48.076000000000001</v>
      </c>
      <c r="K970" s="4"/>
      <c r="L970" s="9">
        <v>29.7257</v>
      </c>
      <c r="M970" s="9">
        <v>11.6745</v>
      </c>
      <c r="N970" s="9">
        <v>4.7850000000000001</v>
      </c>
      <c r="O970" s="9">
        <v>0.36199999999999999</v>
      </c>
      <c r="P970" s="9">
        <v>1.1791</v>
      </c>
      <c r="Q970" s="9">
        <v>19.053000000000001</v>
      </c>
      <c r="R970" s="9"/>
      <c r="S970" s="11"/>
    </row>
    <row r="971" spans="1:19" ht="15.75">
      <c r="A971" s="13">
        <v>71071</v>
      </c>
      <c r="B971" s="8">
        <f>CHOOSE( CONTROL!$C$32, 52.2589, 52.254) * CHOOSE(CONTROL!$C$15, $D$11, 100%, $F$11)</f>
        <v>52.258899999999997</v>
      </c>
      <c r="C971" s="8">
        <f>CHOOSE( CONTROL!$C$32, 52.267, 52.2621) * CHOOSE(CONTROL!$C$15, $D$11, 100%, $F$11)</f>
        <v>52.267000000000003</v>
      </c>
      <c r="D971" s="8">
        <f>CHOOSE( CONTROL!$C$32, 52.2887, 52.2839) * CHOOSE( CONTROL!$C$15, $D$11, 100%, $F$11)</f>
        <v>52.288699999999999</v>
      </c>
      <c r="E971" s="12">
        <f>CHOOSE( CONTROL!$C$32, 52.2796, 52.2748) * CHOOSE( CONTROL!$C$15, $D$11, 100%, $F$11)</f>
        <v>52.279600000000002</v>
      </c>
      <c r="F971" s="4">
        <f>CHOOSE( CONTROL!$C$32, 52.9567, 52.9519) * CHOOSE(CONTROL!$C$15, $D$11, 100%, $F$11)</f>
        <v>52.956699999999998</v>
      </c>
      <c r="G971" s="8">
        <f>CHOOSE( CONTROL!$C$32, 51.0286, 51.0238) * CHOOSE( CONTROL!$C$15, $D$11, 100%, $F$11)</f>
        <v>51.028599999999997</v>
      </c>
      <c r="H971" s="4">
        <f>CHOOSE( CONTROL!$C$32, 51.9578, 51.953) * CHOOSE(CONTROL!$C$15, $D$11, 100%, $F$11)</f>
        <v>51.957799999999999</v>
      </c>
      <c r="I971" s="8">
        <f>CHOOSE( CONTROL!$C$32, 50.2761, 50.2715) * CHOOSE(CONTROL!$C$15, $D$11, 100%, $F$11)</f>
        <v>50.2761</v>
      </c>
      <c r="J971" s="4">
        <f>CHOOSE( CONTROL!$C$32, 50.1445, 50.1399) * CHOOSE(CONTROL!$C$15, $D$11, 100%, $F$11)</f>
        <v>50.144500000000001</v>
      </c>
      <c r="K971" s="4"/>
      <c r="L971" s="9">
        <v>30.7165</v>
      </c>
      <c r="M971" s="9">
        <v>12.063700000000001</v>
      </c>
      <c r="N971" s="9">
        <v>4.9444999999999997</v>
      </c>
      <c r="O971" s="9">
        <v>0.37409999999999999</v>
      </c>
      <c r="P971" s="9">
        <v>1.2183999999999999</v>
      </c>
      <c r="Q971" s="9">
        <v>19.688099999999999</v>
      </c>
      <c r="R971" s="9"/>
      <c r="S971" s="11"/>
    </row>
    <row r="972" spans="1:19" ht="15.75">
      <c r="A972" s="13">
        <v>71102</v>
      </c>
      <c r="B972" s="8">
        <f>CHOOSE( CONTROL!$C$32, 48.2276, 48.2228) * CHOOSE(CONTROL!$C$15, $D$11, 100%, $F$11)</f>
        <v>48.227600000000002</v>
      </c>
      <c r="C972" s="8">
        <f>CHOOSE( CONTROL!$C$32, 48.2357, 48.2308) * CHOOSE(CONTROL!$C$15, $D$11, 100%, $F$11)</f>
        <v>48.235700000000001</v>
      </c>
      <c r="D972" s="8">
        <f>CHOOSE( CONTROL!$C$32, 48.2575, 48.2526) * CHOOSE( CONTROL!$C$15, $D$11, 100%, $F$11)</f>
        <v>48.2575</v>
      </c>
      <c r="E972" s="12">
        <f>CHOOSE( CONTROL!$C$32, 48.2484, 48.2435) * CHOOSE( CONTROL!$C$15, $D$11, 100%, $F$11)</f>
        <v>48.248399999999997</v>
      </c>
      <c r="F972" s="4">
        <f>CHOOSE( CONTROL!$C$32, 48.9254, 48.9206) * CHOOSE(CONTROL!$C$15, $D$11, 100%, $F$11)</f>
        <v>48.925400000000003</v>
      </c>
      <c r="G972" s="8">
        <f>CHOOSE( CONTROL!$C$32, 47.0913, 47.0866) * CHOOSE( CONTROL!$C$15, $D$11, 100%, $F$11)</f>
        <v>47.091299999999997</v>
      </c>
      <c r="H972" s="4">
        <f>CHOOSE( CONTROL!$C$32, 48.0204, 48.0157) * CHOOSE(CONTROL!$C$15, $D$11, 100%, $F$11)</f>
        <v>48.020400000000002</v>
      </c>
      <c r="I972" s="8">
        <f>CHOOSE( CONTROL!$C$32, 46.4041, 46.3994) * CHOOSE(CONTROL!$C$15, $D$11, 100%, $F$11)</f>
        <v>46.4041</v>
      </c>
      <c r="J972" s="4">
        <f>CHOOSE( CONTROL!$C$32, 46.2741, 46.2695) * CHOOSE(CONTROL!$C$15, $D$11, 100%, $F$11)</f>
        <v>46.274099999999997</v>
      </c>
      <c r="K972" s="4"/>
      <c r="L972" s="9">
        <v>30.7165</v>
      </c>
      <c r="M972" s="9">
        <v>12.063700000000001</v>
      </c>
      <c r="N972" s="9">
        <v>4.9444999999999997</v>
      </c>
      <c r="O972" s="9">
        <v>0.37409999999999999</v>
      </c>
      <c r="P972" s="9">
        <v>1.2183999999999999</v>
      </c>
      <c r="Q972" s="9">
        <v>19.688099999999999</v>
      </c>
      <c r="R972" s="9"/>
      <c r="S972" s="11"/>
    </row>
    <row r="973" spans="1:19" ht="15.75">
      <c r="A973" s="13">
        <v>71132</v>
      </c>
      <c r="B973" s="8">
        <f>CHOOSE( CONTROL!$C$32, 47.2181, 47.2133) * CHOOSE(CONTROL!$C$15, $D$11, 100%, $F$11)</f>
        <v>47.2181</v>
      </c>
      <c r="C973" s="8">
        <f>CHOOSE( CONTROL!$C$32, 47.2262, 47.2214) * CHOOSE(CONTROL!$C$15, $D$11, 100%, $F$11)</f>
        <v>47.226199999999999</v>
      </c>
      <c r="D973" s="8">
        <f>CHOOSE( CONTROL!$C$32, 47.248, 47.2432) * CHOOSE( CONTROL!$C$15, $D$11, 100%, $F$11)</f>
        <v>47.247999999999998</v>
      </c>
      <c r="E973" s="12">
        <f>CHOOSE( CONTROL!$C$32, 47.2389, 47.2341) * CHOOSE( CONTROL!$C$15, $D$11, 100%, $F$11)</f>
        <v>47.238900000000001</v>
      </c>
      <c r="F973" s="4">
        <f>CHOOSE( CONTROL!$C$32, 47.9159, 47.9111) * CHOOSE(CONTROL!$C$15, $D$11, 100%, $F$11)</f>
        <v>47.915900000000001</v>
      </c>
      <c r="G973" s="8">
        <f>CHOOSE( CONTROL!$C$32, 46.1053, 46.1006) * CHOOSE( CONTROL!$C$15, $D$11, 100%, $F$11)</f>
        <v>46.1053</v>
      </c>
      <c r="H973" s="4">
        <f>CHOOSE( CONTROL!$C$32, 47.0344, 47.0297) * CHOOSE(CONTROL!$C$15, $D$11, 100%, $F$11)</f>
        <v>47.034399999999998</v>
      </c>
      <c r="I973" s="8">
        <f>CHOOSE( CONTROL!$C$32, 45.4343, 45.4297) * CHOOSE(CONTROL!$C$15, $D$11, 100%, $F$11)</f>
        <v>45.4343</v>
      </c>
      <c r="J973" s="4">
        <f>CHOOSE( CONTROL!$C$32, 45.3049, 45.3002) * CHOOSE(CONTROL!$C$15, $D$11, 100%, $F$11)</f>
        <v>45.304900000000004</v>
      </c>
      <c r="K973" s="4"/>
      <c r="L973" s="9">
        <v>29.7257</v>
      </c>
      <c r="M973" s="9">
        <v>11.6745</v>
      </c>
      <c r="N973" s="9">
        <v>4.7850000000000001</v>
      </c>
      <c r="O973" s="9">
        <v>0.36199999999999999</v>
      </c>
      <c r="P973" s="9">
        <v>1.1791</v>
      </c>
      <c r="Q973" s="9">
        <v>19.053000000000001</v>
      </c>
      <c r="R973" s="9"/>
      <c r="S973" s="11"/>
    </row>
    <row r="974" spans="1:19" ht="15.75">
      <c r="A974" s="13">
        <v>71163</v>
      </c>
      <c r="B974" s="8">
        <f>49.3076 * CHOOSE(CONTROL!$C$15, $D$11, 100%, $F$11)</f>
        <v>49.307600000000001</v>
      </c>
      <c r="C974" s="8">
        <f>49.313 * CHOOSE(CONTROL!$C$15, $D$11, 100%, $F$11)</f>
        <v>49.313000000000002</v>
      </c>
      <c r="D974" s="8">
        <f>49.3395 * CHOOSE( CONTROL!$C$15, $D$11, 100%, $F$11)</f>
        <v>49.339500000000001</v>
      </c>
      <c r="E974" s="12">
        <f>49.3302 * CHOOSE( CONTROL!$C$15, $D$11, 100%, $F$11)</f>
        <v>49.330199999999998</v>
      </c>
      <c r="F974" s="4">
        <f>50.0071 * CHOOSE(CONTROL!$C$15, $D$11, 100%, $F$11)</f>
        <v>50.007100000000001</v>
      </c>
      <c r="G974" s="8">
        <f>48.147 * CHOOSE( CONTROL!$C$15, $D$11, 100%, $F$11)</f>
        <v>48.146999999999998</v>
      </c>
      <c r="H974" s="4">
        <f>49.0769 * CHOOSE(CONTROL!$C$15, $D$11, 100%, $F$11)</f>
        <v>49.076900000000002</v>
      </c>
      <c r="I974" s="8">
        <f>47.4438 * CHOOSE(CONTROL!$C$15, $D$11, 100%, $F$11)</f>
        <v>47.443800000000003</v>
      </c>
      <c r="J974" s="4">
        <f>47.3126 * CHOOSE(CONTROL!$C$15, $D$11, 100%, $F$11)</f>
        <v>47.312600000000003</v>
      </c>
      <c r="K974" s="4"/>
      <c r="L974" s="9">
        <v>31.095300000000002</v>
      </c>
      <c r="M974" s="9">
        <v>12.063700000000001</v>
      </c>
      <c r="N974" s="9">
        <v>4.9444999999999997</v>
      </c>
      <c r="O974" s="9">
        <v>0.37409999999999999</v>
      </c>
      <c r="P974" s="9">
        <v>1.2183999999999999</v>
      </c>
      <c r="Q974" s="9">
        <v>19.688099999999999</v>
      </c>
      <c r="R974" s="9"/>
      <c r="S974" s="11"/>
    </row>
    <row r="975" spans="1:19" ht="15.75">
      <c r="A975" s="13">
        <v>71193</v>
      </c>
      <c r="B975" s="8">
        <f>53.176 * CHOOSE(CONTROL!$C$15, $D$11, 100%, $F$11)</f>
        <v>53.176000000000002</v>
      </c>
      <c r="C975" s="8">
        <f>53.1812 * CHOOSE(CONTROL!$C$15, $D$11, 100%, $F$11)</f>
        <v>53.181199999999997</v>
      </c>
      <c r="D975" s="8">
        <f>53.1705 * CHOOSE( CONTROL!$C$15, $D$11, 100%, $F$11)</f>
        <v>53.170499999999997</v>
      </c>
      <c r="E975" s="12">
        <f>53.1739 * CHOOSE( CONTROL!$C$15, $D$11, 100%, $F$11)</f>
        <v>53.173900000000003</v>
      </c>
      <c r="F975" s="4">
        <f>53.8249 * CHOOSE(CONTROL!$C$15, $D$11, 100%, $F$11)</f>
        <v>53.8249</v>
      </c>
      <c r="G975" s="8">
        <f>51.9303 * CHOOSE( CONTROL!$C$15, $D$11, 100%, $F$11)</f>
        <v>51.930300000000003</v>
      </c>
      <c r="H975" s="4">
        <f>52.8058 * CHOOSE(CONTROL!$C$15, $D$11, 100%, $F$11)</f>
        <v>52.805799999999998</v>
      </c>
      <c r="I975" s="8">
        <f>51.1857 * CHOOSE(CONTROL!$C$15, $D$11, 100%, $F$11)</f>
        <v>51.185699999999997</v>
      </c>
      <c r="J975" s="4">
        <f>51.0271 * CHOOSE(CONTROL!$C$15, $D$11, 100%, $F$11)</f>
        <v>51.027099999999997</v>
      </c>
      <c r="K975" s="4"/>
      <c r="L975" s="9">
        <v>28.360600000000002</v>
      </c>
      <c r="M975" s="9">
        <v>11.6745</v>
      </c>
      <c r="N975" s="9">
        <v>4.7850000000000001</v>
      </c>
      <c r="O975" s="9">
        <v>0.36199999999999999</v>
      </c>
      <c r="P975" s="9">
        <v>1.2509999999999999</v>
      </c>
      <c r="Q975" s="9">
        <v>19.053000000000001</v>
      </c>
      <c r="R975" s="9"/>
      <c r="S975" s="11"/>
    </row>
    <row r="976" spans="1:19" ht="15.75">
      <c r="A976" s="13">
        <v>71224</v>
      </c>
      <c r="B976" s="8">
        <f>53.0794 * CHOOSE(CONTROL!$C$15, $D$11, 100%, $F$11)</f>
        <v>53.0794</v>
      </c>
      <c r="C976" s="8">
        <f>53.0845 * CHOOSE(CONTROL!$C$15, $D$11, 100%, $F$11)</f>
        <v>53.084499999999998</v>
      </c>
      <c r="D976" s="8">
        <f>53.0751 * CHOOSE( CONTROL!$C$15, $D$11, 100%, $F$11)</f>
        <v>53.075099999999999</v>
      </c>
      <c r="E976" s="12">
        <f>53.078 * CHOOSE( CONTROL!$C$15, $D$11, 100%, $F$11)</f>
        <v>53.078000000000003</v>
      </c>
      <c r="F976" s="4">
        <f>53.7283 * CHOOSE(CONTROL!$C$15, $D$11, 100%, $F$11)</f>
        <v>53.728299999999997</v>
      </c>
      <c r="G976" s="8">
        <f>51.8369 * CHOOSE( CONTROL!$C$15, $D$11, 100%, $F$11)</f>
        <v>51.8369</v>
      </c>
      <c r="H976" s="4">
        <f>52.7114 * CHOOSE(CONTROL!$C$15, $D$11, 100%, $F$11)</f>
        <v>52.711399999999998</v>
      </c>
      <c r="I976" s="8">
        <f>51.0972 * CHOOSE(CONTROL!$C$15, $D$11, 100%, $F$11)</f>
        <v>51.097200000000001</v>
      </c>
      <c r="J976" s="4">
        <f>50.9343 * CHOOSE(CONTROL!$C$15, $D$11, 100%, $F$11)</f>
        <v>50.9343</v>
      </c>
      <c r="K976" s="4"/>
      <c r="L976" s="9">
        <v>29.306000000000001</v>
      </c>
      <c r="M976" s="9">
        <v>12.063700000000001</v>
      </c>
      <c r="N976" s="9">
        <v>4.9444999999999997</v>
      </c>
      <c r="O976" s="9">
        <v>0.37409999999999999</v>
      </c>
      <c r="P976" s="9">
        <v>1.2927</v>
      </c>
      <c r="Q976" s="9">
        <v>19.688099999999999</v>
      </c>
      <c r="R976" s="9"/>
      <c r="S976" s="11"/>
    </row>
    <row r="977" spans="1:19" ht="15.75">
      <c r="A977" s="13">
        <v>71255</v>
      </c>
      <c r="B977" s="8">
        <f>55.1069 * CHOOSE(CONTROL!$C$15, $D$11, 100%, $F$11)</f>
        <v>55.106900000000003</v>
      </c>
      <c r="C977" s="8">
        <f>55.1121 * CHOOSE(CONTROL!$C$15, $D$11, 100%, $F$11)</f>
        <v>55.112099999999998</v>
      </c>
      <c r="D977" s="8">
        <f>55.0986 * CHOOSE( CONTROL!$C$15, $D$11, 100%, $F$11)</f>
        <v>55.098599999999998</v>
      </c>
      <c r="E977" s="12">
        <f>55.103 * CHOOSE( CONTROL!$C$15, $D$11, 100%, $F$11)</f>
        <v>55.103000000000002</v>
      </c>
      <c r="F977" s="4">
        <f>55.7558 * CHOOSE(CONTROL!$C$15, $D$11, 100%, $F$11)</f>
        <v>55.755800000000001</v>
      </c>
      <c r="G977" s="8">
        <f>53.8109 * CHOOSE( CONTROL!$C$15, $D$11, 100%, $F$11)</f>
        <v>53.810899999999997</v>
      </c>
      <c r="H977" s="4">
        <f>54.6917 * CHOOSE(CONTROL!$C$15, $D$11, 100%, $F$11)</f>
        <v>54.691699999999997</v>
      </c>
      <c r="I977" s="8">
        <f>53.0211 * CHOOSE(CONTROL!$C$15, $D$11, 100%, $F$11)</f>
        <v>53.021099999999997</v>
      </c>
      <c r="J977" s="4">
        <f>52.881 * CHOOSE(CONTROL!$C$15, $D$11, 100%, $F$11)</f>
        <v>52.881</v>
      </c>
      <c r="K977" s="4"/>
      <c r="L977" s="9">
        <v>29.306000000000001</v>
      </c>
      <c r="M977" s="9">
        <v>12.063700000000001</v>
      </c>
      <c r="N977" s="9">
        <v>4.9444999999999997</v>
      </c>
      <c r="O977" s="9">
        <v>0.37409999999999999</v>
      </c>
      <c r="P977" s="9">
        <v>1.2927</v>
      </c>
      <c r="Q977" s="9">
        <v>19.688099999999999</v>
      </c>
      <c r="R977" s="9"/>
      <c r="S977" s="11"/>
    </row>
    <row r="978" spans="1:19" ht="15.75">
      <c r="A978" s="13">
        <v>71283</v>
      </c>
      <c r="B978" s="8">
        <f>51.5462 * CHOOSE(CONTROL!$C$15, $D$11, 100%, $F$11)</f>
        <v>51.546199999999999</v>
      </c>
      <c r="C978" s="8">
        <f>51.5514 * CHOOSE(CONTROL!$C$15, $D$11, 100%, $F$11)</f>
        <v>51.551400000000001</v>
      </c>
      <c r="D978" s="8">
        <f>51.5379 * CHOOSE( CONTROL!$C$15, $D$11, 100%, $F$11)</f>
        <v>51.5379</v>
      </c>
      <c r="E978" s="12">
        <f>51.5423 * CHOOSE( CONTROL!$C$15, $D$11, 100%, $F$11)</f>
        <v>51.542299999999997</v>
      </c>
      <c r="F978" s="4">
        <f>52.1951 * CHOOSE(CONTROL!$C$15, $D$11, 100%, $F$11)</f>
        <v>52.195099999999996</v>
      </c>
      <c r="G978" s="8">
        <f>50.3331 * CHOOSE( CONTROL!$C$15, $D$11, 100%, $F$11)</f>
        <v>50.333100000000002</v>
      </c>
      <c r="H978" s="4">
        <f>51.2139 * CHOOSE(CONTROL!$C$15, $D$11, 100%, $F$11)</f>
        <v>51.213900000000002</v>
      </c>
      <c r="I978" s="8">
        <f>49.6008 * CHOOSE(CONTROL!$C$15, $D$11, 100%, $F$11)</f>
        <v>49.6008</v>
      </c>
      <c r="J978" s="4">
        <f>49.4623 * CHOOSE(CONTROL!$C$15, $D$11, 100%, $F$11)</f>
        <v>49.462299999999999</v>
      </c>
      <c r="K978" s="4"/>
      <c r="L978" s="9">
        <v>26.469899999999999</v>
      </c>
      <c r="M978" s="9">
        <v>10.8962</v>
      </c>
      <c r="N978" s="9">
        <v>4.4660000000000002</v>
      </c>
      <c r="O978" s="9">
        <v>0.33789999999999998</v>
      </c>
      <c r="P978" s="9">
        <v>1.1676</v>
      </c>
      <c r="Q978" s="9">
        <v>17.782800000000002</v>
      </c>
      <c r="R978" s="9"/>
      <c r="S978" s="11"/>
    </row>
    <row r="979" spans="1:19" ht="15.75">
      <c r="A979" s="13">
        <v>71314</v>
      </c>
      <c r="B979" s="8">
        <f>50.4495 * CHOOSE(CONTROL!$C$15, $D$11, 100%, $F$11)</f>
        <v>50.4495</v>
      </c>
      <c r="C979" s="8">
        <f>50.4547 * CHOOSE(CONTROL!$C$15, $D$11, 100%, $F$11)</f>
        <v>50.454700000000003</v>
      </c>
      <c r="D979" s="8">
        <f>50.4408 * CHOOSE( CONTROL!$C$15, $D$11, 100%, $F$11)</f>
        <v>50.440800000000003</v>
      </c>
      <c r="E979" s="12">
        <f>50.4453 * CHOOSE( CONTROL!$C$15, $D$11, 100%, $F$11)</f>
        <v>50.445300000000003</v>
      </c>
      <c r="F979" s="4">
        <f>51.0984 * CHOOSE(CONTROL!$C$15, $D$11, 100%, $F$11)</f>
        <v>51.098399999999998</v>
      </c>
      <c r="G979" s="8">
        <f>49.2618 * CHOOSE( CONTROL!$C$15, $D$11, 100%, $F$11)</f>
        <v>49.261800000000001</v>
      </c>
      <c r="H979" s="4">
        <f>50.1428 * CHOOSE(CONTROL!$C$15, $D$11, 100%, $F$11)</f>
        <v>50.142800000000001</v>
      </c>
      <c r="I979" s="8">
        <f>48.5463 * CHOOSE(CONTROL!$C$15, $D$11, 100%, $F$11)</f>
        <v>48.546300000000002</v>
      </c>
      <c r="J979" s="4">
        <f>48.4094 * CHOOSE(CONTROL!$C$15, $D$11, 100%, $F$11)</f>
        <v>48.409399999999998</v>
      </c>
      <c r="K979" s="4"/>
      <c r="L979" s="9">
        <v>29.306000000000001</v>
      </c>
      <c r="M979" s="9">
        <v>12.063700000000001</v>
      </c>
      <c r="N979" s="9">
        <v>4.9444999999999997</v>
      </c>
      <c r="O979" s="9">
        <v>0.37409999999999999</v>
      </c>
      <c r="P979" s="9">
        <v>1.2927</v>
      </c>
      <c r="Q979" s="9">
        <v>19.688099999999999</v>
      </c>
      <c r="R979" s="9"/>
      <c r="S979" s="11"/>
    </row>
    <row r="980" spans="1:19" ht="15.75">
      <c r="A980" s="13">
        <v>71344</v>
      </c>
      <c r="B980" s="8">
        <f>51.2166 * CHOOSE(CONTROL!$C$15, $D$11, 100%, $F$11)</f>
        <v>51.2166</v>
      </c>
      <c r="C980" s="8">
        <f>51.2212 * CHOOSE(CONTROL!$C$15, $D$11, 100%, $F$11)</f>
        <v>51.221200000000003</v>
      </c>
      <c r="D980" s="8">
        <f>51.2475 * CHOOSE( CONTROL!$C$15, $D$11, 100%, $F$11)</f>
        <v>51.247500000000002</v>
      </c>
      <c r="E980" s="12">
        <f>51.2383 * CHOOSE( CONTROL!$C$15, $D$11, 100%, $F$11)</f>
        <v>51.238300000000002</v>
      </c>
      <c r="F980" s="4">
        <f>51.9158 * CHOOSE(CONTROL!$C$15, $D$11, 100%, $F$11)</f>
        <v>51.915799999999997</v>
      </c>
      <c r="G980" s="8">
        <f>50.0103 * CHOOSE( CONTROL!$C$15, $D$11, 100%, $F$11)</f>
        <v>50.010300000000001</v>
      </c>
      <c r="H980" s="4">
        <f>50.9411 * CHOOSE(CONTROL!$C$15, $D$11, 100%, $F$11)</f>
        <v>50.941099999999999</v>
      </c>
      <c r="I980" s="8">
        <f>49.2743 * CHOOSE(CONTROL!$C$15, $D$11, 100%, $F$11)</f>
        <v>49.274299999999997</v>
      </c>
      <c r="J980" s="4">
        <f>49.1452 * CHOOSE(CONTROL!$C$15, $D$11, 100%, $F$11)</f>
        <v>49.145200000000003</v>
      </c>
      <c r="K980" s="4"/>
      <c r="L980" s="9">
        <v>30.092199999999998</v>
      </c>
      <c r="M980" s="9">
        <v>11.6745</v>
      </c>
      <c r="N980" s="9">
        <v>4.7850000000000001</v>
      </c>
      <c r="O980" s="9">
        <v>0.36199999999999999</v>
      </c>
      <c r="P980" s="9">
        <v>1.1791</v>
      </c>
      <c r="Q980" s="9">
        <v>19.053000000000001</v>
      </c>
      <c r="R980" s="9"/>
      <c r="S980" s="11"/>
    </row>
    <row r="981" spans="1:19" ht="15.75">
      <c r="A981" s="13">
        <v>71375</v>
      </c>
      <c r="B981" s="8">
        <f>CHOOSE( CONTROL!$C$32, 52.5867, 52.5819) * CHOOSE(CONTROL!$C$15, $D$11, 100%, $F$11)</f>
        <v>52.5867</v>
      </c>
      <c r="C981" s="8">
        <f>CHOOSE( CONTROL!$C$32, 52.5948, 52.59) * CHOOSE(CONTROL!$C$15, $D$11, 100%, $F$11)</f>
        <v>52.594799999999999</v>
      </c>
      <c r="D981" s="8">
        <f>CHOOSE( CONTROL!$C$32, 52.6161, 52.6113) * CHOOSE( CONTROL!$C$15, $D$11, 100%, $F$11)</f>
        <v>52.616100000000003</v>
      </c>
      <c r="E981" s="12">
        <f>CHOOSE( CONTROL!$C$32, 52.6071, 52.6023) * CHOOSE( CONTROL!$C$15, $D$11, 100%, $F$11)</f>
        <v>52.607100000000003</v>
      </c>
      <c r="F981" s="4">
        <f>CHOOSE( CONTROL!$C$32, 53.2845, 53.2797) * CHOOSE(CONTROL!$C$15, $D$11, 100%, $F$11)</f>
        <v>53.284500000000001</v>
      </c>
      <c r="G981" s="8">
        <f>CHOOSE( CONTROL!$C$32, 51.3481, 51.3434) * CHOOSE( CONTROL!$C$15, $D$11, 100%, $F$11)</f>
        <v>51.348100000000002</v>
      </c>
      <c r="H981" s="4">
        <f>CHOOSE( CONTROL!$C$32, 52.278, 52.2733) * CHOOSE(CONTROL!$C$15, $D$11, 100%, $F$11)</f>
        <v>52.277999999999999</v>
      </c>
      <c r="I981" s="8">
        <f>CHOOSE( CONTROL!$C$32, 50.589, 50.5844) * CHOOSE(CONTROL!$C$15, $D$11, 100%, $F$11)</f>
        <v>50.588999999999999</v>
      </c>
      <c r="J981" s="4">
        <f>CHOOSE( CONTROL!$C$32, 50.4593, 50.4547) * CHOOSE(CONTROL!$C$15, $D$11, 100%, $F$11)</f>
        <v>50.459299999999999</v>
      </c>
      <c r="K981" s="4"/>
      <c r="L981" s="9">
        <v>30.7165</v>
      </c>
      <c r="M981" s="9">
        <v>12.063700000000001</v>
      </c>
      <c r="N981" s="9">
        <v>4.9444999999999997</v>
      </c>
      <c r="O981" s="9">
        <v>0.37409999999999999</v>
      </c>
      <c r="P981" s="9">
        <v>1.2183999999999999</v>
      </c>
      <c r="Q981" s="9">
        <v>19.688099999999999</v>
      </c>
      <c r="R981" s="9"/>
      <c r="S981" s="11"/>
    </row>
    <row r="982" spans="1:19" ht="15.75">
      <c r="A982" s="13">
        <v>71405</v>
      </c>
      <c r="B982" s="8">
        <f>CHOOSE( CONTROL!$C$32, 51.7418, 51.737) * CHOOSE(CONTROL!$C$15, $D$11, 100%, $F$11)</f>
        <v>51.741799999999998</v>
      </c>
      <c r="C982" s="8">
        <f>CHOOSE( CONTROL!$C$32, 51.7499, 51.7451) * CHOOSE(CONTROL!$C$15, $D$11, 100%, $F$11)</f>
        <v>51.749899999999997</v>
      </c>
      <c r="D982" s="8">
        <f>CHOOSE( CONTROL!$C$32, 51.7714, 51.7666) * CHOOSE( CONTROL!$C$15, $D$11, 100%, $F$11)</f>
        <v>51.7714</v>
      </c>
      <c r="E982" s="12">
        <f>CHOOSE( CONTROL!$C$32, 51.7624, 51.7576) * CHOOSE( CONTROL!$C$15, $D$11, 100%, $F$11)</f>
        <v>51.7624</v>
      </c>
      <c r="F982" s="4">
        <f>CHOOSE( CONTROL!$C$32, 52.4396, 52.4348) * CHOOSE(CONTROL!$C$15, $D$11, 100%, $F$11)</f>
        <v>52.439599999999999</v>
      </c>
      <c r="G982" s="8">
        <f>CHOOSE( CONTROL!$C$32, 50.5232, 50.5185) * CHOOSE( CONTROL!$C$15, $D$11, 100%, $F$11)</f>
        <v>50.523200000000003</v>
      </c>
      <c r="H982" s="4">
        <f>CHOOSE( CONTROL!$C$32, 51.4528, 51.448) * CHOOSE(CONTROL!$C$15, $D$11, 100%, $F$11)</f>
        <v>51.452800000000003</v>
      </c>
      <c r="I982" s="8">
        <f>CHOOSE( CONTROL!$C$32, 49.7784, 49.7737) * CHOOSE(CONTROL!$C$15, $D$11, 100%, $F$11)</f>
        <v>49.778399999999998</v>
      </c>
      <c r="J982" s="4">
        <f>CHOOSE( CONTROL!$C$32, 49.6481, 49.6435) * CHOOSE(CONTROL!$C$15, $D$11, 100%, $F$11)</f>
        <v>49.648099999999999</v>
      </c>
      <c r="K982" s="4"/>
      <c r="L982" s="9">
        <v>29.7257</v>
      </c>
      <c r="M982" s="9">
        <v>11.6745</v>
      </c>
      <c r="N982" s="9">
        <v>4.7850000000000001</v>
      </c>
      <c r="O982" s="9">
        <v>0.36199999999999999</v>
      </c>
      <c r="P982" s="9">
        <v>1.1791</v>
      </c>
      <c r="Q982" s="9">
        <v>19.053000000000001</v>
      </c>
      <c r="R982" s="9"/>
      <c r="S982" s="11"/>
    </row>
    <row r="983" spans="1:19" ht="15.75">
      <c r="A983" s="13">
        <v>71436</v>
      </c>
      <c r="B983" s="8">
        <f>CHOOSE( CONTROL!$C$32, 53.9668, 53.9619) * CHOOSE(CONTROL!$C$15, $D$11, 100%, $F$11)</f>
        <v>53.966799999999999</v>
      </c>
      <c r="C983" s="8">
        <f>CHOOSE( CONTROL!$C$32, 53.9749, 53.97) * CHOOSE(CONTROL!$C$15, $D$11, 100%, $F$11)</f>
        <v>53.974899999999998</v>
      </c>
      <c r="D983" s="8">
        <f>CHOOSE( CONTROL!$C$32, 53.9966, 53.9918) * CHOOSE( CONTROL!$C$15, $D$11, 100%, $F$11)</f>
        <v>53.996600000000001</v>
      </c>
      <c r="E983" s="12">
        <f>CHOOSE( CONTROL!$C$32, 53.9875, 53.9827) * CHOOSE( CONTROL!$C$15, $D$11, 100%, $F$11)</f>
        <v>53.987499999999997</v>
      </c>
      <c r="F983" s="4">
        <f>CHOOSE( CONTROL!$C$32, 54.6646, 54.6598) * CHOOSE(CONTROL!$C$15, $D$11, 100%, $F$11)</f>
        <v>54.6646</v>
      </c>
      <c r="G983" s="8">
        <f>CHOOSE( CONTROL!$C$32, 52.6967, 52.692) * CHOOSE( CONTROL!$C$15, $D$11, 100%, $F$11)</f>
        <v>52.6967</v>
      </c>
      <c r="H983" s="4">
        <f>CHOOSE( CONTROL!$C$32, 53.6259, 53.6212) * CHOOSE(CONTROL!$C$15, $D$11, 100%, $F$11)</f>
        <v>53.625900000000001</v>
      </c>
      <c r="I983" s="8">
        <f>CHOOSE( CONTROL!$C$32, 51.9167, 51.9121) * CHOOSE(CONTROL!$C$15, $D$11, 100%, $F$11)</f>
        <v>51.916699999999999</v>
      </c>
      <c r="J983" s="4">
        <f>CHOOSE( CONTROL!$C$32, 51.7843, 51.7796) * CHOOSE(CONTROL!$C$15, $D$11, 100%, $F$11)</f>
        <v>51.784300000000002</v>
      </c>
      <c r="K983" s="4"/>
      <c r="L983" s="9">
        <v>30.7165</v>
      </c>
      <c r="M983" s="9">
        <v>12.063700000000001</v>
      </c>
      <c r="N983" s="9">
        <v>4.9444999999999997</v>
      </c>
      <c r="O983" s="9">
        <v>0.37409999999999999</v>
      </c>
      <c r="P983" s="9">
        <v>1.2183999999999999</v>
      </c>
      <c r="Q983" s="9">
        <v>19.688099999999999</v>
      </c>
      <c r="R983" s="9"/>
      <c r="S983" s="11"/>
    </row>
    <row r="984" spans="1:19" ht="15.75">
      <c r="A984" s="13">
        <v>71467</v>
      </c>
      <c r="B984" s="8">
        <f>CHOOSE( CONTROL!$C$32, 49.8037, 49.7988) * CHOOSE(CONTROL!$C$15, $D$11, 100%, $F$11)</f>
        <v>49.803699999999999</v>
      </c>
      <c r="C984" s="8">
        <f>CHOOSE( CONTROL!$C$32, 49.8117, 49.8069) * CHOOSE(CONTROL!$C$15, $D$11, 100%, $F$11)</f>
        <v>49.811700000000002</v>
      </c>
      <c r="D984" s="8">
        <f>CHOOSE( CONTROL!$C$32, 49.8335, 49.8287) * CHOOSE( CONTROL!$C$15, $D$11, 100%, $F$11)</f>
        <v>49.833500000000001</v>
      </c>
      <c r="E984" s="12">
        <f>CHOOSE( CONTROL!$C$32, 49.8244, 49.8196) * CHOOSE( CONTROL!$C$15, $D$11, 100%, $F$11)</f>
        <v>49.824399999999997</v>
      </c>
      <c r="F984" s="4">
        <f>CHOOSE( CONTROL!$C$32, 50.5015, 50.4966) * CHOOSE(CONTROL!$C$15, $D$11, 100%, $F$11)</f>
        <v>50.5015</v>
      </c>
      <c r="G984" s="8">
        <f>CHOOSE( CONTROL!$C$32, 48.6306, 48.6259) * CHOOSE( CONTROL!$C$15, $D$11, 100%, $F$11)</f>
        <v>48.630600000000001</v>
      </c>
      <c r="H984" s="4">
        <f>CHOOSE( CONTROL!$C$32, 49.5597, 49.555) * CHOOSE(CONTROL!$C$15, $D$11, 100%, $F$11)</f>
        <v>49.559699999999999</v>
      </c>
      <c r="I984" s="8">
        <f>CHOOSE( CONTROL!$C$32, 47.918, 47.9134) * CHOOSE(CONTROL!$C$15, $D$11, 100%, $F$11)</f>
        <v>47.917999999999999</v>
      </c>
      <c r="J984" s="4">
        <f>CHOOSE( CONTROL!$C$32, 47.7873, 47.7826) * CHOOSE(CONTROL!$C$15, $D$11, 100%, $F$11)</f>
        <v>47.787300000000002</v>
      </c>
      <c r="K984" s="4"/>
      <c r="L984" s="9">
        <v>30.7165</v>
      </c>
      <c r="M984" s="9">
        <v>12.063700000000001</v>
      </c>
      <c r="N984" s="9">
        <v>4.9444999999999997</v>
      </c>
      <c r="O984" s="9">
        <v>0.37409999999999999</v>
      </c>
      <c r="P984" s="9">
        <v>1.2183999999999999</v>
      </c>
      <c r="Q984" s="9">
        <v>19.688099999999999</v>
      </c>
      <c r="R984" s="9"/>
      <c r="S984" s="11"/>
    </row>
    <row r="985" spans="1:19" ht="15.75">
      <c r="A985" s="13">
        <v>71497</v>
      </c>
      <c r="B985" s="8">
        <f>CHOOSE( CONTROL!$C$32, 48.7612, 48.7563) * CHOOSE(CONTROL!$C$15, $D$11, 100%, $F$11)</f>
        <v>48.761200000000002</v>
      </c>
      <c r="C985" s="8">
        <f>CHOOSE( CONTROL!$C$32, 48.7693, 48.7644) * CHOOSE(CONTROL!$C$15, $D$11, 100%, $F$11)</f>
        <v>48.769300000000001</v>
      </c>
      <c r="D985" s="8">
        <f>CHOOSE( CONTROL!$C$32, 48.791, 48.7862) * CHOOSE( CONTROL!$C$15, $D$11, 100%, $F$11)</f>
        <v>48.790999999999997</v>
      </c>
      <c r="E985" s="12">
        <f>CHOOSE( CONTROL!$C$32, 48.7819, 48.7771) * CHOOSE( CONTROL!$C$15, $D$11, 100%, $F$11)</f>
        <v>48.7819</v>
      </c>
      <c r="F985" s="4">
        <f>CHOOSE( CONTROL!$C$32, 49.459, 49.4541) * CHOOSE(CONTROL!$C$15, $D$11, 100%, $F$11)</f>
        <v>49.459000000000003</v>
      </c>
      <c r="G985" s="8">
        <f>CHOOSE( CONTROL!$C$32, 47.6124, 47.6077) * CHOOSE( CONTROL!$C$15, $D$11, 100%, $F$11)</f>
        <v>47.612400000000001</v>
      </c>
      <c r="H985" s="4">
        <f>CHOOSE( CONTROL!$C$32, 48.5415, 48.5368) * CHOOSE(CONTROL!$C$15, $D$11, 100%, $F$11)</f>
        <v>48.541499999999999</v>
      </c>
      <c r="I985" s="8">
        <f>CHOOSE( CONTROL!$C$32, 46.9165, 46.9119) * CHOOSE(CONTROL!$C$15, $D$11, 100%, $F$11)</f>
        <v>46.916499999999999</v>
      </c>
      <c r="J985" s="4">
        <f>CHOOSE( CONTROL!$C$32, 46.7864, 46.7817) * CHOOSE(CONTROL!$C$15, $D$11, 100%, $F$11)</f>
        <v>46.7864</v>
      </c>
      <c r="K985" s="4"/>
      <c r="L985" s="9">
        <v>29.7257</v>
      </c>
      <c r="M985" s="9">
        <v>11.6745</v>
      </c>
      <c r="N985" s="9">
        <v>4.7850000000000001</v>
      </c>
      <c r="O985" s="9">
        <v>0.36199999999999999</v>
      </c>
      <c r="P985" s="9">
        <v>1.1791</v>
      </c>
      <c r="Q985" s="9">
        <v>19.053000000000001</v>
      </c>
      <c r="R985" s="9"/>
      <c r="S985" s="11"/>
    </row>
    <row r="986" spans="1:19" ht="15.75">
      <c r="A986" s="13">
        <v>71528</v>
      </c>
      <c r="B986" s="8">
        <f>50.9192 * CHOOSE(CONTROL!$C$15, $D$11, 100%, $F$11)</f>
        <v>50.919199999999996</v>
      </c>
      <c r="C986" s="8">
        <f>50.9246 * CHOOSE(CONTROL!$C$15, $D$11, 100%, $F$11)</f>
        <v>50.924599999999998</v>
      </c>
      <c r="D986" s="8">
        <f>50.9511 * CHOOSE( CONTROL!$C$15, $D$11, 100%, $F$11)</f>
        <v>50.951099999999997</v>
      </c>
      <c r="E986" s="12">
        <f>50.9418 * CHOOSE( CONTROL!$C$15, $D$11, 100%, $F$11)</f>
        <v>50.941800000000001</v>
      </c>
      <c r="F986" s="4">
        <f>51.6187 * CHOOSE(CONTROL!$C$15, $D$11, 100%, $F$11)</f>
        <v>51.618699999999997</v>
      </c>
      <c r="G986" s="8">
        <f>49.7211 * CHOOSE( CONTROL!$C$15, $D$11, 100%, $F$11)</f>
        <v>49.7211</v>
      </c>
      <c r="H986" s="4">
        <f>50.651 * CHOOSE(CONTROL!$C$15, $D$11, 100%, $F$11)</f>
        <v>50.651000000000003</v>
      </c>
      <c r="I986" s="8">
        <f>48.9919 * CHOOSE(CONTROL!$C$15, $D$11, 100%, $F$11)</f>
        <v>48.991900000000001</v>
      </c>
      <c r="J986" s="4">
        <f>48.8599 * CHOOSE(CONTROL!$C$15, $D$11, 100%, $F$11)</f>
        <v>48.859900000000003</v>
      </c>
      <c r="K986" s="4"/>
      <c r="L986" s="9">
        <v>31.095300000000002</v>
      </c>
      <c r="M986" s="9">
        <v>12.063700000000001</v>
      </c>
      <c r="N986" s="9">
        <v>4.9444999999999997</v>
      </c>
      <c r="O986" s="9">
        <v>0.37409999999999999</v>
      </c>
      <c r="P986" s="9">
        <v>1.2183999999999999</v>
      </c>
      <c r="Q986" s="9">
        <v>19.688099999999999</v>
      </c>
      <c r="R986" s="9"/>
      <c r="S986" s="11"/>
    </row>
    <row r="987" spans="1:19" ht="15.75">
      <c r="A987" s="13">
        <v>71558</v>
      </c>
      <c r="B987" s="8">
        <f>54.9141 * CHOOSE(CONTROL!$C$15, $D$11, 100%, $F$11)</f>
        <v>54.914099999999998</v>
      </c>
      <c r="C987" s="8">
        <f>54.9193 * CHOOSE(CONTROL!$C$15, $D$11, 100%, $F$11)</f>
        <v>54.9193</v>
      </c>
      <c r="D987" s="8">
        <f>54.9086 * CHOOSE( CONTROL!$C$15, $D$11, 100%, $F$11)</f>
        <v>54.9086</v>
      </c>
      <c r="E987" s="12">
        <f>54.912 * CHOOSE( CONTROL!$C$15, $D$11, 100%, $F$11)</f>
        <v>54.911999999999999</v>
      </c>
      <c r="F987" s="4">
        <f>55.5631 * CHOOSE(CONTROL!$C$15, $D$11, 100%, $F$11)</f>
        <v>55.563099999999999</v>
      </c>
      <c r="G987" s="8">
        <f>53.6279 * CHOOSE( CONTROL!$C$15, $D$11, 100%, $F$11)</f>
        <v>53.627899999999997</v>
      </c>
      <c r="H987" s="4">
        <f>54.5034 * CHOOSE(CONTROL!$C$15, $D$11, 100%, $F$11)</f>
        <v>54.503399999999999</v>
      </c>
      <c r="I987" s="8">
        <f>52.8553 * CHOOSE(CONTROL!$C$15, $D$11, 100%, $F$11)</f>
        <v>52.8553</v>
      </c>
      <c r="J987" s="4">
        <f>52.6959 * CHOOSE(CONTROL!$C$15, $D$11, 100%, $F$11)</f>
        <v>52.695900000000002</v>
      </c>
      <c r="K987" s="4"/>
      <c r="L987" s="9">
        <v>28.360600000000002</v>
      </c>
      <c r="M987" s="9">
        <v>11.6745</v>
      </c>
      <c r="N987" s="9">
        <v>4.7850000000000001</v>
      </c>
      <c r="O987" s="9">
        <v>0.36199999999999999</v>
      </c>
      <c r="P987" s="9">
        <v>1.2509999999999999</v>
      </c>
      <c r="Q987" s="9">
        <v>19.053000000000001</v>
      </c>
      <c r="R987" s="9"/>
      <c r="S987" s="11"/>
    </row>
    <row r="988" spans="1:19" ht="15.75">
      <c r="A988" s="13">
        <v>71589</v>
      </c>
      <c r="B988" s="8">
        <f>54.8143 * CHOOSE(CONTROL!$C$15, $D$11, 100%, $F$11)</f>
        <v>54.814300000000003</v>
      </c>
      <c r="C988" s="8">
        <f>54.8195 * CHOOSE(CONTROL!$C$15, $D$11, 100%, $F$11)</f>
        <v>54.819499999999998</v>
      </c>
      <c r="D988" s="8">
        <f>54.8101 * CHOOSE( CONTROL!$C$15, $D$11, 100%, $F$11)</f>
        <v>54.810099999999998</v>
      </c>
      <c r="E988" s="12">
        <f>54.813 * CHOOSE( CONTROL!$C$15, $D$11, 100%, $F$11)</f>
        <v>54.813000000000002</v>
      </c>
      <c r="F988" s="4">
        <f>55.4632 * CHOOSE(CONTROL!$C$15, $D$11, 100%, $F$11)</f>
        <v>55.463200000000001</v>
      </c>
      <c r="G988" s="8">
        <f>53.5314 * CHOOSE( CONTROL!$C$15, $D$11, 100%, $F$11)</f>
        <v>53.531399999999998</v>
      </c>
      <c r="H988" s="4">
        <f>54.4059 * CHOOSE(CONTROL!$C$15, $D$11, 100%, $F$11)</f>
        <v>54.405900000000003</v>
      </c>
      <c r="I988" s="8">
        <f>52.7638 * CHOOSE(CONTROL!$C$15, $D$11, 100%, $F$11)</f>
        <v>52.763800000000003</v>
      </c>
      <c r="J988" s="4">
        <f>52.6001 * CHOOSE(CONTROL!$C$15, $D$11, 100%, $F$11)</f>
        <v>52.600099999999998</v>
      </c>
      <c r="K988" s="4"/>
      <c r="L988" s="9">
        <v>29.306000000000001</v>
      </c>
      <c r="M988" s="9">
        <v>12.063700000000001</v>
      </c>
      <c r="N988" s="9">
        <v>4.9444999999999997</v>
      </c>
      <c r="O988" s="9">
        <v>0.37409999999999999</v>
      </c>
      <c r="P988" s="9">
        <v>1.2927</v>
      </c>
      <c r="Q988" s="9">
        <v>19.688099999999999</v>
      </c>
      <c r="R988" s="9"/>
      <c r="S988" s="11"/>
    </row>
    <row r="989" spans="1:19" ht="15.75">
      <c r="A989" s="13">
        <v>71620</v>
      </c>
      <c r="B989" s="8">
        <f>56.9082 * CHOOSE(CONTROL!$C$15, $D$11, 100%, $F$11)</f>
        <v>56.908200000000001</v>
      </c>
      <c r="C989" s="8">
        <f>56.9134 * CHOOSE(CONTROL!$C$15, $D$11, 100%, $F$11)</f>
        <v>56.913400000000003</v>
      </c>
      <c r="D989" s="8">
        <f>56.8999 * CHOOSE( CONTROL!$C$15, $D$11, 100%, $F$11)</f>
        <v>56.899900000000002</v>
      </c>
      <c r="E989" s="12">
        <f>56.9043 * CHOOSE( CONTROL!$C$15, $D$11, 100%, $F$11)</f>
        <v>56.904299999999999</v>
      </c>
      <c r="F989" s="4">
        <f>57.5571 * CHOOSE(CONTROL!$C$15, $D$11, 100%, $F$11)</f>
        <v>57.557099999999998</v>
      </c>
      <c r="G989" s="8">
        <f>55.5702 * CHOOSE( CONTROL!$C$15, $D$11, 100%, $F$11)</f>
        <v>55.5702</v>
      </c>
      <c r="H989" s="4">
        <f>56.451 * CHOOSE(CONTROL!$C$15, $D$11, 100%, $F$11)</f>
        <v>56.451000000000001</v>
      </c>
      <c r="I989" s="8">
        <f>54.7514 * CHOOSE(CONTROL!$C$15, $D$11, 100%, $F$11)</f>
        <v>54.751399999999997</v>
      </c>
      <c r="J989" s="4">
        <f>54.6104 * CHOOSE(CONTROL!$C$15, $D$11, 100%, $F$11)</f>
        <v>54.610399999999998</v>
      </c>
      <c r="K989" s="4"/>
      <c r="L989" s="9">
        <v>29.306000000000001</v>
      </c>
      <c r="M989" s="9">
        <v>12.063700000000001</v>
      </c>
      <c r="N989" s="9">
        <v>4.9444999999999997</v>
      </c>
      <c r="O989" s="9">
        <v>0.37409999999999999</v>
      </c>
      <c r="P989" s="9">
        <v>1.2927</v>
      </c>
      <c r="Q989" s="9">
        <v>19.688099999999999</v>
      </c>
      <c r="R989" s="9"/>
      <c r="S989" s="11"/>
    </row>
    <row r="990" spans="1:19" ht="15.75">
      <c r="A990" s="13">
        <v>71649</v>
      </c>
      <c r="B990" s="8">
        <f>53.231 * CHOOSE(CONTROL!$C$15, $D$11, 100%, $F$11)</f>
        <v>53.231000000000002</v>
      </c>
      <c r="C990" s="8">
        <f>53.2362 * CHOOSE(CONTROL!$C$15, $D$11, 100%, $F$11)</f>
        <v>53.236199999999997</v>
      </c>
      <c r="D990" s="8">
        <f>53.2227 * CHOOSE( CONTROL!$C$15, $D$11, 100%, $F$11)</f>
        <v>53.222700000000003</v>
      </c>
      <c r="E990" s="12">
        <f>53.2271 * CHOOSE( CONTROL!$C$15, $D$11, 100%, $F$11)</f>
        <v>53.2271</v>
      </c>
      <c r="F990" s="4">
        <f>53.8799 * CHOOSE(CONTROL!$C$15, $D$11, 100%, $F$11)</f>
        <v>53.879899999999999</v>
      </c>
      <c r="G990" s="8">
        <f>51.9787 * CHOOSE( CONTROL!$C$15, $D$11, 100%, $F$11)</f>
        <v>51.978700000000003</v>
      </c>
      <c r="H990" s="4">
        <f>52.8595 * CHOOSE(CONTROL!$C$15, $D$11, 100%, $F$11)</f>
        <v>52.859499999999997</v>
      </c>
      <c r="I990" s="8">
        <f>51.2192 * CHOOSE(CONTROL!$C$15, $D$11, 100%, $F$11)</f>
        <v>51.219200000000001</v>
      </c>
      <c r="J990" s="4">
        <f>51.0799 * CHOOSE(CONTROL!$C$15, $D$11, 100%, $F$11)</f>
        <v>51.079900000000002</v>
      </c>
      <c r="K990" s="4"/>
      <c r="L990" s="9">
        <v>27.415299999999998</v>
      </c>
      <c r="M990" s="9">
        <v>11.285299999999999</v>
      </c>
      <c r="N990" s="9">
        <v>4.6254999999999997</v>
      </c>
      <c r="O990" s="9">
        <v>0.34989999999999999</v>
      </c>
      <c r="P990" s="9">
        <v>1.2093</v>
      </c>
      <c r="Q990" s="9">
        <v>18.417899999999999</v>
      </c>
      <c r="R990" s="9"/>
      <c r="S990" s="11"/>
    </row>
    <row r="991" spans="1:19" ht="15.75">
      <c r="A991" s="13">
        <v>71680</v>
      </c>
      <c r="B991" s="8">
        <f>52.0985 * CHOOSE(CONTROL!$C$15, $D$11, 100%, $F$11)</f>
        <v>52.098500000000001</v>
      </c>
      <c r="C991" s="8">
        <f>52.1036 * CHOOSE(CONTROL!$C$15, $D$11, 100%, $F$11)</f>
        <v>52.1036</v>
      </c>
      <c r="D991" s="8">
        <f>52.0898 * CHOOSE( CONTROL!$C$15, $D$11, 100%, $F$11)</f>
        <v>52.089799999999997</v>
      </c>
      <c r="E991" s="12">
        <f>52.0943 * CHOOSE( CONTROL!$C$15, $D$11, 100%, $F$11)</f>
        <v>52.094299999999997</v>
      </c>
      <c r="F991" s="4">
        <f>52.7474 * CHOOSE(CONTROL!$C$15, $D$11, 100%, $F$11)</f>
        <v>52.747399999999999</v>
      </c>
      <c r="G991" s="8">
        <f>50.8723 * CHOOSE( CONTROL!$C$15, $D$11, 100%, $F$11)</f>
        <v>50.872300000000003</v>
      </c>
      <c r="H991" s="4">
        <f>51.7533 * CHOOSE(CONTROL!$C$15, $D$11, 100%, $F$11)</f>
        <v>51.753300000000003</v>
      </c>
      <c r="I991" s="8">
        <f>50.1302 * CHOOSE(CONTROL!$C$15, $D$11, 100%, $F$11)</f>
        <v>50.130200000000002</v>
      </c>
      <c r="J991" s="4">
        <f>49.9926 * CHOOSE(CONTROL!$C$15, $D$11, 100%, $F$11)</f>
        <v>49.992600000000003</v>
      </c>
      <c r="K991" s="4"/>
      <c r="L991" s="9">
        <v>29.306000000000001</v>
      </c>
      <c r="M991" s="9">
        <v>12.063700000000001</v>
      </c>
      <c r="N991" s="9">
        <v>4.9444999999999997</v>
      </c>
      <c r="O991" s="9">
        <v>0.37409999999999999</v>
      </c>
      <c r="P991" s="9">
        <v>1.2927</v>
      </c>
      <c r="Q991" s="9">
        <v>19.688099999999999</v>
      </c>
      <c r="R991" s="9"/>
      <c r="S991" s="11"/>
    </row>
    <row r="992" spans="1:19" ht="15.75">
      <c r="A992" s="13">
        <v>71710</v>
      </c>
      <c r="B992" s="8">
        <f>52.8906 * CHOOSE(CONTROL!$C$15, $D$11, 100%, $F$11)</f>
        <v>52.890599999999999</v>
      </c>
      <c r="C992" s="8">
        <f>52.8953 * CHOOSE(CONTROL!$C$15, $D$11, 100%, $F$11)</f>
        <v>52.895299999999999</v>
      </c>
      <c r="D992" s="8">
        <f>52.9216 * CHOOSE( CONTROL!$C$15, $D$11, 100%, $F$11)</f>
        <v>52.921599999999998</v>
      </c>
      <c r="E992" s="12">
        <f>52.9124 * CHOOSE( CONTROL!$C$15, $D$11, 100%, $F$11)</f>
        <v>52.912399999999998</v>
      </c>
      <c r="F992" s="4">
        <f>53.5898 * CHOOSE(CONTROL!$C$15, $D$11, 100%, $F$11)</f>
        <v>53.589799999999997</v>
      </c>
      <c r="G992" s="8">
        <f>51.6453 * CHOOSE( CONTROL!$C$15, $D$11, 100%, $F$11)</f>
        <v>51.645299999999999</v>
      </c>
      <c r="H992" s="4">
        <f>52.5761 * CHOOSE(CONTROL!$C$15, $D$11, 100%, $F$11)</f>
        <v>52.576099999999997</v>
      </c>
      <c r="I992" s="8">
        <f>50.8823 * CHOOSE(CONTROL!$C$15, $D$11, 100%, $F$11)</f>
        <v>50.882300000000001</v>
      </c>
      <c r="J992" s="4">
        <f>50.7524 * CHOOSE(CONTROL!$C$15, $D$11, 100%, $F$11)</f>
        <v>50.752400000000002</v>
      </c>
      <c r="K992" s="4"/>
      <c r="L992" s="9">
        <v>30.092199999999998</v>
      </c>
      <c r="M992" s="9">
        <v>11.6745</v>
      </c>
      <c r="N992" s="9">
        <v>4.7850000000000001</v>
      </c>
      <c r="O992" s="9">
        <v>0.36199999999999999</v>
      </c>
      <c r="P992" s="9">
        <v>1.1791</v>
      </c>
      <c r="Q992" s="9">
        <v>19.053000000000001</v>
      </c>
      <c r="R992" s="9"/>
      <c r="S992" s="11"/>
    </row>
    <row r="993" spans="1:19" ht="15.75">
      <c r="A993" s="13">
        <v>71741</v>
      </c>
      <c r="B993" s="8">
        <f>CHOOSE( CONTROL!$C$32, 54.3054, 54.3005) * CHOOSE(CONTROL!$C$15, $D$11, 100%, $F$11)</f>
        <v>54.305399999999999</v>
      </c>
      <c r="C993" s="8">
        <f>CHOOSE( CONTROL!$C$32, 54.3134, 54.3086) * CHOOSE(CONTROL!$C$15, $D$11, 100%, $F$11)</f>
        <v>54.313400000000001</v>
      </c>
      <c r="D993" s="8">
        <f>CHOOSE( CONTROL!$C$32, 54.3348, 54.3299) * CHOOSE( CONTROL!$C$15, $D$11, 100%, $F$11)</f>
        <v>54.334800000000001</v>
      </c>
      <c r="E993" s="12">
        <f>CHOOSE( CONTROL!$C$32, 54.3258, 54.3209) * CHOOSE( CONTROL!$C$15, $D$11, 100%, $F$11)</f>
        <v>54.325800000000001</v>
      </c>
      <c r="F993" s="4">
        <f>CHOOSE( CONTROL!$C$32, 55.0032, 54.9983) * CHOOSE(CONTROL!$C$15, $D$11, 100%, $F$11)</f>
        <v>55.0032</v>
      </c>
      <c r="G993" s="8">
        <f>CHOOSE( CONTROL!$C$32, 53.0267, 53.022) * CHOOSE( CONTROL!$C$15, $D$11, 100%, $F$11)</f>
        <v>53.026699999999998</v>
      </c>
      <c r="H993" s="4">
        <f>CHOOSE( CONTROL!$C$32, 53.9566, 53.9519) * CHOOSE(CONTROL!$C$15, $D$11, 100%, $F$11)</f>
        <v>53.956600000000002</v>
      </c>
      <c r="I993" s="8">
        <f>CHOOSE( CONTROL!$C$32, 52.2399, 52.2353) * CHOOSE(CONTROL!$C$15, $D$11, 100%, $F$11)</f>
        <v>52.239899999999999</v>
      </c>
      <c r="J993" s="4">
        <f>CHOOSE( CONTROL!$C$32, 52.1094, 52.1047) * CHOOSE(CONTROL!$C$15, $D$11, 100%, $F$11)</f>
        <v>52.109400000000001</v>
      </c>
      <c r="K993" s="4"/>
      <c r="L993" s="9">
        <v>30.7165</v>
      </c>
      <c r="M993" s="9">
        <v>12.063700000000001</v>
      </c>
      <c r="N993" s="9">
        <v>4.9444999999999997</v>
      </c>
      <c r="O993" s="9">
        <v>0.37409999999999999</v>
      </c>
      <c r="P993" s="9">
        <v>1.2183999999999999</v>
      </c>
      <c r="Q993" s="9">
        <v>19.688099999999999</v>
      </c>
      <c r="R993" s="9"/>
      <c r="S993" s="11"/>
    </row>
    <row r="994" spans="1:19" ht="15.75">
      <c r="A994" s="13">
        <v>71771</v>
      </c>
      <c r="B994" s="8">
        <f>CHOOSE( CONTROL!$C$32, 53.4328, 53.428) * CHOOSE(CONTROL!$C$15, $D$11, 100%, $F$11)</f>
        <v>53.4328</v>
      </c>
      <c r="C994" s="8">
        <f>CHOOSE( CONTROL!$C$32, 53.4409, 53.4361) * CHOOSE(CONTROL!$C$15, $D$11, 100%, $F$11)</f>
        <v>53.440899999999999</v>
      </c>
      <c r="D994" s="8">
        <f>CHOOSE( CONTROL!$C$32, 53.4624, 53.4576) * CHOOSE( CONTROL!$C$15, $D$11, 100%, $F$11)</f>
        <v>53.462400000000002</v>
      </c>
      <c r="E994" s="12">
        <f>CHOOSE( CONTROL!$C$32, 53.4534, 53.4486) * CHOOSE( CONTROL!$C$15, $D$11, 100%, $F$11)</f>
        <v>53.453400000000002</v>
      </c>
      <c r="F994" s="4">
        <f>CHOOSE( CONTROL!$C$32, 54.1306, 54.1258) * CHOOSE(CONTROL!$C$15, $D$11, 100%, $F$11)</f>
        <v>54.130600000000001</v>
      </c>
      <c r="G994" s="8">
        <f>CHOOSE( CONTROL!$C$32, 52.1748, 52.1701) * CHOOSE( CONTROL!$C$15, $D$11, 100%, $F$11)</f>
        <v>52.174799999999998</v>
      </c>
      <c r="H994" s="4">
        <f>CHOOSE( CONTROL!$C$32, 53.1044, 53.0996) * CHOOSE(CONTROL!$C$15, $D$11, 100%, $F$11)</f>
        <v>53.104399999999998</v>
      </c>
      <c r="I994" s="8">
        <f>CHOOSE( CONTROL!$C$32, 51.4027, 51.3981) * CHOOSE(CONTROL!$C$15, $D$11, 100%, $F$11)</f>
        <v>51.402700000000003</v>
      </c>
      <c r="J994" s="4">
        <f>CHOOSE( CONTROL!$C$32, 51.2716, 51.267) * CHOOSE(CONTROL!$C$15, $D$11, 100%, $F$11)</f>
        <v>51.271599999999999</v>
      </c>
      <c r="K994" s="4"/>
      <c r="L994" s="9">
        <v>29.7257</v>
      </c>
      <c r="M994" s="9">
        <v>11.6745</v>
      </c>
      <c r="N994" s="9">
        <v>4.7850000000000001</v>
      </c>
      <c r="O994" s="9">
        <v>0.36199999999999999</v>
      </c>
      <c r="P994" s="9">
        <v>1.1791</v>
      </c>
      <c r="Q994" s="9">
        <v>19.053000000000001</v>
      </c>
      <c r="R994" s="9"/>
      <c r="S994" s="11"/>
    </row>
    <row r="995" spans="1:19" ht="15.75">
      <c r="A995" s="13">
        <v>71802</v>
      </c>
      <c r="B995" s="8">
        <f>CHOOSE( CONTROL!$C$32, 55.7305, 55.7257) * CHOOSE(CONTROL!$C$15, $D$11, 100%, $F$11)</f>
        <v>55.730499999999999</v>
      </c>
      <c r="C995" s="8">
        <f>CHOOSE( CONTROL!$C$32, 55.7386, 55.7338) * CHOOSE(CONTROL!$C$15, $D$11, 100%, $F$11)</f>
        <v>55.738599999999998</v>
      </c>
      <c r="D995" s="8">
        <f>CHOOSE( CONTROL!$C$32, 55.7604, 55.7555) * CHOOSE( CONTROL!$C$15, $D$11, 100%, $F$11)</f>
        <v>55.760399999999997</v>
      </c>
      <c r="E995" s="12">
        <f>CHOOSE( CONTROL!$C$32, 55.7513, 55.7464) * CHOOSE( CONTROL!$C$15, $D$11, 100%, $F$11)</f>
        <v>55.751300000000001</v>
      </c>
      <c r="F995" s="4">
        <f>CHOOSE( CONTROL!$C$32, 56.4284, 56.4235) * CHOOSE(CONTROL!$C$15, $D$11, 100%, $F$11)</f>
        <v>56.428400000000003</v>
      </c>
      <c r="G995" s="8">
        <f>CHOOSE( CONTROL!$C$32, 54.4193, 54.4146) * CHOOSE( CONTROL!$C$15, $D$11, 100%, $F$11)</f>
        <v>54.4193</v>
      </c>
      <c r="H995" s="4">
        <f>CHOOSE( CONTROL!$C$32, 55.3486, 55.3438) * CHOOSE(CONTROL!$C$15, $D$11, 100%, $F$11)</f>
        <v>55.348599999999998</v>
      </c>
      <c r="I995" s="8">
        <f>CHOOSE( CONTROL!$C$32, 53.611, 53.6063) * CHOOSE(CONTROL!$C$15, $D$11, 100%, $F$11)</f>
        <v>53.610999999999997</v>
      </c>
      <c r="J995" s="4">
        <f>CHOOSE( CONTROL!$C$32, 53.4777, 53.473) * CHOOSE(CONTROL!$C$15, $D$11, 100%, $F$11)</f>
        <v>53.477699999999999</v>
      </c>
      <c r="K995" s="4"/>
      <c r="L995" s="9">
        <v>30.7165</v>
      </c>
      <c r="M995" s="9">
        <v>12.063700000000001</v>
      </c>
      <c r="N995" s="9">
        <v>4.9444999999999997</v>
      </c>
      <c r="O995" s="9">
        <v>0.37409999999999999</v>
      </c>
      <c r="P995" s="9">
        <v>1.2183999999999999</v>
      </c>
      <c r="Q995" s="9">
        <v>19.688099999999999</v>
      </c>
      <c r="R995" s="9"/>
      <c r="S995" s="11"/>
    </row>
    <row r="996" spans="1:19" ht="15.75">
      <c r="A996" s="13">
        <v>71833</v>
      </c>
      <c r="B996" s="8">
        <f>CHOOSE( CONTROL!$C$32, 51.4313, 51.4264) * CHOOSE(CONTROL!$C$15, $D$11, 100%, $F$11)</f>
        <v>51.4313</v>
      </c>
      <c r="C996" s="8">
        <f>CHOOSE( CONTROL!$C$32, 51.4394, 51.4345) * CHOOSE(CONTROL!$C$15, $D$11, 100%, $F$11)</f>
        <v>51.439399999999999</v>
      </c>
      <c r="D996" s="8">
        <f>CHOOSE( CONTROL!$C$32, 51.4612, 51.4563) * CHOOSE( CONTROL!$C$15, $D$11, 100%, $F$11)</f>
        <v>51.461199999999998</v>
      </c>
      <c r="E996" s="12">
        <f>CHOOSE( CONTROL!$C$32, 51.4521, 51.4472) * CHOOSE( CONTROL!$C$15, $D$11, 100%, $F$11)</f>
        <v>51.452100000000002</v>
      </c>
      <c r="F996" s="4">
        <f>CHOOSE( CONTROL!$C$32, 52.1291, 52.1243) * CHOOSE(CONTROL!$C$15, $D$11, 100%, $F$11)</f>
        <v>52.129100000000001</v>
      </c>
      <c r="G996" s="8">
        <f>CHOOSE( CONTROL!$C$32, 50.2203, 50.2156) * CHOOSE( CONTROL!$C$15, $D$11, 100%, $F$11)</f>
        <v>50.220300000000002</v>
      </c>
      <c r="H996" s="4">
        <f>CHOOSE( CONTROL!$C$32, 51.1494, 51.1447) * CHOOSE(CONTROL!$C$15, $D$11, 100%, $F$11)</f>
        <v>51.1494</v>
      </c>
      <c r="I996" s="8">
        <f>CHOOSE( CONTROL!$C$32, 49.4815, 49.4768) * CHOOSE(CONTROL!$C$15, $D$11, 100%, $F$11)</f>
        <v>49.481499999999997</v>
      </c>
      <c r="J996" s="4">
        <f>CHOOSE( CONTROL!$C$32, 49.3499, 49.3453) * CHOOSE(CONTROL!$C$15, $D$11, 100%, $F$11)</f>
        <v>49.349899999999998</v>
      </c>
      <c r="K996" s="4"/>
      <c r="L996" s="9">
        <v>30.7165</v>
      </c>
      <c r="M996" s="9">
        <v>12.063700000000001</v>
      </c>
      <c r="N996" s="9">
        <v>4.9444999999999997</v>
      </c>
      <c r="O996" s="9">
        <v>0.37409999999999999</v>
      </c>
      <c r="P996" s="9">
        <v>1.2183999999999999</v>
      </c>
      <c r="Q996" s="9">
        <v>19.688099999999999</v>
      </c>
      <c r="R996" s="9"/>
      <c r="S996" s="11"/>
    </row>
    <row r="997" spans="1:19" ht="15.75">
      <c r="A997" s="13">
        <v>71863</v>
      </c>
      <c r="B997" s="8">
        <f>CHOOSE( CONTROL!$C$32, 50.3547, 50.3499) * CHOOSE(CONTROL!$C$15, $D$11, 100%, $F$11)</f>
        <v>50.354700000000001</v>
      </c>
      <c r="C997" s="8">
        <f>CHOOSE( CONTROL!$C$32, 50.3628, 50.3579) * CHOOSE(CONTROL!$C$15, $D$11, 100%, $F$11)</f>
        <v>50.3628</v>
      </c>
      <c r="D997" s="8">
        <f>CHOOSE( CONTROL!$C$32, 50.3846, 50.3797) * CHOOSE( CONTROL!$C$15, $D$11, 100%, $F$11)</f>
        <v>50.384599999999999</v>
      </c>
      <c r="E997" s="12">
        <f>CHOOSE( CONTROL!$C$32, 50.3755, 50.3706) * CHOOSE( CONTROL!$C$15, $D$11, 100%, $F$11)</f>
        <v>50.375500000000002</v>
      </c>
      <c r="F997" s="4">
        <f>CHOOSE( CONTROL!$C$32, 51.0525, 51.0477) * CHOOSE(CONTROL!$C$15, $D$11, 100%, $F$11)</f>
        <v>51.052500000000002</v>
      </c>
      <c r="G997" s="8">
        <f>CHOOSE( CONTROL!$C$32, 49.1688, 49.1641) * CHOOSE( CONTROL!$C$15, $D$11, 100%, $F$11)</f>
        <v>49.168799999999997</v>
      </c>
      <c r="H997" s="4">
        <f>CHOOSE( CONTROL!$C$32, 50.0979, 50.0932) * CHOOSE(CONTROL!$C$15, $D$11, 100%, $F$11)</f>
        <v>50.097900000000003</v>
      </c>
      <c r="I997" s="8">
        <f>CHOOSE( CONTROL!$C$32, 48.4472, 48.4426) * CHOOSE(CONTROL!$C$15, $D$11, 100%, $F$11)</f>
        <v>48.447200000000002</v>
      </c>
      <c r="J997" s="4">
        <f>CHOOSE( CONTROL!$C$32, 48.3163, 48.3117) * CHOOSE(CONTROL!$C$15, $D$11, 100%, $F$11)</f>
        <v>48.316299999999998</v>
      </c>
      <c r="K997" s="4"/>
      <c r="L997" s="9">
        <v>29.7257</v>
      </c>
      <c r="M997" s="9">
        <v>11.6745</v>
      </c>
      <c r="N997" s="9">
        <v>4.7850000000000001</v>
      </c>
      <c r="O997" s="9">
        <v>0.36199999999999999</v>
      </c>
      <c r="P997" s="9">
        <v>1.1791</v>
      </c>
      <c r="Q997" s="9">
        <v>19.053000000000001</v>
      </c>
      <c r="R997" s="9"/>
      <c r="S997" s="11"/>
    </row>
    <row r="998" spans="1:19" ht="15.75">
      <c r="A998" s="13">
        <v>71894</v>
      </c>
      <c r="B998" s="8">
        <f>52.5835 * CHOOSE(CONTROL!$C$15, $D$11, 100%, $F$11)</f>
        <v>52.583500000000001</v>
      </c>
      <c r="C998" s="8">
        <f>52.5889 * CHOOSE(CONTROL!$C$15, $D$11, 100%, $F$11)</f>
        <v>52.588900000000002</v>
      </c>
      <c r="D998" s="8">
        <f>52.6154 * CHOOSE( CONTROL!$C$15, $D$11, 100%, $F$11)</f>
        <v>52.615400000000001</v>
      </c>
      <c r="E998" s="12">
        <f>52.6061 * CHOOSE( CONTROL!$C$15, $D$11, 100%, $F$11)</f>
        <v>52.606099999999998</v>
      </c>
      <c r="F998" s="4">
        <f>53.283 * CHOOSE(CONTROL!$C$15, $D$11, 100%, $F$11)</f>
        <v>53.283000000000001</v>
      </c>
      <c r="G998" s="8">
        <f>51.3466 * CHOOSE( CONTROL!$C$15, $D$11, 100%, $F$11)</f>
        <v>51.346600000000002</v>
      </c>
      <c r="H998" s="4">
        <f>52.2765 * CHOOSE(CONTROL!$C$15, $D$11, 100%, $F$11)</f>
        <v>52.276499999999999</v>
      </c>
      <c r="I998" s="8">
        <f>50.5906 * CHOOSE(CONTROL!$C$15, $D$11, 100%, $F$11)</f>
        <v>50.590600000000002</v>
      </c>
      <c r="J998" s="4">
        <f>50.4578 * CHOOSE(CONTROL!$C$15, $D$11, 100%, $F$11)</f>
        <v>50.457799999999999</v>
      </c>
      <c r="K998" s="4"/>
      <c r="L998" s="9">
        <v>31.095300000000002</v>
      </c>
      <c r="M998" s="9">
        <v>12.063700000000001</v>
      </c>
      <c r="N998" s="9">
        <v>4.9444999999999997</v>
      </c>
      <c r="O998" s="9">
        <v>0.37409999999999999</v>
      </c>
      <c r="P998" s="9">
        <v>1.2183999999999999</v>
      </c>
      <c r="Q998" s="9">
        <v>19.688099999999999</v>
      </c>
      <c r="R998" s="9"/>
      <c r="S998" s="11"/>
    </row>
    <row r="999" spans="1:19" ht="15.75">
      <c r="A999" s="13">
        <v>71924</v>
      </c>
      <c r="B999" s="8">
        <f>56.7091 * CHOOSE(CONTROL!$C$15, $D$11, 100%, $F$11)</f>
        <v>56.709099999999999</v>
      </c>
      <c r="C999" s="8">
        <f>56.7143 * CHOOSE(CONTROL!$C$15, $D$11, 100%, $F$11)</f>
        <v>56.714300000000001</v>
      </c>
      <c r="D999" s="8">
        <f>56.7036 * CHOOSE( CONTROL!$C$15, $D$11, 100%, $F$11)</f>
        <v>56.703600000000002</v>
      </c>
      <c r="E999" s="12">
        <f>56.707 * CHOOSE( CONTROL!$C$15, $D$11, 100%, $F$11)</f>
        <v>56.707000000000001</v>
      </c>
      <c r="F999" s="4">
        <f>57.358 * CHOOSE(CONTROL!$C$15, $D$11, 100%, $F$11)</f>
        <v>57.357999999999997</v>
      </c>
      <c r="G999" s="8">
        <f>55.3811 * CHOOSE( CONTROL!$C$15, $D$11, 100%, $F$11)</f>
        <v>55.381100000000004</v>
      </c>
      <c r="H999" s="4">
        <f>56.2566 * CHOOSE(CONTROL!$C$15, $D$11, 100%, $F$11)</f>
        <v>56.256599999999999</v>
      </c>
      <c r="I999" s="8">
        <f>54.5795 * CHOOSE(CONTROL!$C$15, $D$11, 100%, $F$11)</f>
        <v>54.579500000000003</v>
      </c>
      <c r="J999" s="4">
        <f>54.4192 * CHOOSE(CONTROL!$C$15, $D$11, 100%, $F$11)</f>
        <v>54.419199999999996</v>
      </c>
      <c r="K999" s="4"/>
      <c r="L999" s="9">
        <v>28.360600000000002</v>
      </c>
      <c r="M999" s="9">
        <v>11.6745</v>
      </c>
      <c r="N999" s="9">
        <v>4.7850000000000001</v>
      </c>
      <c r="O999" s="9">
        <v>0.36199999999999999</v>
      </c>
      <c r="P999" s="9">
        <v>1.2509999999999999</v>
      </c>
      <c r="Q999" s="9">
        <v>19.053000000000001</v>
      </c>
      <c r="R999" s="9"/>
      <c r="S999" s="11"/>
    </row>
    <row r="1000" spans="1:19" ht="15.75">
      <c r="A1000" s="13">
        <v>71955</v>
      </c>
      <c r="B1000" s="8">
        <f>56.606 * CHOOSE(CONTROL!$C$15, $D$11, 100%, $F$11)</f>
        <v>56.606000000000002</v>
      </c>
      <c r="C1000" s="8">
        <f>56.6112 * CHOOSE(CONTROL!$C$15, $D$11, 100%, $F$11)</f>
        <v>56.611199999999997</v>
      </c>
      <c r="D1000" s="8">
        <f>56.6018 * CHOOSE( CONTROL!$C$15, $D$11, 100%, $F$11)</f>
        <v>56.601799999999997</v>
      </c>
      <c r="E1000" s="12">
        <f>56.6047 * CHOOSE( CONTROL!$C$15, $D$11, 100%, $F$11)</f>
        <v>56.604700000000001</v>
      </c>
      <c r="F1000" s="4">
        <f>57.2549 * CHOOSE(CONTROL!$C$15, $D$11, 100%, $F$11)</f>
        <v>57.254899999999999</v>
      </c>
      <c r="G1000" s="8">
        <f>55.2814 * CHOOSE( CONTROL!$C$15, $D$11, 100%, $F$11)</f>
        <v>55.281399999999998</v>
      </c>
      <c r="H1000" s="4">
        <f>56.1559 * CHOOSE(CONTROL!$C$15, $D$11, 100%, $F$11)</f>
        <v>56.155900000000003</v>
      </c>
      <c r="I1000" s="8">
        <f>54.4848 * CHOOSE(CONTROL!$C$15, $D$11, 100%, $F$11)</f>
        <v>54.4848</v>
      </c>
      <c r="J1000" s="4">
        <f>54.3203 * CHOOSE(CONTROL!$C$15, $D$11, 100%, $F$11)</f>
        <v>54.320300000000003</v>
      </c>
      <c r="K1000" s="4"/>
      <c r="L1000" s="9">
        <v>29.306000000000001</v>
      </c>
      <c r="M1000" s="9">
        <v>12.063700000000001</v>
      </c>
      <c r="N1000" s="9">
        <v>4.9444999999999997</v>
      </c>
      <c r="O1000" s="9">
        <v>0.37409999999999999</v>
      </c>
      <c r="P1000" s="9">
        <v>1.2927</v>
      </c>
      <c r="Q1000" s="9">
        <v>19.688099999999999</v>
      </c>
      <c r="R1000" s="9"/>
      <c r="S1000" s="11"/>
    </row>
    <row r="1001" spans="1:19" ht="15.75">
      <c r="A1001" s="13">
        <v>71986</v>
      </c>
      <c r="B1001" s="8">
        <f>58.7684 * CHOOSE(CONTROL!$C$15, $D$11, 100%, $F$11)</f>
        <v>58.7684</v>
      </c>
      <c r="C1001" s="8">
        <f>58.7736 * CHOOSE(CONTROL!$C$15, $D$11, 100%, $F$11)</f>
        <v>58.773600000000002</v>
      </c>
      <c r="D1001" s="8">
        <f>58.7601 * CHOOSE( CONTROL!$C$15, $D$11, 100%, $F$11)</f>
        <v>58.760100000000001</v>
      </c>
      <c r="E1001" s="12">
        <f>58.7645 * CHOOSE( CONTROL!$C$15, $D$11, 100%, $F$11)</f>
        <v>58.764499999999998</v>
      </c>
      <c r="F1001" s="4">
        <f>59.4173 * CHOOSE(CONTROL!$C$15, $D$11, 100%, $F$11)</f>
        <v>59.417299999999997</v>
      </c>
      <c r="G1001" s="8">
        <f>57.3871 * CHOOSE( CONTROL!$C$15, $D$11, 100%, $F$11)</f>
        <v>57.387099999999997</v>
      </c>
      <c r="H1001" s="4">
        <f>58.2679 * CHOOSE(CONTROL!$C$15, $D$11, 100%, $F$11)</f>
        <v>58.267899999999997</v>
      </c>
      <c r="I1001" s="8">
        <f>56.5383 * CHOOSE(CONTROL!$C$15, $D$11, 100%, $F$11)</f>
        <v>56.5383</v>
      </c>
      <c r="J1001" s="4">
        <f>56.3964 * CHOOSE(CONTROL!$C$15, $D$11, 100%, $F$11)</f>
        <v>56.3964</v>
      </c>
      <c r="K1001" s="4"/>
      <c r="L1001" s="9">
        <v>29.306000000000001</v>
      </c>
      <c r="M1001" s="9">
        <v>12.063700000000001</v>
      </c>
      <c r="N1001" s="9">
        <v>4.9444999999999997</v>
      </c>
      <c r="O1001" s="9">
        <v>0.37409999999999999</v>
      </c>
      <c r="P1001" s="9">
        <v>1.2927</v>
      </c>
      <c r="Q1001" s="9">
        <v>19.688099999999999</v>
      </c>
      <c r="R1001" s="9"/>
      <c r="S1001" s="11"/>
    </row>
    <row r="1002" spans="1:19" ht="15.75">
      <c r="A1002" s="13">
        <v>72014</v>
      </c>
      <c r="B1002" s="8">
        <f>54.9709 * CHOOSE(CONTROL!$C$15, $D$11, 100%, $F$11)</f>
        <v>54.9709</v>
      </c>
      <c r="C1002" s="8">
        <f>54.9761 * CHOOSE(CONTROL!$C$15, $D$11, 100%, $F$11)</f>
        <v>54.976100000000002</v>
      </c>
      <c r="D1002" s="8">
        <f>54.9626 * CHOOSE( CONTROL!$C$15, $D$11, 100%, $F$11)</f>
        <v>54.962600000000002</v>
      </c>
      <c r="E1002" s="12">
        <f>54.967 * CHOOSE( CONTROL!$C$15, $D$11, 100%, $F$11)</f>
        <v>54.966999999999999</v>
      </c>
      <c r="F1002" s="4">
        <f>55.6199 * CHOOSE(CONTROL!$C$15, $D$11, 100%, $F$11)</f>
        <v>55.619900000000001</v>
      </c>
      <c r="G1002" s="8">
        <f>53.6781 * CHOOSE( CONTROL!$C$15, $D$11, 100%, $F$11)</f>
        <v>53.678100000000001</v>
      </c>
      <c r="H1002" s="4">
        <f>54.5589 * CHOOSE(CONTROL!$C$15, $D$11, 100%, $F$11)</f>
        <v>54.558900000000001</v>
      </c>
      <c r="I1002" s="8">
        <f>52.8905 * CHOOSE(CONTROL!$C$15, $D$11, 100%, $F$11)</f>
        <v>52.890500000000003</v>
      </c>
      <c r="J1002" s="4">
        <f>52.7504 * CHOOSE(CONTROL!$C$15, $D$11, 100%, $F$11)</f>
        <v>52.750399999999999</v>
      </c>
      <c r="K1002" s="4"/>
      <c r="L1002" s="9">
        <v>26.469899999999999</v>
      </c>
      <c r="M1002" s="9">
        <v>10.8962</v>
      </c>
      <c r="N1002" s="9">
        <v>4.4660000000000002</v>
      </c>
      <c r="O1002" s="9">
        <v>0.33789999999999998</v>
      </c>
      <c r="P1002" s="9">
        <v>1.1676</v>
      </c>
      <c r="Q1002" s="9">
        <v>17.782800000000002</v>
      </c>
      <c r="R1002" s="9"/>
      <c r="S1002" s="11"/>
    </row>
    <row r="1003" spans="1:19" ht="15.75">
      <c r="A1003" s="13">
        <v>72045</v>
      </c>
      <c r="B1003" s="8">
        <f>53.8013 * CHOOSE(CONTROL!$C$15, $D$11, 100%, $F$11)</f>
        <v>53.801299999999998</v>
      </c>
      <c r="C1003" s="8">
        <f>53.8065 * CHOOSE(CONTROL!$C$15, $D$11, 100%, $F$11)</f>
        <v>53.8065</v>
      </c>
      <c r="D1003" s="8">
        <f>53.7927 * CHOOSE( CONTROL!$C$15, $D$11, 100%, $F$11)</f>
        <v>53.792700000000004</v>
      </c>
      <c r="E1003" s="12">
        <f>53.7972 * CHOOSE( CONTROL!$C$15, $D$11, 100%, $F$11)</f>
        <v>53.797199999999997</v>
      </c>
      <c r="F1003" s="4">
        <f>54.4503 * CHOOSE(CONTROL!$C$15, $D$11, 100%, $F$11)</f>
        <v>54.450299999999999</v>
      </c>
      <c r="G1003" s="8">
        <f>52.5355 * CHOOSE( CONTROL!$C$15, $D$11, 100%, $F$11)</f>
        <v>52.535499999999999</v>
      </c>
      <c r="H1003" s="4">
        <f>53.4165 * CHOOSE(CONTROL!$C$15, $D$11, 100%, $F$11)</f>
        <v>53.416499999999999</v>
      </c>
      <c r="I1003" s="8">
        <f>51.766 * CHOOSE(CONTROL!$C$15, $D$11, 100%, $F$11)</f>
        <v>51.765999999999998</v>
      </c>
      <c r="J1003" s="4">
        <f>51.6275 * CHOOSE(CONTROL!$C$15, $D$11, 100%, $F$11)</f>
        <v>51.627499999999998</v>
      </c>
      <c r="K1003" s="4"/>
      <c r="L1003" s="9">
        <v>29.306000000000001</v>
      </c>
      <c r="M1003" s="9">
        <v>12.063700000000001</v>
      </c>
      <c r="N1003" s="9">
        <v>4.9444999999999997</v>
      </c>
      <c r="O1003" s="9">
        <v>0.37409999999999999</v>
      </c>
      <c r="P1003" s="9">
        <v>1.2927</v>
      </c>
      <c r="Q1003" s="9">
        <v>19.688099999999999</v>
      </c>
      <c r="R1003" s="9"/>
      <c r="S1003" s="11"/>
    </row>
    <row r="1004" spans="1:19" ht="15.75">
      <c r="A1004" s="13">
        <v>72075</v>
      </c>
      <c r="B1004" s="8">
        <f>54.6194 * CHOOSE(CONTROL!$C$15, $D$11, 100%, $F$11)</f>
        <v>54.619399999999999</v>
      </c>
      <c r="C1004" s="8">
        <f>54.624 * CHOOSE(CONTROL!$C$15, $D$11, 100%, $F$11)</f>
        <v>54.624000000000002</v>
      </c>
      <c r="D1004" s="8">
        <f>54.6503 * CHOOSE( CONTROL!$C$15, $D$11, 100%, $F$11)</f>
        <v>54.650300000000001</v>
      </c>
      <c r="E1004" s="12">
        <f>54.6411 * CHOOSE( CONTROL!$C$15, $D$11, 100%, $F$11)</f>
        <v>54.641100000000002</v>
      </c>
      <c r="F1004" s="4">
        <f>55.3186 * CHOOSE(CONTROL!$C$15, $D$11, 100%, $F$11)</f>
        <v>55.318600000000004</v>
      </c>
      <c r="G1004" s="8">
        <f>53.3338 * CHOOSE( CONTROL!$C$15, $D$11, 100%, $F$11)</f>
        <v>53.333799999999997</v>
      </c>
      <c r="H1004" s="4">
        <f>54.2646 * CHOOSE(CONTROL!$C$15, $D$11, 100%, $F$11)</f>
        <v>54.264600000000002</v>
      </c>
      <c r="I1004" s="8">
        <f>52.5429 * CHOOSE(CONTROL!$C$15, $D$11, 100%, $F$11)</f>
        <v>52.542900000000003</v>
      </c>
      <c r="J1004" s="4">
        <f>52.4122 * CHOOSE(CONTROL!$C$15, $D$11, 100%, $F$11)</f>
        <v>52.412199999999999</v>
      </c>
      <c r="K1004" s="4"/>
      <c r="L1004" s="9">
        <v>30.092199999999998</v>
      </c>
      <c r="M1004" s="9">
        <v>11.6745</v>
      </c>
      <c r="N1004" s="9">
        <v>4.7850000000000001</v>
      </c>
      <c r="O1004" s="9">
        <v>0.36199999999999999</v>
      </c>
      <c r="P1004" s="9">
        <v>1.1791</v>
      </c>
      <c r="Q1004" s="9">
        <v>19.053000000000001</v>
      </c>
      <c r="R1004" s="9"/>
      <c r="S1004" s="11"/>
    </row>
    <row r="1005" spans="1:19" ht="15.75">
      <c r="A1005" s="13">
        <v>72106</v>
      </c>
      <c r="B1005" s="8">
        <f>CHOOSE( CONTROL!$C$32, 56.0802, 56.0754) * CHOOSE(CONTROL!$C$15, $D$11, 100%, $F$11)</f>
        <v>56.080199999999998</v>
      </c>
      <c r="C1005" s="8">
        <f>CHOOSE( CONTROL!$C$32, 56.0883, 56.0835) * CHOOSE(CONTROL!$C$15, $D$11, 100%, $F$11)</f>
        <v>56.088299999999997</v>
      </c>
      <c r="D1005" s="8">
        <f>CHOOSE( CONTROL!$C$32, 56.1096, 56.1048) * CHOOSE( CONTROL!$C$15, $D$11, 100%, $F$11)</f>
        <v>56.1096</v>
      </c>
      <c r="E1005" s="12">
        <f>CHOOSE( CONTROL!$C$32, 56.1006, 56.0958) * CHOOSE( CONTROL!$C$15, $D$11, 100%, $F$11)</f>
        <v>56.1006</v>
      </c>
      <c r="F1005" s="4">
        <f>CHOOSE( CONTROL!$C$32, 56.778, 56.7732) * CHOOSE(CONTROL!$C$15, $D$11, 100%, $F$11)</f>
        <v>56.777999999999999</v>
      </c>
      <c r="G1005" s="8">
        <f>CHOOSE( CONTROL!$C$32, 54.7602, 54.7555) * CHOOSE( CONTROL!$C$15, $D$11, 100%, $F$11)</f>
        <v>54.760199999999998</v>
      </c>
      <c r="H1005" s="4">
        <f>CHOOSE( CONTROL!$C$32, 55.6901, 55.6853) * CHOOSE(CONTROL!$C$15, $D$11, 100%, $F$11)</f>
        <v>55.690100000000001</v>
      </c>
      <c r="I1005" s="8">
        <f>CHOOSE( CONTROL!$C$32, 53.9448, 53.9401) * CHOOSE(CONTROL!$C$15, $D$11, 100%, $F$11)</f>
        <v>53.944800000000001</v>
      </c>
      <c r="J1005" s="4">
        <f>CHOOSE( CONTROL!$C$32, 53.8134, 53.8087) * CHOOSE(CONTROL!$C$15, $D$11, 100%, $F$11)</f>
        <v>53.813400000000001</v>
      </c>
      <c r="K1005" s="4"/>
      <c r="L1005" s="9">
        <v>30.7165</v>
      </c>
      <c r="M1005" s="9">
        <v>12.063700000000001</v>
      </c>
      <c r="N1005" s="9">
        <v>4.9444999999999997</v>
      </c>
      <c r="O1005" s="9">
        <v>0.37409999999999999</v>
      </c>
      <c r="P1005" s="9">
        <v>1.2183999999999999</v>
      </c>
      <c r="Q1005" s="9">
        <v>19.688099999999999</v>
      </c>
      <c r="R1005" s="9"/>
      <c r="S1005" s="11"/>
    </row>
    <row r="1006" spans="1:19" ht="15.75">
      <c r="A1006" s="13">
        <v>72136</v>
      </c>
      <c r="B1006" s="8">
        <f>CHOOSE( CONTROL!$C$32, 55.1791, 55.1743) * CHOOSE(CONTROL!$C$15, $D$11, 100%, $F$11)</f>
        <v>55.179099999999998</v>
      </c>
      <c r="C1006" s="8">
        <f>CHOOSE( CONTROL!$C$32, 55.1872, 55.1824) * CHOOSE(CONTROL!$C$15, $D$11, 100%, $F$11)</f>
        <v>55.187199999999997</v>
      </c>
      <c r="D1006" s="8">
        <f>CHOOSE( CONTROL!$C$32, 55.2087, 55.2039) * CHOOSE( CONTROL!$C$15, $D$11, 100%, $F$11)</f>
        <v>55.2087</v>
      </c>
      <c r="E1006" s="12">
        <f>CHOOSE( CONTROL!$C$32, 55.1997, 55.1949) * CHOOSE( CONTROL!$C$15, $D$11, 100%, $F$11)</f>
        <v>55.1997</v>
      </c>
      <c r="F1006" s="4">
        <f>CHOOSE( CONTROL!$C$32, 55.8769, 55.8721) * CHOOSE(CONTROL!$C$15, $D$11, 100%, $F$11)</f>
        <v>55.876899999999999</v>
      </c>
      <c r="G1006" s="8">
        <f>CHOOSE( CONTROL!$C$32, 53.8804, 53.8757) * CHOOSE( CONTROL!$C$15, $D$11, 100%, $F$11)</f>
        <v>53.880400000000002</v>
      </c>
      <c r="H1006" s="4">
        <f>CHOOSE( CONTROL!$C$32, 54.81, 54.8053) * CHOOSE(CONTROL!$C$15, $D$11, 100%, $F$11)</f>
        <v>54.81</v>
      </c>
      <c r="I1006" s="8">
        <f>CHOOSE( CONTROL!$C$32, 53.0802, 53.0755) * CHOOSE(CONTROL!$C$15, $D$11, 100%, $F$11)</f>
        <v>53.080199999999998</v>
      </c>
      <c r="J1006" s="4">
        <f>CHOOSE( CONTROL!$C$32, 52.9483, 52.9436) * CHOOSE(CONTROL!$C$15, $D$11, 100%, $F$11)</f>
        <v>52.948300000000003</v>
      </c>
      <c r="K1006" s="4"/>
      <c r="L1006" s="9">
        <v>29.7257</v>
      </c>
      <c r="M1006" s="9">
        <v>11.6745</v>
      </c>
      <c r="N1006" s="9">
        <v>4.7850000000000001</v>
      </c>
      <c r="O1006" s="9">
        <v>0.36199999999999999</v>
      </c>
      <c r="P1006" s="9">
        <v>1.1791</v>
      </c>
      <c r="Q1006" s="9">
        <v>19.053000000000001</v>
      </c>
      <c r="R1006" s="9"/>
      <c r="S1006" s="11"/>
    </row>
    <row r="1007" spans="1:19" ht="15.75">
      <c r="A1007" s="13">
        <v>72167</v>
      </c>
      <c r="B1007" s="8">
        <f>CHOOSE( CONTROL!$C$32, 57.552, 57.5471) * CHOOSE(CONTROL!$C$15, $D$11, 100%, $F$11)</f>
        <v>57.552</v>
      </c>
      <c r="C1007" s="8">
        <f>CHOOSE( CONTROL!$C$32, 57.5601, 57.5552) * CHOOSE(CONTROL!$C$15, $D$11, 100%, $F$11)</f>
        <v>57.560099999999998</v>
      </c>
      <c r="D1007" s="8">
        <f>CHOOSE( CONTROL!$C$32, 57.5818, 57.577) * CHOOSE( CONTROL!$C$15, $D$11, 100%, $F$11)</f>
        <v>57.581800000000001</v>
      </c>
      <c r="E1007" s="12">
        <f>CHOOSE( CONTROL!$C$32, 57.5727, 57.5679) * CHOOSE( CONTROL!$C$15, $D$11, 100%, $F$11)</f>
        <v>57.572699999999998</v>
      </c>
      <c r="F1007" s="4">
        <f>CHOOSE( CONTROL!$C$32, 58.2498, 58.245) * CHOOSE(CONTROL!$C$15, $D$11, 100%, $F$11)</f>
        <v>58.2498</v>
      </c>
      <c r="G1007" s="8">
        <f>CHOOSE( CONTROL!$C$32, 56.1984, 56.1936) * CHOOSE( CONTROL!$C$15, $D$11, 100%, $F$11)</f>
        <v>56.198399999999999</v>
      </c>
      <c r="H1007" s="4">
        <f>CHOOSE( CONTROL!$C$32, 57.1276, 57.1228) * CHOOSE(CONTROL!$C$15, $D$11, 100%, $F$11)</f>
        <v>57.127600000000001</v>
      </c>
      <c r="I1007" s="8">
        <f>CHOOSE( CONTROL!$C$32, 55.3606, 55.356) * CHOOSE(CONTROL!$C$15, $D$11, 100%, $F$11)</f>
        <v>55.360599999999998</v>
      </c>
      <c r="J1007" s="4">
        <f>CHOOSE( CONTROL!$C$32, 55.2264, 55.2218) * CHOOSE(CONTROL!$C$15, $D$11, 100%, $F$11)</f>
        <v>55.226399999999998</v>
      </c>
      <c r="K1007" s="4"/>
      <c r="L1007" s="9">
        <v>30.7165</v>
      </c>
      <c r="M1007" s="9">
        <v>12.063700000000001</v>
      </c>
      <c r="N1007" s="9">
        <v>4.9444999999999997</v>
      </c>
      <c r="O1007" s="9">
        <v>0.37409999999999999</v>
      </c>
      <c r="P1007" s="9">
        <v>1.2183999999999999</v>
      </c>
      <c r="Q1007" s="9">
        <v>19.688099999999999</v>
      </c>
      <c r="R1007" s="9"/>
      <c r="S1007" s="11"/>
    </row>
    <row r="1008" spans="1:19" ht="15.75">
      <c r="A1008" s="13">
        <v>72198</v>
      </c>
      <c r="B1008" s="8">
        <f>CHOOSE( CONTROL!$C$32, 53.1121, 53.1073) * CHOOSE(CONTROL!$C$15, $D$11, 100%, $F$11)</f>
        <v>53.112099999999998</v>
      </c>
      <c r="C1008" s="8">
        <f>CHOOSE( CONTROL!$C$32, 53.1202, 53.1154) * CHOOSE(CONTROL!$C$15, $D$11, 100%, $F$11)</f>
        <v>53.120199999999997</v>
      </c>
      <c r="D1008" s="8">
        <f>CHOOSE( CONTROL!$C$32, 53.142, 53.1372) * CHOOSE( CONTROL!$C$15, $D$11, 100%, $F$11)</f>
        <v>53.142000000000003</v>
      </c>
      <c r="E1008" s="12">
        <f>CHOOSE( CONTROL!$C$32, 53.1329, 53.1281) * CHOOSE( CONTROL!$C$15, $D$11, 100%, $F$11)</f>
        <v>53.132899999999999</v>
      </c>
      <c r="F1008" s="4">
        <f>CHOOSE( CONTROL!$C$32, 53.8099, 53.8051) * CHOOSE(CONTROL!$C$15, $D$11, 100%, $F$11)</f>
        <v>53.809899999999999</v>
      </c>
      <c r="G1008" s="8">
        <f>CHOOSE( CONTROL!$C$32, 51.862, 51.8573) * CHOOSE( CONTROL!$C$15, $D$11, 100%, $F$11)</f>
        <v>51.862000000000002</v>
      </c>
      <c r="H1008" s="4">
        <f>CHOOSE( CONTROL!$C$32, 52.7911, 52.7864) * CHOOSE(CONTROL!$C$15, $D$11, 100%, $F$11)</f>
        <v>52.7911</v>
      </c>
      <c r="I1008" s="8">
        <f>CHOOSE( CONTROL!$C$32, 51.096, 51.0914) * CHOOSE(CONTROL!$C$15, $D$11, 100%, $F$11)</f>
        <v>51.095999999999997</v>
      </c>
      <c r="J1008" s="4">
        <f>CHOOSE( CONTROL!$C$32, 50.9637, 50.9591) * CHOOSE(CONTROL!$C$15, $D$11, 100%, $F$11)</f>
        <v>50.963700000000003</v>
      </c>
      <c r="K1008" s="4"/>
      <c r="L1008" s="9">
        <v>30.7165</v>
      </c>
      <c r="M1008" s="9">
        <v>12.063700000000001</v>
      </c>
      <c r="N1008" s="9">
        <v>4.9444999999999997</v>
      </c>
      <c r="O1008" s="9">
        <v>0.37409999999999999</v>
      </c>
      <c r="P1008" s="9">
        <v>1.2183999999999999</v>
      </c>
      <c r="Q1008" s="9">
        <v>19.688099999999999</v>
      </c>
      <c r="R1008" s="9"/>
      <c r="S1008" s="11"/>
    </row>
    <row r="1009" spans="1:19" ht="15.75">
      <c r="A1009" s="13">
        <v>72228</v>
      </c>
      <c r="B1009" s="8">
        <f>CHOOSE( CONTROL!$C$32, 52.0003, 51.9955) * CHOOSE(CONTROL!$C$15, $D$11, 100%, $F$11)</f>
        <v>52.000300000000003</v>
      </c>
      <c r="C1009" s="8">
        <f>CHOOSE( CONTROL!$C$32, 52.0084, 52.0036) * CHOOSE(CONTROL!$C$15, $D$11, 100%, $F$11)</f>
        <v>52.008400000000002</v>
      </c>
      <c r="D1009" s="8">
        <f>CHOOSE( CONTROL!$C$32, 52.0302, 52.0254) * CHOOSE( CONTROL!$C$15, $D$11, 100%, $F$11)</f>
        <v>52.030200000000001</v>
      </c>
      <c r="E1009" s="12">
        <f>CHOOSE( CONTROL!$C$32, 52.0211, 52.0163) * CHOOSE( CONTROL!$C$15, $D$11, 100%, $F$11)</f>
        <v>52.021099999999997</v>
      </c>
      <c r="F1009" s="4">
        <f>CHOOSE( CONTROL!$C$32, 52.6981, 52.6933) * CHOOSE(CONTROL!$C$15, $D$11, 100%, $F$11)</f>
        <v>52.698099999999997</v>
      </c>
      <c r="G1009" s="8">
        <f>CHOOSE( CONTROL!$C$32, 50.7761, 50.7714) * CHOOSE( CONTROL!$C$15, $D$11, 100%, $F$11)</f>
        <v>50.7761</v>
      </c>
      <c r="H1009" s="4">
        <f>CHOOSE( CONTROL!$C$32, 51.7052, 51.7005) * CHOOSE(CONTROL!$C$15, $D$11, 100%, $F$11)</f>
        <v>51.705199999999998</v>
      </c>
      <c r="I1009" s="8">
        <f>CHOOSE( CONTROL!$C$32, 50.028, 50.0233) * CHOOSE(CONTROL!$C$15, $D$11, 100%, $F$11)</f>
        <v>50.027999999999999</v>
      </c>
      <c r="J1009" s="4">
        <f>CHOOSE( CONTROL!$C$32, 49.8963, 49.8916) * CHOOSE(CONTROL!$C$15, $D$11, 100%, $F$11)</f>
        <v>49.896299999999997</v>
      </c>
      <c r="K1009" s="4"/>
      <c r="L1009" s="9">
        <v>29.7257</v>
      </c>
      <c r="M1009" s="9">
        <v>11.6745</v>
      </c>
      <c r="N1009" s="9">
        <v>4.7850000000000001</v>
      </c>
      <c r="O1009" s="9">
        <v>0.36199999999999999</v>
      </c>
      <c r="P1009" s="9">
        <v>1.1791</v>
      </c>
      <c r="Q1009" s="9">
        <v>19.053000000000001</v>
      </c>
      <c r="R1009" s="9"/>
      <c r="S1009" s="11"/>
    </row>
    <row r="1010" spans="1:19" ht="15.75">
      <c r="A1010" s="13">
        <v>72259</v>
      </c>
      <c r="B1010" s="8">
        <f>54.3022 * CHOOSE(CONTROL!$C$15, $D$11, 100%, $F$11)</f>
        <v>54.302199999999999</v>
      </c>
      <c r="C1010" s="8">
        <f>54.3077 * CHOOSE(CONTROL!$C$15, $D$11, 100%, $F$11)</f>
        <v>54.307699999999997</v>
      </c>
      <c r="D1010" s="8">
        <f>54.3341 * CHOOSE( CONTROL!$C$15, $D$11, 100%, $F$11)</f>
        <v>54.334099999999999</v>
      </c>
      <c r="E1010" s="12">
        <f>54.3248 * CHOOSE( CONTROL!$C$15, $D$11, 100%, $F$11)</f>
        <v>54.324800000000003</v>
      </c>
      <c r="F1010" s="4">
        <f>55.0018 * CHOOSE(CONTROL!$C$15, $D$11, 100%, $F$11)</f>
        <v>55.001800000000003</v>
      </c>
      <c r="G1010" s="8">
        <f>53.0253 * CHOOSE( CONTROL!$C$15, $D$11, 100%, $F$11)</f>
        <v>53.025300000000001</v>
      </c>
      <c r="H1010" s="4">
        <f>53.9552 * CHOOSE(CONTROL!$C$15, $D$11, 100%, $F$11)</f>
        <v>53.955199999999998</v>
      </c>
      <c r="I1010" s="8">
        <f>52.2416 * CHOOSE(CONTROL!$C$15, $D$11, 100%, $F$11)</f>
        <v>52.241599999999998</v>
      </c>
      <c r="J1010" s="4">
        <f>52.108 * CHOOSE(CONTROL!$C$15, $D$11, 100%, $F$11)</f>
        <v>52.107999999999997</v>
      </c>
      <c r="K1010" s="4"/>
      <c r="L1010" s="9">
        <v>31.095300000000002</v>
      </c>
      <c r="M1010" s="9">
        <v>12.063700000000001</v>
      </c>
      <c r="N1010" s="9">
        <v>4.9444999999999997</v>
      </c>
      <c r="O1010" s="9">
        <v>0.37409999999999999</v>
      </c>
      <c r="P1010" s="9">
        <v>1.2183999999999999</v>
      </c>
      <c r="Q1010" s="9">
        <v>19.688099999999999</v>
      </c>
      <c r="R1010" s="9"/>
      <c r="S1010" s="11"/>
    </row>
    <row r="1011" spans="1:19" ht="15.75">
      <c r="A1011" s="13">
        <v>72289</v>
      </c>
      <c r="B1011" s="8">
        <f>58.5628 * CHOOSE(CONTROL!$C$15, $D$11, 100%, $F$11)</f>
        <v>58.562800000000003</v>
      </c>
      <c r="C1011" s="8">
        <f>58.568 * CHOOSE(CONTROL!$C$15, $D$11, 100%, $F$11)</f>
        <v>58.567999999999998</v>
      </c>
      <c r="D1011" s="8">
        <f>58.5572 * CHOOSE( CONTROL!$C$15, $D$11, 100%, $F$11)</f>
        <v>58.557200000000002</v>
      </c>
      <c r="E1011" s="12">
        <f>58.5606 * CHOOSE( CONTROL!$C$15, $D$11, 100%, $F$11)</f>
        <v>58.560600000000001</v>
      </c>
      <c r="F1011" s="4">
        <f>59.2117 * CHOOSE(CONTROL!$C$15, $D$11, 100%, $F$11)</f>
        <v>59.2117</v>
      </c>
      <c r="G1011" s="8">
        <f>57.1916 * CHOOSE( CONTROL!$C$15, $D$11, 100%, $F$11)</f>
        <v>57.191600000000001</v>
      </c>
      <c r="H1011" s="4">
        <f>58.0671 * CHOOSE(CONTROL!$C$15, $D$11, 100%, $F$11)</f>
        <v>58.067100000000003</v>
      </c>
      <c r="I1011" s="8">
        <f>56.3601 * CHOOSE(CONTROL!$C$15, $D$11, 100%, $F$11)</f>
        <v>56.360100000000003</v>
      </c>
      <c r="J1011" s="4">
        <f>56.199 * CHOOSE(CONTROL!$C$15, $D$11, 100%, $F$11)</f>
        <v>56.198999999999998</v>
      </c>
      <c r="K1011" s="4"/>
      <c r="L1011" s="9">
        <v>28.360600000000002</v>
      </c>
      <c r="M1011" s="9">
        <v>11.6745</v>
      </c>
      <c r="N1011" s="9">
        <v>4.7850000000000001</v>
      </c>
      <c r="O1011" s="9">
        <v>0.36199999999999999</v>
      </c>
      <c r="P1011" s="9">
        <v>1.2509999999999999</v>
      </c>
      <c r="Q1011" s="9">
        <v>19.053000000000001</v>
      </c>
      <c r="R1011" s="9"/>
      <c r="S1011" s="11"/>
    </row>
    <row r="1012" spans="1:19" ht="15.75">
      <c r="A1012" s="13">
        <v>72320</v>
      </c>
      <c r="B1012" s="8">
        <f>58.4563 * CHOOSE(CONTROL!$C$15, $D$11, 100%, $F$11)</f>
        <v>58.456299999999999</v>
      </c>
      <c r="C1012" s="8">
        <f>58.4615 * CHOOSE(CONTROL!$C$15, $D$11, 100%, $F$11)</f>
        <v>58.461500000000001</v>
      </c>
      <c r="D1012" s="8">
        <f>58.4521 * CHOOSE( CONTROL!$C$15, $D$11, 100%, $F$11)</f>
        <v>58.452100000000002</v>
      </c>
      <c r="E1012" s="12">
        <f>58.455 * CHOOSE( CONTROL!$C$15, $D$11, 100%, $F$11)</f>
        <v>58.454999999999998</v>
      </c>
      <c r="F1012" s="4">
        <f>59.1052 * CHOOSE(CONTROL!$C$15, $D$11, 100%, $F$11)</f>
        <v>59.105200000000004</v>
      </c>
      <c r="G1012" s="8">
        <f>57.0886 * CHOOSE( CONTROL!$C$15, $D$11, 100%, $F$11)</f>
        <v>57.0886</v>
      </c>
      <c r="H1012" s="4">
        <f>57.9631 * CHOOSE(CONTROL!$C$15, $D$11, 100%, $F$11)</f>
        <v>57.963099999999997</v>
      </c>
      <c r="I1012" s="8">
        <f>56.2622 * CHOOSE(CONTROL!$C$15, $D$11, 100%, $F$11)</f>
        <v>56.2622</v>
      </c>
      <c r="J1012" s="4">
        <f>56.0967 * CHOOSE(CONTROL!$C$15, $D$11, 100%, $F$11)</f>
        <v>56.096699999999998</v>
      </c>
      <c r="K1012" s="4"/>
      <c r="L1012" s="9">
        <v>29.306000000000001</v>
      </c>
      <c r="M1012" s="9">
        <v>12.063700000000001</v>
      </c>
      <c r="N1012" s="9">
        <v>4.9444999999999997</v>
      </c>
      <c r="O1012" s="9">
        <v>0.37409999999999999</v>
      </c>
      <c r="P1012" s="9">
        <v>1.2927</v>
      </c>
      <c r="Q1012" s="9">
        <v>19.688099999999999</v>
      </c>
      <c r="R1012" s="9"/>
      <c r="S1012" s="11"/>
    </row>
    <row r="1013" spans="1:19" ht="15.75">
      <c r="A1013" s="13">
        <v>72351</v>
      </c>
      <c r="B1013" s="8">
        <f>60.6894 * CHOOSE(CONTROL!$C$15, $D$11, 100%, $F$11)</f>
        <v>60.689399999999999</v>
      </c>
      <c r="C1013" s="8">
        <f>60.6946 * CHOOSE(CONTROL!$C$15, $D$11, 100%, $F$11)</f>
        <v>60.694600000000001</v>
      </c>
      <c r="D1013" s="8">
        <f>60.6811 * CHOOSE( CONTROL!$C$15, $D$11, 100%, $F$11)</f>
        <v>60.681100000000001</v>
      </c>
      <c r="E1013" s="12">
        <f>60.6855 * CHOOSE( CONTROL!$C$15, $D$11, 100%, $F$11)</f>
        <v>60.685499999999998</v>
      </c>
      <c r="F1013" s="4">
        <f>61.3383 * CHOOSE(CONTROL!$C$15, $D$11, 100%, $F$11)</f>
        <v>61.338299999999997</v>
      </c>
      <c r="G1013" s="8">
        <f>59.2634 * CHOOSE( CONTROL!$C$15, $D$11, 100%, $F$11)</f>
        <v>59.263399999999997</v>
      </c>
      <c r="H1013" s="4">
        <f>60.1441 * CHOOSE(CONTROL!$C$15, $D$11, 100%, $F$11)</f>
        <v>60.144100000000002</v>
      </c>
      <c r="I1013" s="8">
        <f>58.3836 * CHOOSE(CONTROL!$C$15, $D$11, 100%, $F$11)</f>
        <v>58.383600000000001</v>
      </c>
      <c r="J1013" s="4">
        <f>58.2407 * CHOOSE(CONTROL!$C$15, $D$11, 100%, $F$11)</f>
        <v>58.240699999999997</v>
      </c>
      <c r="K1013" s="4"/>
      <c r="L1013" s="9">
        <v>29.306000000000001</v>
      </c>
      <c r="M1013" s="9">
        <v>12.063700000000001</v>
      </c>
      <c r="N1013" s="9">
        <v>4.9444999999999997</v>
      </c>
      <c r="O1013" s="9">
        <v>0.37409999999999999</v>
      </c>
      <c r="P1013" s="9">
        <v>1.2927</v>
      </c>
      <c r="Q1013" s="9">
        <v>19.688099999999999</v>
      </c>
      <c r="R1013" s="9"/>
      <c r="S1013" s="11"/>
    </row>
    <row r="1014" spans="1:19" ht="15.75">
      <c r="A1014" s="13">
        <v>72379</v>
      </c>
      <c r="B1014" s="8">
        <f>56.7678 * CHOOSE(CONTROL!$C$15, $D$11, 100%, $F$11)</f>
        <v>56.767800000000001</v>
      </c>
      <c r="C1014" s="8">
        <f>56.773 * CHOOSE(CONTROL!$C$15, $D$11, 100%, $F$11)</f>
        <v>56.773000000000003</v>
      </c>
      <c r="D1014" s="8">
        <f>56.7594 * CHOOSE( CONTROL!$C$15, $D$11, 100%, $F$11)</f>
        <v>56.759399999999999</v>
      </c>
      <c r="E1014" s="12">
        <f>56.7638 * CHOOSE( CONTROL!$C$15, $D$11, 100%, $F$11)</f>
        <v>56.763800000000003</v>
      </c>
      <c r="F1014" s="4">
        <f>57.4167 * CHOOSE(CONTROL!$C$15, $D$11, 100%, $F$11)</f>
        <v>57.416699999999999</v>
      </c>
      <c r="G1014" s="8">
        <f>55.4331 * CHOOSE( CONTROL!$C$15, $D$11, 100%, $F$11)</f>
        <v>55.433100000000003</v>
      </c>
      <c r="H1014" s="4">
        <f>56.3139 * CHOOSE(CONTROL!$C$15, $D$11, 100%, $F$11)</f>
        <v>56.313899999999997</v>
      </c>
      <c r="I1014" s="8">
        <f>54.6165 * CHOOSE(CONTROL!$C$15, $D$11, 100%, $F$11)</f>
        <v>54.616500000000002</v>
      </c>
      <c r="J1014" s="4">
        <f>54.4756 * CHOOSE(CONTROL!$C$15, $D$11, 100%, $F$11)</f>
        <v>54.4756</v>
      </c>
      <c r="K1014" s="4"/>
      <c r="L1014" s="9">
        <v>26.469899999999999</v>
      </c>
      <c r="M1014" s="9">
        <v>10.8962</v>
      </c>
      <c r="N1014" s="9">
        <v>4.4660000000000002</v>
      </c>
      <c r="O1014" s="9">
        <v>0.33789999999999998</v>
      </c>
      <c r="P1014" s="9">
        <v>1.1676</v>
      </c>
      <c r="Q1014" s="9">
        <v>17.782800000000002</v>
      </c>
      <c r="R1014" s="9"/>
      <c r="S1014" s="11"/>
    </row>
    <row r="1015" spans="1:19" ht="15.75">
      <c r="A1015" s="13">
        <v>72410</v>
      </c>
      <c r="B1015" s="8">
        <f>55.5599 * CHOOSE(CONTROL!$C$15, $D$11, 100%, $F$11)</f>
        <v>55.559899999999999</v>
      </c>
      <c r="C1015" s="8">
        <f>55.5651 * CHOOSE(CONTROL!$C$15, $D$11, 100%, $F$11)</f>
        <v>55.565100000000001</v>
      </c>
      <c r="D1015" s="8">
        <f>55.5513 * CHOOSE( CONTROL!$C$15, $D$11, 100%, $F$11)</f>
        <v>55.551299999999998</v>
      </c>
      <c r="E1015" s="12">
        <f>55.5558 * CHOOSE( CONTROL!$C$15, $D$11, 100%, $F$11)</f>
        <v>55.555799999999998</v>
      </c>
      <c r="F1015" s="4">
        <f>56.2088 * CHOOSE(CONTROL!$C$15, $D$11, 100%, $F$11)</f>
        <v>56.208799999999997</v>
      </c>
      <c r="G1015" s="8">
        <f>54.2531 * CHOOSE( CONTROL!$C$15, $D$11, 100%, $F$11)</f>
        <v>54.253100000000003</v>
      </c>
      <c r="H1015" s="4">
        <f>55.1341 * CHOOSE(CONTROL!$C$15, $D$11, 100%, $F$11)</f>
        <v>55.134099999999997</v>
      </c>
      <c r="I1015" s="8">
        <f>53.4553 * CHOOSE(CONTROL!$C$15, $D$11, 100%, $F$11)</f>
        <v>53.455300000000001</v>
      </c>
      <c r="J1015" s="4">
        <f>53.3159 * CHOOSE(CONTROL!$C$15, $D$11, 100%, $F$11)</f>
        <v>53.315899999999999</v>
      </c>
      <c r="K1015" s="4"/>
      <c r="L1015" s="9">
        <v>29.306000000000001</v>
      </c>
      <c r="M1015" s="9">
        <v>12.063700000000001</v>
      </c>
      <c r="N1015" s="9">
        <v>4.9444999999999997</v>
      </c>
      <c r="O1015" s="9">
        <v>0.37409999999999999</v>
      </c>
      <c r="P1015" s="9">
        <v>1.2927</v>
      </c>
      <c r="Q1015" s="9">
        <v>19.688099999999999</v>
      </c>
      <c r="R1015" s="9"/>
      <c r="S1015" s="11"/>
    </row>
    <row r="1016" spans="1:19" ht="15.75">
      <c r="A1016" s="13">
        <v>72440</v>
      </c>
      <c r="B1016" s="8">
        <f>56.4047 * CHOOSE(CONTROL!$C$15, $D$11, 100%, $F$11)</f>
        <v>56.404699999999998</v>
      </c>
      <c r="C1016" s="8">
        <f>56.4093 * CHOOSE(CONTROL!$C$15, $D$11, 100%, $F$11)</f>
        <v>56.409300000000002</v>
      </c>
      <c r="D1016" s="8">
        <f>56.4356 * CHOOSE( CONTROL!$C$15, $D$11, 100%, $F$11)</f>
        <v>56.435600000000001</v>
      </c>
      <c r="E1016" s="12">
        <f>56.4264 * CHOOSE( CONTROL!$C$15, $D$11, 100%, $F$11)</f>
        <v>56.426400000000001</v>
      </c>
      <c r="F1016" s="4">
        <f>57.1039 * CHOOSE(CONTROL!$C$15, $D$11, 100%, $F$11)</f>
        <v>57.103900000000003</v>
      </c>
      <c r="G1016" s="8">
        <f>55.0775 * CHOOSE( CONTROL!$C$15, $D$11, 100%, $F$11)</f>
        <v>55.077500000000001</v>
      </c>
      <c r="H1016" s="4">
        <f>56.0084 * CHOOSE(CONTROL!$C$15, $D$11, 100%, $F$11)</f>
        <v>56.008400000000002</v>
      </c>
      <c r="I1016" s="8">
        <f>54.2579 * CHOOSE(CONTROL!$C$15, $D$11, 100%, $F$11)</f>
        <v>54.257899999999999</v>
      </c>
      <c r="J1016" s="4">
        <f>54.1263 * CHOOSE(CONTROL!$C$15, $D$11, 100%, $F$11)</f>
        <v>54.126300000000001</v>
      </c>
      <c r="K1016" s="4"/>
      <c r="L1016" s="9">
        <v>30.092199999999998</v>
      </c>
      <c r="M1016" s="9">
        <v>11.6745</v>
      </c>
      <c r="N1016" s="9">
        <v>4.7850000000000001</v>
      </c>
      <c r="O1016" s="9">
        <v>0.36199999999999999</v>
      </c>
      <c r="P1016" s="9">
        <v>1.1791</v>
      </c>
      <c r="Q1016" s="9">
        <v>19.053000000000001</v>
      </c>
      <c r="R1016" s="9"/>
      <c r="S1016" s="11"/>
    </row>
    <row r="1017" spans="1:19" ht="15.75">
      <c r="A1017" s="13">
        <v>72471</v>
      </c>
      <c r="B1017" s="8">
        <f>CHOOSE( CONTROL!$C$32, 57.9131, 57.9082) * CHOOSE(CONTROL!$C$15, $D$11, 100%, $F$11)</f>
        <v>57.9131</v>
      </c>
      <c r="C1017" s="8">
        <f>CHOOSE( CONTROL!$C$32, 57.9212, 57.9163) * CHOOSE(CONTROL!$C$15, $D$11, 100%, $F$11)</f>
        <v>57.921199999999999</v>
      </c>
      <c r="D1017" s="8">
        <f>CHOOSE( CONTROL!$C$32, 57.9425, 57.9376) * CHOOSE( CONTROL!$C$15, $D$11, 100%, $F$11)</f>
        <v>57.942500000000003</v>
      </c>
      <c r="E1017" s="12">
        <f>CHOOSE( CONTROL!$C$32, 57.9335, 57.9286) * CHOOSE( CONTROL!$C$15, $D$11, 100%, $F$11)</f>
        <v>57.933500000000002</v>
      </c>
      <c r="F1017" s="4">
        <f>CHOOSE( CONTROL!$C$32, 58.6109, 58.6061) * CHOOSE(CONTROL!$C$15, $D$11, 100%, $F$11)</f>
        <v>58.610900000000001</v>
      </c>
      <c r="G1017" s="8">
        <f>CHOOSE( CONTROL!$C$32, 56.5504, 56.5457) * CHOOSE( CONTROL!$C$15, $D$11, 100%, $F$11)</f>
        <v>56.550400000000003</v>
      </c>
      <c r="H1017" s="4">
        <f>CHOOSE( CONTROL!$C$32, 57.4802, 57.4755) * CHOOSE(CONTROL!$C$15, $D$11, 100%, $F$11)</f>
        <v>57.480200000000004</v>
      </c>
      <c r="I1017" s="8">
        <f>CHOOSE( CONTROL!$C$32, 55.7054, 55.7008) * CHOOSE(CONTROL!$C$15, $D$11, 100%, $F$11)</f>
        <v>55.705399999999997</v>
      </c>
      <c r="J1017" s="4">
        <f>CHOOSE( CONTROL!$C$32, 55.5731, 55.5685) * CHOOSE(CONTROL!$C$15, $D$11, 100%, $F$11)</f>
        <v>55.573099999999997</v>
      </c>
      <c r="K1017" s="4"/>
      <c r="L1017" s="9">
        <v>30.7165</v>
      </c>
      <c r="M1017" s="9">
        <v>12.063700000000001</v>
      </c>
      <c r="N1017" s="9">
        <v>4.9444999999999997</v>
      </c>
      <c r="O1017" s="9">
        <v>0.37409999999999999</v>
      </c>
      <c r="P1017" s="9">
        <v>1.2183999999999999</v>
      </c>
      <c r="Q1017" s="9">
        <v>19.688099999999999</v>
      </c>
      <c r="R1017" s="9"/>
      <c r="S1017" s="11"/>
    </row>
    <row r="1018" spans="1:19" ht="15.75">
      <c r="A1018" s="13">
        <v>72501</v>
      </c>
      <c r="B1018" s="8">
        <f>CHOOSE( CONTROL!$C$32, 56.9825, 56.9777) * CHOOSE(CONTROL!$C$15, $D$11, 100%, $F$11)</f>
        <v>56.982500000000002</v>
      </c>
      <c r="C1018" s="8">
        <f>CHOOSE( CONTROL!$C$32, 56.9906, 56.9858) * CHOOSE(CONTROL!$C$15, $D$11, 100%, $F$11)</f>
        <v>56.990600000000001</v>
      </c>
      <c r="D1018" s="8">
        <f>CHOOSE( CONTROL!$C$32, 57.0121, 57.0073) * CHOOSE( CONTROL!$C$15, $D$11, 100%, $F$11)</f>
        <v>57.012099999999997</v>
      </c>
      <c r="E1018" s="12">
        <f>CHOOSE( CONTROL!$C$32, 57.0031, 56.9983) * CHOOSE( CONTROL!$C$15, $D$11, 100%, $F$11)</f>
        <v>57.003100000000003</v>
      </c>
      <c r="F1018" s="4">
        <f>CHOOSE( CONTROL!$C$32, 57.6803, 57.6755) * CHOOSE(CONTROL!$C$15, $D$11, 100%, $F$11)</f>
        <v>57.680300000000003</v>
      </c>
      <c r="G1018" s="8">
        <f>CHOOSE( CONTROL!$C$32, 55.6418, 55.6371) * CHOOSE( CONTROL!$C$15, $D$11, 100%, $F$11)</f>
        <v>55.641800000000003</v>
      </c>
      <c r="H1018" s="4">
        <f>CHOOSE( CONTROL!$C$32, 56.5714, 56.5667) * CHOOSE(CONTROL!$C$15, $D$11, 100%, $F$11)</f>
        <v>56.571399999999997</v>
      </c>
      <c r="I1018" s="8">
        <f>CHOOSE( CONTROL!$C$32, 54.8125, 54.8078) * CHOOSE(CONTROL!$C$15, $D$11, 100%, $F$11)</f>
        <v>54.8125</v>
      </c>
      <c r="J1018" s="4">
        <f>CHOOSE( CONTROL!$C$32, 54.6797, 54.6751) * CHOOSE(CONTROL!$C$15, $D$11, 100%, $F$11)</f>
        <v>54.679699999999997</v>
      </c>
      <c r="K1018" s="4"/>
      <c r="L1018" s="9">
        <v>29.7257</v>
      </c>
      <c r="M1018" s="9">
        <v>11.6745</v>
      </c>
      <c r="N1018" s="9">
        <v>4.7850000000000001</v>
      </c>
      <c r="O1018" s="9">
        <v>0.36199999999999999</v>
      </c>
      <c r="P1018" s="9">
        <v>1.1791</v>
      </c>
      <c r="Q1018" s="9">
        <v>19.053000000000001</v>
      </c>
      <c r="R1018" s="9"/>
      <c r="S1018" s="11"/>
    </row>
    <row r="1019" spans="1:19" ht="15.75">
      <c r="A1019" s="13">
        <v>72532</v>
      </c>
      <c r="B1019" s="8">
        <f>CHOOSE( CONTROL!$C$32, 59.433, 59.4282) * CHOOSE(CONTROL!$C$15, $D$11, 100%, $F$11)</f>
        <v>59.433</v>
      </c>
      <c r="C1019" s="8">
        <f>CHOOSE( CONTROL!$C$32, 59.4411, 59.4362) * CHOOSE(CONTROL!$C$15, $D$11, 100%, $F$11)</f>
        <v>59.441099999999999</v>
      </c>
      <c r="D1019" s="8">
        <f>CHOOSE( CONTROL!$C$32, 59.4628, 59.458) * CHOOSE( CONTROL!$C$15, $D$11, 100%, $F$11)</f>
        <v>59.462800000000001</v>
      </c>
      <c r="E1019" s="12">
        <f>CHOOSE( CONTROL!$C$32, 59.4537, 59.4489) * CHOOSE( CONTROL!$C$15, $D$11, 100%, $F$11)</f>
        <v>59.453699999999998</v>
      </c>
      <c r="F1019" s="4">
        <f>CHOOSE( CONTROL!$C$32, 60.1308, 60.126) * CHOOSE(CONTROL!$C$15, $D$11, 100%, $F$11)</f>
        <v>60.130800000000001</v>
      </c>
      <c r="G1019" s="8">
        <f>CHOOSE( CONTROL!$C$32, 58.0355, 58.0308) * CHOOSE( CONTROL!$C$15, $D$11, 100%, $F$11)</f>
        <v>58.035499999999999</v>
      </c>
      <c r="H1019" s="4">
        <f>CHOOSE( CONTROL!$C$32, 58.9648, 58.96) * CHOOSE(CONTROL!$C$15, $D$11, 100%, $F$11)</f>
        <v>58.964799999999997</v>
      </c>
      <c r="I1019" s="8">
        <f>CHOOSE( CONTROL!$C$32, 57.1675, 57.1628) * CHOOSE(CONTROL!$C$15, $D$11, 100%, $F$11)</f>
        <v>57.167499999999997</v>
      </c>
      <c r="J1019" s="4">
        <f>CHOOSE( CONTROL!$C$32, 57.0324, 57.0278) * CHOOSE(CONTROL!$C$15, $D$11, 100%, $F$11)</f>
        <v>57.032400000000003</v>
      </c>
      <c r="K1019" s="4"/>
      <c r="L1019" s="9">
        <v>30.7165</v>
      </c>
      <c r="M1019" s="9">
        <v>12.063700000000001</v>
      </c>
      <c r="N1019" s="9">
        <v>4.9444999999999997</v>
      </c>
      <c r="O1019" s="9">
        <v>0.37409999999999999</v>
      </c>
      <c r="P1019" s="9">
        <v>1.2183999999999999</v>
      </c>
      <c r="Q1019" s="9">
        <v>19.688099999999999</v>
      </c>
      <c r="R1019" s="9"/>
      <c r="S1019" s="11"/>
    </row>
    <row r="1020" spans="1:19" ht="15.75">
      <c r="A1020" s="13">
        <v>72563</v>
      </c>
      <c r="B1020" s="8">
        <f>CHOOSE( CONTROL!$C$32, 54.8479, 54.8431) * CHOOSE(CONTROL!$C$15, $D$11, 100%, $F$11)</f>
        <v>54.847900000000003</v>
      </c>
      <c r="C1020" s="8">
        <f>CHOOSE( CONTROL!$C$32, 54.856, 54.8512) * CHOOSE(CONTROL!$C$15, $D$11, 100%, $F$11)</f>
        <v>54.856000000000002</v>
      </c>
      <c r="D1020" s="8">
        <f>CHOOSE( CONTROL!$C$32, 54.8778, 54.873) * CHOOSE( CONTROL!$C$15, $D$11, 100%, $F$11)</f>
        <v>54.877800000000001</v>
      </c>
      <c r="E1020" s="12">
        <f>CHOOSE( CONTROL!$C$32, 54.8687, 54.8639) * CHOOSE( CONTROL!$C$15, $D$11, 100%, $F$11)</f>
        <v>54.868699999999997</v>
      </c>
      <c r="F1020" s="4">
        <f>CHOOSE( CONTROL!$C$32, 55.5457, 55.5409) * CHOOSE(CONTROL!$C$15, $D$11, 100%, $F$11)</f>
        <v>55.545699999999997</v>
      </c>
      <c r="G1020" s="8">
        <f>CHOOSE( CONTROL!$C$32, 53.5574, 53.5527) * CHOOSE( CONTROL!$C$15, $D$11, 100%, $F$11)</f>
        <v>53.557400000000001</v>
      </c>
      <c r="H1020" s="4">
        <f>CHOOSE( CONTROL!$C$32, 54.4865, 54.4818) * CHOOSE(CONTROL!$C$15, $D$11, 100%, $F$11)</f>
        <v>54.486499999999999</v>
      </c>
      <c r="I1020" s="8">
        <f>CHOOSE( CONTROL!$C$32, 52.7634, 52.7588) * CHOOSE(CONTROL!$C$15, $D$11, 100%, $F$11)</f>
        <v>52.763399999999997</v>
      </c>
      <c r="J1020" s="4">
        <f>CHOOSE( CONTROL!$C$32, 52.6303, 52.6256) * CHOOSE(CONTROL!$C$15, $D$11, 100%, $F$11)</f>
        <v>52.630299999999998</v>
      </c>
      <c r="K1020" s="4"/>
      <c r="L1020" s="9">
        <v>30.7165</v>
      </c>
      <c r="M1020" s="9">
        <v>12.063700000000001</v>
      </c>
      <c r="N1020" s="9">
        <v>4.9444999999999997</v>
      </c>
      <c r="O1020" s="9">
        <v>0.37409999999999999</v>
      </c>
      <c r="P1020" s="9">
        <v>1.2183999999999999</v>
      </c>
      <c r="Q1020" s="9">
        <v>19.688099999999999</v>
      </c>
      <c r="R1020" s="9"/>
      <c r="S1020" s="11"/>
    </row>
    <row r="1021" spans="1:19" ht="15.75">
      <c r="A1021" s="13">
        <v>72593</v>
      </c>
      <c r="B1021" s="8">
        <f>CHOOSE( CONTROL!$C$32, 53.6998, 53.6949) * CHOOSE(CONTROL!$C$15, $D$11, 100%, $F$11)</f>
        <v>53.699800000000003</v>
      </c>
      <c r="C1021" s="8">
        <f>CHOOSE( CONTROL!$C$32, 53.7079, 53.703) * CHOOSE(CONTROL!$C$15, $D$11, 100%, $F$11)</f>
        <v>53.707900000000002</v>
      </c>
      <c r="D1021" s="8">
        <f>CHOOSE( CONTROL!$C$32, 53.7296, 53.7248) * CHOOSE( CONTROL!$C$15, $D$11, 100%, $F$11)</f>
        <v>53.729599999999998</v>
      </c>
      <c r="E1021" s="12">
        <f>CHOOSE( CONTROL!$C$32, 53.7205, 53.7157) * CHOOSE( CONTROL!$C$15, $D$11, 100%, $F$11)</f>
        <v>53.720500000000001</v>
      </c>
      <c r="F1021" s="4">
        <f>CHOOSE( CONTROL!$C$32, 54.3976, 54.3927) * CHOOSE(CONTROL!$C$15, $D$11, 100%, $F$11)</f>
        <v>54.397599999999997</v>
      </c>
      <c r="G1021" s="8">
        <f>CHOOSE( CONTROL!$C$32, 52.4359, 52.4312) * CHOOSE( CONTROL!$C$15, $D$11, 100%, $F$11)</f>
        <v>52.435899999999997</v>
      </c>
      <c r="H1021" s="4">
        <f>CHOOSE( CONTROL!$C$32, 53.3651, 53.3604) * CHOOSE(CONTROL!$C$15, $D$11, 100%, $F$11)</f>
        <v>53.365099999999998</v>
      </c>
      <c r="I1021" s="8">
        <f>CHOOSE( CONTROL!$C$32, 51.6604, 51.6558) * CHOOSE(CONTROL!$C$15, $D$11, 100%, $F$11)</f>
        <v>51.660400000000003</v>
      </c>
      <c r="J1021" s="4">
        <f>CHOOSE( CONTROL!$C$32, 51.5279, 51.5233) * CHOOSE(CONTROL!$C$15, $D$11, 100%, $F$11)</f>
        <v>51.527900000000002</v>
      </c>
      <c r="K1021" s="4"/>
      <c r="L1021" s="9">
        <v>29.7257</v>
      </c>
      <c r="M1021" s="9">
        <v>11.6745</v>
      </c>
      <c r="N1021" s="9">
        <v>4.7850000000000001</v>
      </c>
      <c r="O1021" s="9">
        <v>0.36199999999999999</v>
      </c>
      <c r="P1021" s="9">
        <v>1.1791</v>
      </c>
      <c r="Q1021" s="9">
        <v>19.053000000000001</v>
      </c>
      <c r="R1021" s="9"/>
      <c r="S1021" s="11"/>
    </row>
    <row r="1022" spans="1:19" ht="15.75">
      <c r="A1022" s="13">
        <v>72624</v>
      </c>
      <c r="B1022" s="8">
        <f>56.0772 * CHOOSE(CONTROL!$C$15, $D$11, 100%, $F$11)</f>
        <v>56.077199999999998</v>
      </c>
      <c r="C1022" s="8">
        <f>56.0826 * CHOOSE(CONTROL!$C$15, $D$11, 100%, $F$11)</f>
        <v>56.082599999999999</v>
      </c>
      <c r="D1022" s="8">
        <f>56.109 * CHOOSE( CONTROL!$C$15, $D$11, 100%, $F$11)</f>
        <v>56.109000000000002</v>
      </c>
      <c r="E1022" s="12">
        <f>56.0997 * CHOOSE( CONTROL!$C$15, $D$11, 100%, $F$11)</f>
        <v>56.099699999999999</v>
      </c>
      <c r="F1022" s="4">
        <f>56.7767 * CHOOSE(CONTROL!$C$15, $D$11, 100%, $F$11)</f>
        <v>56.776699999999998</v>
      </c>
      <c r="G1022" s="8">
        <f>54.7589 * CHOOSE( CONTROL!$C$15, $D$11, 100%, $F$11)</f>
        <v>54.758899999999997</v>
      </c>
      <c r="H1022" s="4">
        <f>55.6888 * CHOOSE(CONTROL!$C$15, $D$11, 100%, $F$11)</f>
        <v>55.688800000000001</v>
      </c>
      <c r="I1022" s="8">
        <f>53.9465 * CHOOSE(CONTROL!$C$15, $D$11, 100%, $F$11)</f>
        <v>53.9465</v>
      </c>
      <c r="J1022" s="4">
        <f>53.8121 * CHOOSE(CONTROL!$C$15, $D$11, 100%, $F$11)</f>
        <v>53.812100000000001</v>
      </c>
      <c r="K1022" s="4"/>
      <c r="L1022" s="9">
        <v>31.095300000000002</v>
      </c>
      <c r="M1022" s="9">
        <v>12.063700000000001</v>
      </c>
      <c r="N1022" s="9">
        <v>4.9444999999999997</v>
      </c>
      <c r="O1022" s="9">
        <v>0.37409999999999999</v>
      </c>
      <c r="P1022" s="9">
        <v>1.2183999999999999</v>
      </c>
      <c r="Q1022" s="9">
        <v>19.688099999999999</v>
      </c>
      <c r="R1022" s="9"/>
      <c r="S1022" s="11"/>
    </row>
    <row r="1023" spans="1:19" ht="15.75">
      <c r="A1023" s="13">
        <v>72654</v>
      </c>
      <c r="B1023" s="8">
        <f>60.4771 * CHOOSE(CONTROL!$C$15, $D$11, 100%, $F$11)</f>
        <v>60.4771</v>
      </c>
      <c r="C1023" s="8">
        <f>60.4823 * CHOOSE(CONTROL!$C$15, $D$11, 100%, $F$11)</f>
        <v>60.482300000000002</v>
      </c>
      <c r="D1023" s="8">
        <f>60.4715 * CHOOSE( CONTROL!$C$15, $D$11, 100%, $F$11)</f>
        <v>60.471499999999999</v>
      </c>
      <c r="E1023" s="12">
        <f>60.4749 * CHOOSE( CONTROL!$C$15, $D$11, 100%, $F$11)</f>
        <v>60.474899999999998</v>
      </c>
      <c r="F1023" s="4">
        <f>61.126 * CHOOSE(CONTROL!$C$15, $D$11, 100%, $F$11)</f>
        <v>61.125999999999998</v>
      </c>
      <c r="G1023" s="8">
        <f>59.0613 * CHOOSE( CONTROL!$C$15, $D$11, 100%, $F$11)</f>
        <v>59.061300000000003</v>
      </c>
      <c r="H1023" s="4">
        <f>59.9368 * CHOOSE(CONTROL!$C$15, $D$11, 100%, $F$11)</f>
        <v>59.936799999999998</v>
      </c>
      <c r="I1023" s="8">
        <f>58.199 * CHOOSE(CONTROL!$C$15, $D$11, 100%, $F$11)</f>
        <v>58.198999999999998</v>
      </c>
      <c r="J1023" s="4">
        <f>58.0369 * CHOOSE(CONTROL!$C$15, $D$11, 100%, $F$11)</f>
        <v>58.036900000000003</v>
      </c>
      <c r="K1023" s="4"/>
      <c r="L1023" s="9">
        <v>28.360600000000002</v>
      </c>
      <c r="M1023" s="9">
        <v>11.6745</v>
      </c>
      <c r="N1023" s="9">
        <v>4.7850000000000001</v>
      </c>
      <c r="O1023" s="9">
        <v>0.36199999999999999</v>
      </c>
      <c r="P1023" s="9">
        <v>1.2509999999999999</v>
      </c>
      <c r="Q1023" s="9">
        <v>19.053000000000001</v>
      </c>
      <c r="R1023" s="9"/>
      <c r="S1023" s="11"/>
    </row>
    <row r="1024" spans="1:19" ht="15.75">
      <c r="A1024" s="13">
        <v>72685</v>
      </c>
      <c r="B1024" s="8">
        <f>60.3671 * CHOOSE(CONTROL!$C$15, $D$11, 100%, $F$11)</f>
        <v>60.367100000000001</v>
      </c>
      <c r="C1024" s="8">
        <f>60.3723 * CHOOSE(CONTROL!$C$15, $D$11, 100%, $F$11)</f>
        <v>60.372300000000003</v>
      </c>
      <c r="D1024" s="8">
        <f>60.3629 * CHOOSE( CONTROL!$C$15, $D$11, 100%, $F$11)</f>
        <v>60.362900000000003</v>
      </c>
      <c r="E1024" s="12">
        <f>60.3658 * CHOOSE( CONTROL!$C$15, $D$11, 100%, $F$11)</f>
        <v>60.3658</v>
      </c>
      <c r="F1024" s="4">
        <f>61.0161 * CHOOSE(CONTROL!$C$15, $D$11, 100%, $F$11)</f>
        <v>61.016100000000002</v>
      </c>
      <c r="G1024" s="8">
        <f>58.9549 * CHOOSE( CONTROL!$C$15, $D$11, 100%, $F$11)</f>
        <v>58.954900000000002</v>
      </c>
      <c r="H1024" s="4">
        <f>59.8294 * CHOOSE(CONTROL!$C$15, $D$11, 100%, $F$11)</f>
        <v>59.8294</v>
      </c>
      <c r="I1024" s="8">
        <f>58.0977 * CHOOSE(CONTROL!$C$15, $D$11, 100%, $F$11)</f>
        <v>58.097700000000003</v>
      </c>
      <c r="J1024" s="4">
        <f>57.9313 * CHOOSE(CONTROL!$C$15, $D$11, 100%, $F$11)</f>
        <v>57.9313</v>
      </c>
      <c r="K1024" s="4"/>
      <c r="L1024" s="9">
        <v>29.306000000000001</v>
      </c>
      <c r="M1024" s="9">
        <v>12.063700000000001</v>
      </c>
      <c r="N1024" s="9">
        <v>4.9444999999999997</v>
      </c>
      <c r="O1024" s="9">
        <v>0.37409999999999999</v>
      </c>
      <c r="P1024" s="9">
        <v>1.2927</v>
      </c>
      <c r="Q1024" s="9">
        <v>19.688099999999999</v>
      </c>
      <c r="R1024" s="9"/>
      <c r="S1024" s="11"/>
    </row>
    <row r="1025" spans="1:19" ht="15.75">
      <c r="A1025" s="13">
        <v>72716</v>
      </c>
      <c r="B1025" s="8">
        <f>62.6733 * CHOOSE(CONTROL!$C$15, $D$11, 100%, $F$11)</f>
        <v>62.673299999999998</v>
      </c>
      <c r="C1025" s="8">
        <f>62.6784 * CHOOSE(CONTROL!$C$15, $D$11, 100%, $F$11)</f>
        <v>62.678400000000003</v>
      </c>
      <c r="D1025" s="8">
        <f>62.6649 * CHOOSE( CONTROL!$C$15, $D$11, 100%, $F$11)</f>
        <v>62.664900000000003</v>
      </c>
      <c r="E1025" s="12">
        <f>62.6693 * CHOOSE( CONTROL!$C$15, $D$11, 100%, $F$11)</f>
        <v>62.6693</v>
      </c>
      <c r="F1025" s="4">
        <f>63.3222 * CHOOSE(CONTROL!$C$15, $D$11, 100%, $F$11)</f>
        <v>63.322200000000002</v>
      </c>
      <c r="G1025" s="8">
        <f>61.201 * CHOOSE( CONTROL!$C$15, $D$11, 100%, $F$11)</f>
        <v>61.201000000000001</v>
      </c>
      <c r="H1025" s="4">
        <f>62.0818 * CHOOSE(CONTROL!$C$15, $D$11, 100%, $F$11)</f>
        <v>62.081800000000001</v>
      </c>
      <c r="I1025" s="8">
        <f>60.2892 * CHOOSE(CONTROL!$C$15, $D$11, 100%, $F$11)</f>
        <v>60.289200000000001</v>
      </c>
      <c r="J1025" s="4">
        <f>60.1454 * CHOOSE(CONTROL!$C$15, $D$11, 100%, $F$11)</f>
        <v>60.145400000000002</v>
      </c>
      <c r="K1025" s="4"/>
      <c r="L1025" s="9">
        <v>29.306000000000001</v>
      </c>
      <c r="M1025" s="9">
        <v>12.063700000000001</v>
      </c>
      <c r="N1025" s="9">
        <v>4.9444999999999997</v>
      </c>
      <c r="O1025" s="9">
        <v>0.37409999999999999</v>
      </c>
      <c r="P1025" s="9">
        <v>1.2927</v>
      </c>
      <c r="Q1025" s="9">
        <v>19.688099999999999</v>
      </c>
      <c r="R1025" s="9"/>
      <c r="S1025" s="11"/>
    </row>
    <row r="1026" spans="1:19" ht="15.75">
      <c r="A1026" s="13">
        <v>72744</v>
      </c>
      <c r="B1026" s="8">
        <f>58.6234 * CHOOSE(CONTROL!$C$15, $D$11, 100%, $F$11)</f>
        <v>58.623399999999997</v>
      </c>
      <c r="C1026" s="8">
        <f>58.6286 * CHOOSE(CONTROL!$C$15, $D$11, 100%, $F$11)</f>
        <v>58.628599999999999</v>
      </c>
      <c r="D1026" s="8">
        <f>58.615 * CHOOSE( CONTROL!$C$15, $D$11, 100%, $F$11)</f>
        <v>58.615000000000002</v>
      </c>
      <c r="E1026" s="12">
        <f>58.6194 * CHOOSE( CONTROL!$C$15, $D$11, 100%, $F$11)</f>
        <v>58.619399999999999</v>
      </c>
      <c r="F1026" s="4">
        <f>59.2723 * CHOOSE(CONTROL!$C$15, $D$11, 100%, $F$11)</f>
        <v>59.272300000000001</v>
      </c>
      <c r="G1026" s="8">
        <f>57.2454 * CHOOSE( CONTROL!$C$15, $D$11, 100%, $F$11)</f>
        <v>57.245399999999997</v>
      </c>
      <c r="H1026" s="4">
        <f>58.1262 * CHOOSE(CONTROL!$C$15, $D$11, 100%, $F$11)</f>
        <v>58.126199999999997</v>
      </c>
      <c r="I1026" s="8">
        <f>56.3989 * CHOOSE(CONTROL!$C$15, $D$11, 100%, $F$11)</f>
        <v>56.398899999999998</v>
      </c>
      <c r="J1026" s="4">
        <f>56.2571 * CHOOSE(CONTROL!$C$15, $D$11, 100%, $F$11)</f>
        <v>56.257100000000001</v>
      </c>
      <c r="K1026" s="4"/>
      <c r="L1026" s="9">
        <v>26.469899999999999</v>
      </c>
      <c r="M1026" s="9">
        <v>10.8962</v>
      </c>
      <c r="N1026" s="9">
        <v>4.4660000000000002</v>
      </c>
      <c r="O1026" s="9">
        <v>0.33789999999999998</v>
      </c>
      <c r="P1026" s="9">
        <v>1.1676</v>
      </c>
      <c r="Q1026" s="9">
        <v>17.782800000000002</v>
      </c>
      <c r="R1026" s="9"/>
      <c r="S1026" s="11"/>
    </row>
    <row r="1027" spans="1:19" ht="15.75">
      <c r="A1027" s="13">
        <v>72775</v>
      </c>
      <c r="B1027" s="8">
        <f>57.376 * CHOOSE(CONTROL!$C$15, $D$11, 100%, $F$11)</f>
        <v>57.375999999999998</v>
      </c>
      <c r="C1027" s="8">
        <f>57.3812 * CHOOSE(CONTROL!$C$15, $D$11, 100%, $F$11)</f>
        <v>57.3812</v>
      </c>
      <c r="D1027" s="8">
        <f>57.3674 * CHOOSE( CONTROL!$C$15, $D$11, 100%, $F$11)</f>
        <v>57.367400000000004</v>
      </c>
      <c r="E1027" s="12">
        <f>57.3719 * CHOOSE( CONTROL!$C$15, $D$11, 100%, $F$11)</f>
        <v>57.371899999999997</v>
      </c>
      <c r="F1027" s="4">
        <f>58.0249 * CHOOSE(CONTROL!$C$15, $D$11, 100%, $F$11)</f>
        <v>58.024900000000002</v>
      </c>
      <c r="G1027" s="8">
        <f>56.0269 * CHOOSE( CONTROL!$C$15, $D$11, 100%, $F$11)</f>
        <v>56.026899999999998</v>
      </c>
      <c r="H1027" s="4">
        <f>56.9079 * CHOOSE(CONTROL!$C$15, $D$11, 100%, $F$11)</f>
        <v>56.907899999999998</v>
      </c>
      <c r="I1027" s="8">
        <f>55.1998 * CHOOSE(CONTROL!$C$15, $D$11, 100%, $F$11)</f>
        <v>55.199800000000003</v>
      </c>
      <c r="J1027" s="4">
        <f>55.0595 * CHOOSE(CONTROL!$C$15, $D$11, 100%, $F$11)</f>
        <v>55.0595</v>
      </c>
      <c r="K1027" s="4"/>
      <c r="L1027" s="9">
        <v>29.306000000000001</v>
      </c>
      <c r="M1027" s="9">
        <v>12.063700000000001</v>
      </c>
      <c r="N1027" s="9">
        <v>4.9444999999999997</v>
      </c>
      <c r="O1027" s="9">
        <v>0.37409999999999999</v>
      </c>
      <c r="P1027" s="9">
        <v>1.2927</v>
      </c>
      <c r="Q1027" s="9">
        <v>19.688099999999999</v>
      </c>
      <c r="R1027" s="9"/>
      <c r="S1027" s="11"/>
    </row>
    <row r="1028" spans="1:19" ht="15.75">
      <c r="A1028" s="13">
        <v>72805</v>
      </c>
      <c r="B1028" s="8">
        <f>58.2484 * CHOOSE(CONTROL!$C$15, $D$11, 100%, $F$11)</f>
        <v>58.248399999999997</v>
      </c>
      <c r="C1028" s="8">
        <f>58.253 * CHOOSE(CONTROL!$C$15, $D$11, 100%, $F$11)</f>
        <v>58.253</v>
      </c>
      <c r="D1028" s="8">
        <f>58.2793 * CHOOSE( CONTROL!$C$15, $D$11, 100%, $F$11)</f>
        <v>58.279299999999999</v>
      </c>
      <c r="E1028" s="12">
        <f>58.2701 * CHOOSE( CONTROL!$C$15, $D$11, 100%, $F$11)</f>
        <v>58.270099999999999</v>
      </c>
      <c r="F1028" s="4">
        <f>58.9476 * CHOOSE(CONTROL!$C$15, $D$11, 100%, $F$11)</f>
        <v>58.947600000000001</v>
      </c>
      <c r="G1028" s="8">
        <f>56.8783 * CHOOSE( CONTROL!$C$15, $D$11, 100%, $F$11)</f>
        <v>56.878300000000003</v>
      </c>
      <c r="H1028" s="4">
        <f>57.8091 * CHOOSE(CONTROL!$C$15, $D$11, 100%, $F$11)</f>
        <v>57.809100000000001</v>
      </c>
      <c r="I1028" s="8">
        <f>56.0289 * CHOOSE(CONTROL!$C$15, $D$11, 100%, $F$11)</f>
        <v>56.0289</v>
      </c>
      <c r="J1028" s="4">
        <f>55.8964 * CHOOSE(CONTROL!$C$15, $D$11, 100%, $F$11)</f>
        <v>55.8964</v>
      </c>
      <c r="K1028" s="4"/>
      <c r="L1028" s="9">
        <v>30.092199999999998</v>
      </c>
      <c r="M1028" s="9">
        <v>11.6745</v>
      </c>
      <c r="N1028" s="9">
        <v>4.7850000000000001</v>
      </c>
      <c r="O1028" s="9">
        <v>0.36199999999999999</v>
      </c>
      <c r="P1028" s="9">
        <v>1.1791</v>
      </c>
      <c r="Q1028" s="9">
        <v>19.053000000000001</v>
      </c>
      <c r="R1028" s="9"/>
      <c r="S1028" s="11"/>
    </row>
    <row r="1029" spans="1:19" ht="15.75">
      <c r="A1029" s="13">
        <v>72836</v>
      </c>
      <c r="B1029" s="8">
        <f>CHOOSE( CONTROL!$C$32, 59.8059, 59.8011) * CHOOSE(CONTROL!$C$15, $D$11, 100%, $F$11)</f>
        <v>59.805900000000001</v>
      </c>
      <c r="C1029" s="8">
        <f>CHOOSE( CONTROL!$C$32, 59.814, 59.8091) * CHOOSE(CONTROL!$C$15, $D$11, 100%, $F$11)</f>
        <v>59.814</v>
      </c>
      <c r="D1029" s="8">
        <f>CHOOSE( CONTROL!$C$32, 59.8353, 59.8305) * CHOOSE( CONTROL!$C$15, $D$11, 100%, $F$11)</f>
        <v>59.835299999999997</v>
      </c>
      <c r="E1029" s="12">
        <f>CHOOSE( CONTROL!$C$32, 59.8263, 59.8215) * CHOOSE( CONTROL!$C$15, $D$11, 100%, $F$11)</f>
        <v>59.826300000000003</v>
      </c>
      <c r="F1029" s="4">
        <f>CHOOSE( CONTROL!$C$32, 60.5037, 60.4989) * CHOOSE(CONTROL!$C$15, $D$11, 100%, $F$11)</f>
        <v>60.503700000000002</v>
      </c>
      <c r="G1029" s="8">
        <f>CHOOSE( CONTROL!$C$32, 58.3991, 58.3944) * CHOOSE( CONTROL!$C$15, $D$11, 100%, $F$11)</f>
        <v>58.399099999999997</v>
      </c>
      <c r="H1029" s="4">
        <f>CHOOSE( CONTROL!$C$32, 59.329, 59.3242) * CHOOSE(CONTROL!$C$15, $D$11, 100%, $F$11)</f>
        <v>59.329000000000001</v>
      </c>
      <c r="I1029" s="8">
        <f>CHOOSE( CONTROL!$C$32, 57.5236, 57.519) * CHOOSE(CONTROL!$C$15, $D$11, 100%, $F$11)</f>
        <v>57.523600000000002</v>
      </c>
      <c r="J1029" s="4">
        <f>CHOOSE( CONTROL!$C$32, 57.3904, 57.3858) * CHOOSE(CONTROL!$C$15, $D$11, 100%, $F$11)</f>
        <v>57.3904</v>
      </c>
      <c r="K1029" s="4"/>
      <c r="L1029" s="9">
        <v>30.7165</v>
      </c>
      <c r="M1029" s="9">
        <v>12.063700000000001</v>
      </c>
      <c r="N1029" s="9">
        <v>4.9444999999999997</v>
      </c>
      <c r="O1029" s="9">
        <v>0.37409999999999999</v>
      </c>
      <c r="P1029" s="9">
        <v>1.2183999999999999</v>
      </c>
      <c r="Q1029" s="9">
        <v>19.688099999999999</v>
      </c>
      <c r="R1029" s="9"/>
      <c r="S1029" s="11"/>
    </row>
    <row r="1030" spans="1:19" ht="15.75">
      <c r="A1030" s="13">
        <v>72866</v>
      </c>
      <c r="B1030" s="8">
        <f>CHOOSE( CONTROL!$C$32, 58.8449, 58.8401) * CHOOSE(CONTROL!$C$15, $D$11, 100%, $F$11)</f>
        <v>58.844900000000003</v>
      </c>
      <c r="C1030" s="8">
        <f>CHOOSE( CONTROL!$C$32, 58.853, 58.8482) * CHOOSE(CONTROL!$C$15, $D$11, 100%, $F$11)</f>
        <v>58.853000000000002</v>
      </c>
      <c r="D1030" s="8">
        <f>CHOOSE( CONTROL!$C$32, 58.8745, 58.8697) * CHOOSE( CONTROL!$C$15, $D$11, 100%, $F$11)</f>
        <v>58.874499999999998</v>
      </c>
      <c r="E1030" s="12">
        <f>CHOOSE( CONTROL!$C$32, 58.8655, 58.8607) * CHOOSE( CONTROL!$C$15, $D$11, 100%, $F$11)</f>
        <v>58.865499999999997</v>
      </c>
      <c r="F1030" s="4">
        <f>CHOOSE( CONTROL!$C$32, 59.5427, 59.5379) * CHOOSE(CONTROL!$C$15, $D$11, 100%, $F$11)</f>
        <v>59.542700000000004</v>
      </c>
      <c r="G1030" s="8">
        <f>CHOOSE( CONTROL!$C$32, 57.4608, 57.4561) * CHOOSE( CONTROL!$C$15, $D$11, 100%, $F$11)</f>
        <v>57.460799999999999</v>
      </c>
      <c r="H1030" s="4">
        <f>CHOOSE( CONTROL!$C$32, 58.3904, 58.3857) * CHOOSE(CONTROL!$C$15, $D$11, 100%, $F$11)</f>
        <v>58.3904</v>
      </c>
      <c r="I1030" s="8">
        <f>CHOOSE( CONTROL!$C$32, 56.6015, 56.5968) * CHOOSE(CONTROL!$C$15, $D$11, 100%, $F$11)</f>
        <v>56.601500000000001</v>
      </c>
      <c r="J1030" s="4">
        <f>CHOOSE( CONTROL!$C$32, 56.4678, 56.4631) * CHOOSE(CONTROL!$C$15, $D$11, 100%, $F$11)</f>
        <v>56.467799999999997</v>
      </c>
      <c r="K1030" s="4"/>
      <c r="L1030" s="9">
        <v>29.7257</v>
      </c>
      <c r="M1030" s="9">
        <v>11.6745</v>
      </c>
      <c r="N1030" s="9">
        <v>4.7850000000000001</v>
      </c>
      <c r="O1030" s="9">
        <v>0.36199999999999999</v>
      </c>
      <c r="P1030" s="9">
        <v>1.1791</v>
      </c>
      <c r="Q1030" s="9">
        <v>19.053000000000001</v>
      </c>
      <c r="R1030" s="9"/>
      <c r="S1030" s="11"/>
    </row>
    <row r="1031" spans="1:19" ht="15.75">
      <c r="A1031" s="13">
        <v>72897</v>
      </c>
      <c r="B1031" s="8">
        <f>CHOOSE( CONTROL!$C$32, 61.3755, 61.3707) * CHOOSE(CONTROL!$C$15, $D$11, 100%, $F$11)</f>
        <v>61.375500000000002</v>
      </c>
      <c r="C1031" s="8">
        <f>CHOOSE( CONTROL!$C$32, 61.3836, 61.3788) * CHOOSE(CONTROL!$C$15, $D$11, 100%, $F$11)</f>
        <v>61.383600000000001</v>
      </c>
      <c r="D1031" s="8">
        <f>CHOOSE( CONTROL!$C$32, 61.4053, 61.4005) * CHOOSE( CONTROL!$C$15, $D$11, 100%, $F$11)</f>
        <v>61.405299999999997</v>
      </c>
      <c r="E1031" s="12">
        <f>CHOOSE( CONTROL!$C$32, 61.3962, 61.3914) * CHOOSE( CONTROL!$C$15, $D$11, 100%, $F$11)</f>
        <v>61.3962</v>
      </c>
      <c r="F1031" s="4">
        <f>CHOOSE( CONTROL!$C$32, 62.0733, 62.0685) * CHOOSE(CONTROL!$C$15, $D$11, 100%, $F$11)</f>
        <v>62.073300000000003</v>
      </c>
      <c r="G1031" s="8">
        <f>CHOOSE( CONTROL!$C$32, 59.9328, 59.9281) * CHOOSE( CONTROL!$C$15, $D$11, 100%, $F$11)</f>
        <v>59.9328</v>
      </c>
      <c r="H1031" s="4">
        <f>CHOOSE( CONTROL!$C$32, 60.862, 60.8573) * CHOOSE(CONTROL!$C$15, $D$11, 100%, $F$11)</f>
        <v>60.862000000000002</v>
      </c>
      <c r="I1031" s="8">
        <f>CHOOSE( CONTROL!$C$32, 59.0334, 59.0288) * CHOOSE(CONTROL!$C$15, $D$11, 100%, $F$11)</f>
        <v>59.0334</v>
      </c>
      <c r="J1031" s="4">
        <f>CHOOSE( CONTROL!$C$32, 58.8974, 58.8928) * CHOOSE(CONTROL!$C$15, $D$11, 100%, $F$11)</f>
        <v>58.897399999999998</v>
      </c>
      <c r="K1031" s="4"/>
      <c r="L1031" s="9">
        <v>30.7165</v>
      </c>
      <c r="M1031" s="9">
        <v>12.063700000000001</v>
      </c>
      <c r="N1031" s="9">
        <v>4.9444999999999997</v>
      </c>
      <c r="O1031" s="9">
        <v>0.37409999999999999</v>
      </c>
      <c r="P1031" s="9">
        <v>1.2183999999999999</v>
      </c>
      <c r="Q1031" s="9">
        <v>19.688099999999999</v>
      </c>
      <c r="R1031" s="9"/>
      <c r="S1031" s="11"/>
    </row>
    <row r="1032" spans="1:19" ht="15.75">
      <c r="A1032" s="13">
        <v>72928</v>
      </c>
      <c r="B1032" s="8">
        <f>CHOOSE( CONTROL!$C$32, 56.6405, 56.6357) * CHOOSE(CONTROL!$C$15, $D$11, 100%, $F$11)</f>
        <v>56.640500000000003</v>
      </c>
      <c r="C1032" s="8">
        <f>CHOOSE( CONTROL!$C$32, 56.6486, 56.6438) * CHOOSE(CONTROL!$C$15, $D$11, 100%, $F$11)</f>
        <v>56.648600000000002</v>
      </c>
      <c r="D1032" s="8">
        <f>CHOOSE( CONTROL!$C$32, 56.6704, 56.6656) * CHOOSE( CONTROL!$C$15, $D$11, 100%, $F$11)</f>
        <v>56.670400000000001</v>
      </c>
      <c r="E1032" s="12">
        <f>CHOOSE( CONTROL!$C$32, 56.6613, 56.6565) * CHOOSE( CONTROL!$C$15, $D$11, 100%, $F$11)</f>
        <v>56.661299999999997</v>
      </c>
      <c r="F1032" s="4">
        <f>CHOOSE( CONTROL!$C$32, 57.3383, 57.3335) * CHOOSE(CONTROL!$C$15, $D$11, 100%, $F$11)</f>
        <v>57.338299999999997</v>
      </c>
      <c r="G1032" s="8">
        <f>CHOOSE( CONTROL!$C$32, 55.3082, 55.3035) * CHOOSE( CONTROL!$C$15, $D$11, 100%, $F$11)</f>
        <v>55.308199999999999</v>
      </c>
      <c r="H1032" s="4">
        <f>CHOOSE( CONTROL!$C$32, 56.2373, 56.2326) * CHOOSE(CONTROL!$C$15, $D$11, 100%, $F$11)</f>
        <v>56.237299999999998</v>
      </c>
      <c r="I1032" s="8">
        <f>CHOOSE( CONTROL!$C$32, 54.4853, 54.4807) * CHOOSE(CONTROL!$C$15, $D$11, 100%, $F$11)</f>
        <v>54.485300000000002</v>
      </c>
      <c r="J1032" s="4">
        <f>CHOOSE( CONTROL!$C$32, 54.3513, 54.3467) * CHOOSE(CONTROL!$C$15, $D$11, 100%, $F$11)</f>
        <v>54.351300000000002</v>
      </c>
      <c r="K1032" s="4"/>
      <c r="L1032" s="9">
        <v>30.7165</v>
      </c>
      <c r="M1032" s="9">
        <v>12.063700000000001</v>
      </c>
      <c r="N1032" s="9">
        <v>4.9444999999999997</v>
      </c>
      <c r="O1032" s="9">
        <v>0.37409999999999999</v>
      </c>
      <c r="P1032" s="9">
        <v>1.2183999999999999</v>
      </c>
      <c r="Q1032" s="9">
        <v>19.688099999999999</v>
      </c>
      <c r="R1032" s="9"/>
      <c r="S1032" s="11"/>
    </row>
    <row r="1033" spans="1:19" ht="15.75">
      <c r="A1033" s="13">
        <v>72958</v>
      </c>
      <c r="B1033" s="8">
        <f>CHOOSE( CONTROL!$C$32, 55.4548, 55.45) * CHOOSE(CONTROL!$C$15, $D$11, 100%, $F$11)</f>
        <v>55.454799999999999</v>
      </c>
      <c r="C1033" s="8">
        <f>CHOOSE( CONTROL!$C$32, 55.4629, 55.458) * CHOOSE(CONTROL!$C$15, $D$11, 100%, $F$11)</f>
        <v>55.462899999999998</v>
      </c>
      <c r="D1033" s="8">
        <f>CHOOSE( CONTROL!$C$32, 55.4847, 55.4798) * CHOOSE( CONTROL!$C$15, $D$11, 100%, $F$11)</f>
        <v>55.484699999999997</v>
      </c>
      <c r="E1033" s="12">
        <f>CHOOSE( CONTROL!$C$32, 55.4756, 55.4707) * CHOOSE( CONTROL!$C$15, $D$11, 100%, $F$11)</f>
        <v>55.4756</v>
      </c>
      <c r="F1033" s="4">
        <f>CHOOSE( CONTROL!$C$32, 56.1526, 56.1478) * CHOOSE(CONTROL!$C$15, $D$11, 100%, $F$11)</f>
        <v>56.1526</v>
      </c>
      <c r="G1033" s="8">
        <f>CHOOSE( CONTROL!$C$32, 54.1501, 54.1454) * CHOOSE( CONTROL!$C$15, $D$11, 100%, $F$11)</f>
        <v>54.150100000000002</v>
      </c>
      <c r="H1033" s="4">
        <f>CHOOSE( CONTROL!$C$32, 55.0792, 55.0745) * CHOOSE(CONTROL!$C$15, $D$11, 100%, $F$11)</f>
        <v>55.0792</v>
      </c>
      <c r="I1033" s="8">
        <f>CHOOSE( CONTROL!$C$32, 53.3463, 53.3416) * CHOOSE(CONTROL!$C$15, $D$11, 100%, $F$11)</f>
        <v>53.346299999999999</v>
      </c>
      <c r="J1033" s="4">
        <f>CHOOSE( CONTROL!$C$32, 53.2129, 53.2083) * CHOOSE(CONTROL!$C$15, $D$11, 100%, $F$11)</f>
        <v>53.212899999999998</v>
      </c>
      <c r="K1033" s="4"/>
      <c r="L1033" s="9">
        <v>29.7257</v>
      </c>
      <c r="M1033" s="9">
        <v>11.6745</v>
      </c>
      <c r="N1033" s="9">
        <v>4.7850000000000001</v>
      </c>
      <c r="O1033" s="9">
        <v>0.36199999999999999</v>
      </c>
      <c r="P1033" s="9">
        <v>1.1791</v>
      </c>
      <c r="Q1033" s="9">
        <v>19.053000000000001</v>
      </c>
      <c r="R1033" s="9"/>
      <c r="S1033" s="11"/>
    </row>
    <row r="1034" spans="1:19" ht="15.75">
      <c r="A1034" s="13">
        <v>72989</v>
      </c>
      <c r="B1034" s="8">
        <f>57.9102 * CHOOSE(CONTROL!$C$15, $D$11, 100%, $F$11)</f>
        <v>57.910200000000003</v>
      </c>
      <c r="C1034" s="8">
        <f>57.9156 * CHOOSE(CONTROL!$C$15, $D$11, 100%, $F$11)</f>
        <v>57.915599999999998</v>
      </c>
      <c r="D1034" s="8">
        <f>57.942 * CHOOSE( CONTROL!$C$15, $D$11, 100%, $F$11)</f>
        <v>57.942</v>
      </c>
      <c r="E1034" s="12">
        <f>57.9327 * CHOOSE( CONTROL!$C$15, $D$11, 100%, $F$11)</f>
        <v>57.932699999999997</v>
      </c>
      <c r="F1034" s="4">
        <f>58.6097 * CHOOSE(CONTROL!$C$15, $D$11, 100%, $F$11)</f>
        <v>58.609699999999997</v>
      </c>
      <c r="G1034" s="8">
        <f>56.5492 * CHOOSE( CONTROL!$C$15, $D$11, 100%, $F$11)</f>
        <v>56.549199999999999</v>
      </c>
      <c r="H1034" s="4">
        <f>57.4791 * CHOOSE(CONTROL!$C$15, $D$11, 100%, $F$11)</f>
        <v>57.479100000000003</v>
      </c>
      <c r="I1034" s="8">
        <f>55.7073 * CHOOSE(CONTROL!$C$15, $D$11, 100%, $F$11)</f>
        <v>55.707299999999996</v>
      </c>
      <c r="J1034" s="4">
        <f>55.572 * CHOOSE(CONTROL!$C$15, $D$11, 100%, $F$11)</f>
        <v>55.572000000000003</v>
      </c>
      <c r="K1034" s="4"/>
      <c r="L1034" s="9">
        <v>31.095300000000002</v>
      </c>
      <c r="M1034" s="9">
        <v>12.063700000000001</v>
      </c>
      <c r="N1034" s="9">
        <v>4.9444999999999997</v>
      </c>
      <c r="O1034" s="9">
        <v>0.37409999999999999</v>
      </c>
      <c r="P1034" s="9">
        <v>1.2183999999999999</v>
      </c>
      <c r="Q1034" s="9">
        <v>19.688099999999999</v>
      </c>
      <c r="R1034" s="9"/>
      <c r="S1034" s="11"/>
    </row>
    <row r="1035" spans="1:19" ht="15.75">
      <c r="A1035" s="13">
        <v>73019</v>
      </c>
      <c r="B1035" s="8">
        <f>62.454 * CHOOSE(CONTROL!$C$15, $D$11, 100%, $F$11)</f>
        <v>62.454000000000001</v>
      </c>
      <c r="C1035" s="8">
        <f>62.4592 * CHOOSE(CONTROL!$C$15, $D$11, 100%, $F$11)</f>
        <v>62.459200000000003</v>
      </c>
      <c r="D1035" s="8">
        <f>62.4484 * CHOOSE( CONTROL!$C$15, $D$11, 100%, $F$11)</f>
        <v>62.448399999999999</v>
      </c>
      <c r="E1035" s="12">
        <f>62.4518 * CHOOSE( CONTROL!$C$15, $D$11, 100%, $F$11)</f>
        <v>62.451799999999999</v>
      </c>
      <c r="F1035" s="4">
        <f>63.1029 * CHOOSE(CONTROL!$C$15, $D$11, 100%, $F$11)</f>
        <v>63.102899999999998</v>
      </c>
      <c r="G1035" s="8">
        <f>60.9921 * CHOOSE( CONTROL!$C$15, $D$11, 100%, $F$11)</f>
        <v>60.992100000000001</v>
      </c>
      <c r="H1035" s="4">
        <f>61.8676 * CHOOSE(CONTROL!$C$15, $D$11, 100%, $F$11)</f>
        <v>61.867600000000003</v>
      </c>
      <c r="I1035" s="8">
        <f>60.098 * CHOOSE(CONTROL!$C$15, $D$11, 100%, $F$11)</f>
        <v>60.097999999999999</v>
      </c>
      <c r="J1035" s="4">
        <f>59.9349 * CHOOSE(CONTROL!$C$15, $D$11, 100%, $F$11)</f>
        <v>59.934899999999999</v>
      </c>
      <c r="K1035" s="4"/>
      <c r="L1035" s="9">
        <v>28.360600000000002</v>
      </c>
      <c r="M1035" s="9">
        <v>11.6745</v>
      </c>
      <c r="N1035" s="9">
        <v>4.7850000000000001</v>
      </c>
      <c r="O1035" s="9">
        <v>0.36199999999999999</v>
      </c>
      <c r="P1035" s="9">
        <v>1.2509999999999999</v>
      </c>
      <c r="Q1035" s="9">
        <v>19.053000000000001</v>
      </c>
      <c r="R1035" s="9"/>
      <c r="S1035" s="11"/>
    </row>
    <row r="1036" spans="1:19" ht="15.75">
      <c r="A1036" s="13">
        <v>73050</v>
      </c>
      <c r="B1036" s="8">
        <f>62.3405 * CHOOSE(CONTROL!$C$15, $D$11, 100%, $F$11)</f>
        <v>62.340499999999999</v>
      </c>
      <c r="C1036" s="8">
        <f>62.3456 * CHOOSE(CONTROL!$C$15, $D$11, 100%, $F$11)</f>
        <v>62.345599999999997</v>
      </c>
      <c r="D1036" s="8">
        <f>62.3362 * CHOOSE( CONTROL!$C$15, $D$11, 100%, $F$11)</f>
        <v>62.336199999999998</v>
      </c>
      <c r="E1036" s="12">
        <f>62.3391 * CHOOSE( CONTROL!$C$15, $D$11, 100%, $F$11)</f>
        <v>62.339100000000002</v>
      </c>
      <c r="F1036" s="4">
        <f>62.9894 * CHOOSE(CONTROL!$C$15, $D$11, 100%, $F$11)</f>
        <v>62.989400000000003</v>
      </c>
      <c r="G1036" s="8">
        <f>60.8822 * CHOOSE( CONTROL!$C$15, $D$11, 100%, $F$11)</f>
        <v>60.882199999999997</v>
      </c>
      <c r="H1036" s="4">
        <f>61.7567 * CHOOSE(CONTROL!$C$15, $D$11, 100%, $F$11)</f>
        <v>61.756700000000002</v>
      </c>
      <c r="I1036" s="8">
        <f>59.9932 * CHOOSE(CONTROL!$C$15, $D$11, 100%, $F$11)</f>
        <v>59.993200000000002</v>
      </c>
      <c r="J1036" s="4">
        <f>59.8259 * CHOOSE(CONTROL!$C$15, $D$11, 100%, $F$11)</f>
        <v>59.825899999999997</v>
      </c>
      <c r="K1036" s="4"/>
      <c r="L1036" s="9">
        <v>29.306000000000001</v>
      </c>
      <c r="M1036" s="9">
        <v>12.063700000000001</v>
      </c>
      <c r="N1036" s="9">
        <v>4.9444999999999997</v>
      </c>
      <c r="O1036" s="9">
        <v>0.37409999999999999</v>
      </c>
      <c r="P1036" s="9">
        <v>1.2927</v>
      </c>
      <c r="Q1036" s="9">
        <v>19.688099999999999</v>
      </c>
      <c r="R1036" s="9"/>
      <c r="S1036" s="11"/>
    </row>
    <row r="1037" spans="1:19" ht="15.75">
      <c r="A1037" s="13">
        <v>73081</v>
      </c>
      <c r="B1037" s="8">
        <f>64.722 * CHOOSE(CONTROL!$C$15, $D$11, 100%, $F$11)</f>
        <v>64.721999999999994</v>
      </c>
      <c r="C1037" s="8">
        <f>64.7272 * CHOOSE(CONTROL!$C$15, $D$11, 100%, $F$11)</f>
        <v>64.727199999999996</v>
      </c>
      <c r="D1037" s="8">
        <f>64.7136 * CHOOSE( CONTROL!$C$15, $D$11, 100%, $F$11)</f>
        <v>64.7136</v>
      </c>
      <c r="E1037" s="12">
        <f>64.718 * CHOOSE( CONTROL!$C$15, $D$11, 100%, $F$11)</f>
        <v>64.718000000000004</v>
      </c>
      <c r="F1037" s="4">
        <f>65.3709 * CHOOSE(CONTROL!$C$15, $D$11, 100%, $F$11)</f>
        <v>65.370900000000006</v>
      </c>
      <c r="G1037" s="8">
        <f>63.202 * CHOOSE( CONTROL!$C$15, $D$11, 100%, $F$11)</f>
        <v>63.201999999999998</v>
      </c>
      <c r="H1037" s="4">
        <f>64.0828 * CHOOSE(CONTROL!$C$15, $D$11, 100%, $F$11)</f>
        <v>64.082800000000006</v>
      </c>
      <c r="I1037" s="8">
        <f>62.2572 * CHOOSE(CONTROL!$C$15, $D$11, 100%, $F$11)</f>
        <v>62.257199999999997</v>
      </c>
      <c r="J1037" s="4">
        <f>62.1124 * CHOOSE(CONTROL!$C$15, $D$11, 100%, $F$11)</f>
        <v>62.112400000000001</v>
      </c>
      <c r="K1037" s="4"/>
      <c r="L1037" s="9">
        <v>29.306000000000001</v>
      </c>
      <c r="M1037" s="9">
        <v>12.063700000000001</v>
      </c>
      <c r="N1037" s="9">
        <v>4.9444999999999997</v>
      </c>
      <c r="O1037" s="9">
        <v>0.37409999999999999</v>
      </c>
      <c r="P1037" s="9">
        <v>1.2927</v>
      </c>
      <c r="Q1037" s="9">
        <v>19.688099999999999</v>
      </c>
      <c r="R1037" s="9"/>
      <c r="S1037" s="11"/>
    </row>
    <row r="1038" spans="1:19" ht="15.75">
      <c r="A1038" s="13">
        <v>73109</v>
      </c>
      <c r="B1038" s="8">
        <f>60.5396 * CHOOSE(CONTROL!$C$15, $D$11, 100%, $F$11)</f>
        <v>60.5396</v>
      </c>
      <c r="C1038" s="8">
        <f>60.5448 * CHOOSE(CONTROL!$C$15, $D$11, 100%, $F$11)</f>
        <v>60.544800000000002</v>
      </c>
      <c r="D1038" s="8">
        <f>60.5313 * CHOOSE( CONTROL!$C$15, $D$11, 100%, $F$11)</f>
        <v>60.531300000000002</v>
      </c>
      <c r="E1038" s="12">
        <f>60.5357 * CHOOSE( CONTROL!$C$15, $D$11, 100%, $F$11)</f>
        <v>60.535699999999999</v>
      </c>
      <c r="F1038" s="4">
        <f>61.1885 * CHOOSE(CONTROL!$C$15, $D$11, 100%, $F$11)</f>
        <v>61.188499999999998</v>
      </c>
      <c r="G1038" s="8">
        <f>59.1171 * CHOOSE( CONTROL!$C$15, $D$11, 100%, $F$11)</f>
        <v>59.117100000000001</v>
      </c>
      <c r="H1038" s="4">
        <f>59.9979 * CHOOSE(CONTROL!$C$15, $D$11, 100%, $F$11)</f>
        <v>59.997900000000001</v>
      </c>
      <c r="I1038" s="8">
        <f>58.2397 * CHOOSE(CONTROL!$C$15, $D$11, 100%, $F$11)</f>
        <v>58.239699999999999</v>
      </c>
      <c r="J1038" s="4">
        <f>58.0969 * CHOOSE(CONTROL!$C$15, $D$11, 100%, $F$11)</f>
        <v>58.096899999999998</v>
      </c>
      <c r="K1038" s="4"/>
      <c r="L1038" s="9">
        <v>26.469899999999999</v>
      </c>
      <c r="M1038" s="9">
        <v>10.8962</v>
      </c>
      <c r="N1038" s="9">
        <v>4.4660000000000002</v>
      </c>
      <c r="O1038" s="9">
        <v>0.33789999999999998</v>
      </c>
      <c r="P1038" s="9">
        <v>1.1676</v>
      </c>
      <c r="Q1038" s="9">
        <v>17.782800000000002</v>
      </c>
      <c r="R1038" s="9"/>
      <c r="S1038" s="11"/>
    </row>
    <row r="1039" spans="1:19" ht="15.75">
      <c r="A1039" s="13">
        <v>73140</v>
      </c>
      <c r="B1039" s="8">
        <f>59.2515 * CHOOSE(CONTROL!$C$15, $D$11, 100%, $F$11)</f>
        <v>59.2515</v>
      </c>
      <c r="C1039" s="8">
        <f>59.2567 * CHOOSE(CONTROL!$C$15, $D$11, 100%, $F$11)</f>
        <v>59.256700000000002</v>
      </c>
      <c r="D1039" s="8">
        <f>59.2428 * CHOOSE( CONTROL!$C$15, $D$11, 100%, $F$11)</f>
        <v>59.242800000000003</v>
      </c>
      <c r="E1039" s="12">
        <f>59.2473 * CHOOSE( CONTROL!$C$15, $D$11, 100%, $F$11)</f>
        <v>59.247300000000003</v>
      </c>
      <c r="F1039" s="4">
        <f>59.9004 * CHOOSE(CONTROL!$C$15, $D$11, 100%, $F$11)</f>
        <v>59.900399999999998</v>
      </c>
      <c r="G1039" s="8">
        <f>57.8587 * CHOOSE( CONTROL!$C$15, $D$11, 100%, $F$11)</f>
        <v>57.858699999999999</v>
      </c>
      <c r="H1039" s="4">
        <f>58.7397 * CHOOSE(CONTROL!$C$15, $D$11, 100%, $F$11)</f>
        <v>58.739699999999999</v>
      </c>
      <c r="I1039" s="8">
        <f>57.0013 * CHOOSE(CONTROL!$C$15, $D$11, 100%, $F$11)</f>
        <v>57.001300000000001</v>
      </c>
      <c r="J1039" s="4">
        <f>56.8602 * CHOOSE(CONTROL!$C$15, $D$11, 100%, $F$11)</f>
        <v>56.860199999999999</v>
      </c>
      <c r="K1039" s="4"/>
      <c r="L1039" s="9">
        <v>29.306000000000001</v>
      </c>
      <c r="M1039" s="9">
        <v>12.063700000000001</v>
      </c>
      <c r="N1039" s="9">
        <v>4.9444999999999997</v>
      </c>
      <c r="O1039" s="9">
        <v>0.37409999999999999</v>
      </c>
      <c r="P1039" s="9">
        <v>1.2927</v>
      </c>
      <c r="Q1039" s="9">
        <v>19.688099999999999</v>
      </c>
      <c r="R1039" s="9"/>
      <c r="S1039" s="11"/>
    </row>
    <row r="1040" spans="1:19" ht="15.75">
      <c r="A1040" s="13">
        <v>73170</v>
      </c>
      <c r="B1040" s="8">
        <f>60.1524 * CHOOSE(CONTROL!$C$15, $D$11, 100%, $F$11)</f>
        <v>60.1524</v>
      </c>
      <c r="C1040" s="8">
        <f>60.157 * CHOOSE(CONTROL!$C$15, $D$11, 100%, $F$11)</f>
        <v>60.156999999999996</v>
      </c>
      <c r="D1040" s="8">
        <f>60.1833 * CHOOSE( CONTROL!$C$15, $D$11, 100%, $F$11)</f>
        <v>60.183300000000003</v>
      </c>
      <c r="E1040" s="12">
        <f>60.1741 * CHOOSE( CONTROL!$C$15, $D$11, 100%, $F$11)</f>
        <v>60.174100000000003</v>
      </c>
      <c r="F1040" s="4">
        <f>60.8516 * CHOOSE(CONTROL!$C$15, $D$11, 100%, $F$11)</f>
        <v>60.851599999999998</v>
      </c>
      <c r="G1040" s="8">
        <f>58.7379 * CHOOSE( CONTROL!$C$15, $D$11, 100%, $F$11)</f>
        <v>58.737900000000003</v>
      </c>
      <c r="H1040" s="4">
        <f>59.6687 * CHOOSE(CONTROL!$C$15, $D$11, 100%, $F$11)</f>
        <v>59.668700000000001</v>
      </c>
      <c r="I1040" s="8">
        <f>57.8578 * CHOOSE(CONTROL!$C$15, $D$11, 100%, $F$11)</f>
        <v>57.857799999999997</v>
      </c>
      <c r="J1040" s="4">
        <f>57.7244 * CHOOSE(CONTROL!$C$15, $D$11, 100%, $F$11)</f>
        <v>57.724400000000003</v>
      </c>
      <c r="K1040" s="4"/>
      <c r="L1040" s="9">
        <v>30.092199999999998</v>
      </c>
      <c r="M1040" s="9">
        <v>11.6745</v>
      </c>
      <c r="N1040" s="9">
        <v>4.7850000000000001</v>
      </c>
      <c r="O1040" s="9">
        <v>0.36199999999999999</v>
      </c>
      <c r="P1040" s="9">
        <v>1.1791</v>
      </c>
      <c r="Q1040" s="9">
        <v>19.053000000000001</v>
      </c>
      <c r="R1040" s="9"/>
      <c r="S1040" s="11"/>
    </row>
    <row r="1041" spans="1:19" ht="15.75">
      <c r="A1041" s="13">
        <v>73201</v>
      </c>
      <c r="B1041" s="8">
        <f>CHOOSE( CONTROL!$C$32, 61.7606, 61.7558) * CHOOSE(CONTROL!$C$15, $D$11, 100%, $F$11)</f>
        <v>61.760599999999997</v>
      </c>
      <c r="C1041" s="8">
        <f>CHOOSE( CONTROL!$C$32, 61.7687, 61.7639) * CHOOSE(CONTROL!$C$15, $D$11, 100%, $F$11)</f>
        <v>61.768700000000003</v>
      </c>
      <c r="D1041" s="8">
        <f>CHOOSE( CONTROL!$C$32, 61.79, 61.7852) * CHOOSE( CONTROL!$C$15, $D$11, 100%, $F$11)</f>
        <v>61.79</v>
      </c>
      <c r="E1041" s="12">
        <f>CHOOSE( CONTROL!$C$32, 61.781, 61.7762) * CHOOSE( CONTROL!$C$15, $D$11, 100%, $F$11)</f>
        <v>61.780999999999999</v>
      </c>
      <c r="F1041" s="4">
        <f>CHOOSE( CONTROL!$C$32, 62.4584, 62.4536) * CHOOSE(CONTROL!$C$15, $D$11, 100%, $F$11)</f>
        <v>62.458399999999997</v>
      </c>
      <c r="G1041" s="8">
        <f>CHOOSE( CONTROL!$C$32, 60.3083, 60.3036) * CHOOSE( CONTROL!$C$15, $D$11, 100%, $F$11)</f>
        <v>60.308300000000003</v>
      </c>
      <c r="H1041" s="4">
        <f>CHOOSE( CONTROL!$C$32, 61.2382, 61.2334) * CHOOSE(CONTROL!$C$15, $D$11, 100%, $F$11)</f>
        <v>61.238199999999999</v>
      </c>
      <c r="I1041" s="8">
        <f>CHOOSE( CONTROL!$C$32, 59.4013, 59.3966) * CHOOSE(CONTROL!$C$15, $D$11, 100%, $F$11)</f>
        <v>59.401299999999999</v>
      </c>
      <c r="J1041" s="4">
        <f>CHOOSE( CONTROL!$C$32, 59.2671, 59.2625) * CHOOSE(CONTROL!$C$15, $D$11, 100%, $F$11)</f>
        <v>59.267099999999999</v>
      </c>
      <c r="K1041" s="4"/>
      <c r="L1041" s="9">
        <v>30.7165</v>
      </c>
      <c r="M1041" s="9">
        <v>12.063700000000001</v>
      </c>
      <c r="N1041" s="9">
        <v>4.9444999999999997</v>
      </c>
      <c r="O1041" s="9">
        <v>0.37409999999999999</v>
      </c>
      <c r="P1041" s="9">
        <v>1.2183999999999999</v>
      </c>
      <c r="Q1041" s="9">
        <v>19.688099999999999</v>
      </c>
      <c r="R1041" s="9"/>
      <c r="S1041" s="11"/>
    </row>
    <row r="1042" spans="1:19" ht="15.75">
      <c r="A1042" s="13">
        <v>73231</v>
      </c>
      <c r="B1042" s="8">
        <f>CHOOSE( CONTROL!$C$32, 60.7682, 60.7634) * CHOOSE(CONTROL!$C$15, $D$11, 100%, $F$11)</f>
        <v>60.7682</v>
      </c>
      <c r="C1042" s="8">
        <f>CHOOSE( CONTROL!$C$32, 60.7763, 60.7715) * CHOOSE(CONTROL!$C$15, $D$11, 100%, $F$11)</f>
        <v>60.776299999999999</v>
      </c>
      <c r="D1042" s="8">
        <f>CHOOSE( CONTROL!$C$32, 60.7978, 60.793) * CHOOSE( CONTROL!$C$15, $D$11, 100%, $F$11)</f>
        <v>60.797800000000002</v>
      </c>
      <c r="E1042" s="12">
        <f>CHOOSE( CONTROL!$C$32, 60.7888, 60.784) * CHOOSE( CONTROL!$C$15, $D$11, 100%, $F$11)</f>
        <v>60.788800000000002</v>
      </c>
      <c r="F1042" s="4">
        <f>CHOOSE( CONTROL!$C$32, 61.466, 61.4612) * CHOOSE(CONTROL!$C$15, $D$11, 100%, $F$11)</f>
        <v>61.466000000000001</v>
      </c>
      <c r="G1042" s="8">
        <f>CHOOSE( CONTROL!$C$32, 59.3393, 59.3346) * CHOOSE( CONTROL!$C$15, $D$11, 100%, $F$11)</f>
        <v>59.339300000000001</v>
      </c>
      <c r="H1042" s="4">
        <f>CHOOSE( CONTROL!$C$32, 60.2689, 60.2642) * CHOOSE(CONTROL!$C$15, $D$11, 100%, $F$11)</f>
        <v>60.268900000000002</v>
      </c>
      <c r="I1042" s="8">
        <f>CHOOSE( CONTROL!$C$32, 58.4489, 58.4443) * CHOOSE(CONTROL!$C$15, $D$11, 100%, $F$11)</f>
        <v>58.448900000000002</v>
      </c>
      <c r="J1042" s="4">
        <f>CHOOSE( CONTROL!$C$32, 58.3143, 58.3097) * CHOOSE(CONTROL!$C$15, $D$11, 100%, $F$11)</f>
        <v>58.314300000000003</v>
      </c>
      <c r="K1042" s="4"/>
      <c r="L1042" s="9">
        <v>29.7257</v>
      </c>
      <c r="M1042" s="9">
        <v>11.6745</v>
      </c>
      <c r="N1042" s="9">
        <v>4.7850000000000001</v>
      </c>
      <c r="O1042" s="9">
        <v>0.36199999999999999</v>
      </c>
      <c r="P1042" s="9">
        <v>1.1791</v>
      </c>
      <c r="Q1042" s="9">
        <v>19.053000000000001</v>
      </c>
      <c r="R1042" s="9"/>
      <c r="S1042" s="11"/>
    </row>
    <row r="1043" spans="1:19" ht="15.75">
      <c r="A1043" s="13">
        <v>73262</v>
      </c>
      <c r="B1043" s="8">
        <f>CHOOSE( CONTROL!$C$32, 63.3816, 63.3767) * CHOOSE(CONTROL!$C$15, $D$11, 100%, $F$11)</f>
        <v>63.381599999999999</v>
      </c>
      <c r="C1043" s="8">
        <f>CHOOSE( CONTROL!$C$32, 63.3897, 63.3848) * CHOOSE(CONTROL!$C$15, $D$11, 100%, $F$11)</f>
        <v>63.389699999999998</v>
      </c>
      <c r="D1043" s="8">
        <f>CHOOSE( CONTROL!$C$32, 63.4114, 63.4066) * CHOOSE( CONTROL!$C$15, $D$11, 100%, $F$11)</f>
        <v>63.4114</v>
      </c>
      <c r="E1043" s="12">
        <f>CHOOSE( CONTROL!$C$32, 63.4023, 63.3975) * CHOOSE( CONTROL!$C$15, $D$11, 100%, $F$11)</f>
        <v>63.402299999999997</v>
      </c>
      <c r="F1043" s="4">
        <f>CHOOSE( CONTROL!$C$32, 64.0794, 64.0746) * CHOOSE(CONTROL!$C$15, $D$11, 100%, $F$11)</f>
        <v>64.079400000000007</v>
      </c>
      <c r="G1043" s="8">
        <f>CHOOSE( CONTROL!$C$32, 61.8921, 61.8874) * CHOOSE( CONTROL!$C$15, $D$11, 100%, $F$11)</f>
        <v>61.892099999999999</v>
      </c>
      <c r="H1043" s="4">
        <f>CHOOSE( CONTROL!$C$32, 62.8213, 62.8166) * CHOOSE(CONTROL!$C$15, $D$11, 100%, $F$11)</f>
        <v>62.821300000000001</v>
      </c>
      <c r="I1043" s="8">
        <f>CHOOSE( CONTROL!$C$32, 60.9604, 60.9558) * CHOOSE(CONTROL!$C$15, $D$11, 100%, $F$11)</f>
        <v>60.9604</v>
      </c>
      <c r="J1043" s="4">
        <f>CHOOSE( CONTROL!$C$32, 60.8234, 60.8188) * CHOOSE(CONTROL!$C$15, $D$11, 100%, $F$11)</f>
        <v>60.823399999999999</v>
      </c>
      <c r="K1043" s="4"/>
      <c r="L1043" s="9">
        <v>30.7165</v>
      </c>
      <c r="M1043" s="9">
        <v>12.063700000000001</v>
      </c>
      <c r="N1043" s="9">
        <v>4.9444999999999997</v>
      </c>
      <c r="O1043" s="9">
        <v>0.37409999999999999</v>
      </c>
      <c r="P1043" s="9">
        <v>1.2183999999999999</v>
      </c>
      <c r="Q1043" s="9">
        <v>19.688099999999999</v>
      </c>
      <c r="R1043" s="9"/>
      <c r="S1043" s="11"/>
    </row>
    <row r="1044" spans="1:19" ht="15.75">
      <c r="A1044" s="13">
        <v>73293</v>
      </c>
      <c r="B1044" s="8">
        <f>CHOOSE( CONTROL!$C$32, 58.4917, 58.4869) * CHOOSE(CONTROL!$C$15, $D$11, 100%, $F$11)</f>
        <v>58.491700000000002</v>
      </c>
      <c r="C1044" s="8">
        <f>CHOOSE( CONTROL!$C$32, 58.4998, 58.495) * CHOOSE(CONTROL!$C$15, $D$11, 100%, $F$11)</f>
        <v>58.4998</v>
      </c>
      <c r="D1044" s="8">
        <f>CHOOSE( CONTROL!$C$32, 58.5216, 58.5168) * CHOOSE( CONTROL!$C$15, $D$11, 100%, $F$11)</f>
        <v>58.521599999999999</v>
      </c>
      <c r="E1044" s="12">
        <f>CHOOSE( CONTROL!$C$32, 58.5125, 58.5077) * CHOOSE( CONTROL!$C$15, $D$11, 100%, $F$11)</f>
        <v>58.512500000000003</v>
      </c>
      <c r="F1044" s="4">
        <f>CHOOSE( CONTROL!$C$32, 59.1895, 59.1847) * CHOOSE(CONTROL!$C$15, $D$11, 100%, $F$11)</f>
        <v>59.189500000000002</v>
      </c>
      <c r="G1044" s="8">
        <f>CHOOSE( CONTROL!$C$32, 57.1163, 57.1116) * CHOOSE( CONTROL!$C$15, $D$11, 100%, $F$11)</f>
        <v>57.116300000000003</v>
      </c>
      <c r="H1044" s="4">
        <f>CHOOSE( CONTROL!$C$32, 58.0454, 58.0407) * CHOOSE(CONTROL!$C$15, $D$11, 100%, $F$11)</f>
        <v>58.045400000000001</v>
      </c>
      <c r="I1044" s="8">
        <f>CHOOSE( CONTROL!$C$32, 56.2636, 56.2589) * CHOOSE(CONTROL!$C$15, $D$11, 100%, $F$11)</f>
        <v>56.263599999999997</v>
      </c>
      <c r="J1044" s="4">
        <f>CHOOSE( CONTROL!$C$32, 56.1287, 56.124) * CHOOSE(CONTROL!$C$15, $D$11, 100%, $F$11)</f>
        <v>56.128700000000002</v>
      </c>
      <c r="K1044" s="4"/>
      <c r="L1044" s="9">
        <v>30.7165</v>
      </c>
      <c r="M1044" s="9">
        <v>12.063700000000001</v>
      </c>
      <c r="N1044" s="9">
        <v>4.9444999999999997</v>
      </c>
      <c r="O1044" s="9">
        <v>0.37409999999999999</v>
      </c>
      <c r="P1044" s="9">
        <v>1.2183999999999999</v>
      </c>
      <c r="Q1044" s="9">
        <v>19.688099999999999</v>
      </c>
      <c r="R1044" s="9"/>
      <c r="S1044" s="11"/>
    </row>
    <row r="1045" spans="1:19" ht="15.75">
      <c r="A1045" s="13">
        <v>73323</v>
      </c>
      <c r="B1045" s="8">
        <f>CHOOSE( CONTROL!$C$32, 57.2672, 57.2624) * CHOOSE(CONTROL!$C$15, $D$11, 100%, $F$11)</f>
        <v>57.267200000000003</v>
      </c>
      <c r="C1045" s="8">
        <f>CHOOSE( CONTROL!$C$32, 57.2753, 57.2705) * CHOOSE(CONTROL!$C$15, $D$11, 100%, $F$11)</f>
        <v>57.275300000000001</v>
      </c>
      <c r="D1045" s="8">
        <f>CHOOSE( CONTROL!$C$32, 57.2971, 57.2923) * CHOOSE( CONTROL!$C$15, $D$11, 100%, $F$11)</f>
        <v>57.2971</v>
      </c>
      <c r="E1045" s="12">
        <f>CHOOSE( CONTROL!$C$32, 57.288, 57.2832) * CHOOSE( CONTROL!$C$15, $D$11, 100%, $F$11)</f>
        <v>57.287999999999997</v>
      </c>
      <c r="F1045" s="4">
        <f>CHOOSE( CONTROL!$C$32, 57.965, 57.9602) * CHOOSE(CONTROL!$C$15, $D$11, 100%, $F$11)</f>
        <v>57.965000000000003</v>
      </c>
      <c r="G1045" s="8">
        <f>CHOOSE( CONTROL!$C$32, 55.9203, 55.9156) * CHOOSE( CONTROL!$C$15, $D$11, 100%, $F$11)</f>
        <v>55.920299999999997</v>
      </c>
      <c r="H1045" s="4">
        <f>CHOOSE( CONTROL!$C$32, 56.8494, 56.8447) * CHOOSE(CONTROL!$C$15, $D$11, 100%, $F$11)</f>
        <v>56.849400000000003</v>
      </c>
      <c r="I1045" s="8">
        <f>CHOOSE( CONTROL!$C$32, 55.0873, 55.0826) * CHOOSE(CONTROL!$C$15, $D$11, 100%, $F$11)</f>
        <v>55.087299999999999</v>
      </c>
      <c r="J1045" s="4">
        <f>CHOOSE( CONTROL!$C$32, 54.953, 54.9484) * CHOOSE(CONTROL!$C$15, $D$11, 100%, $F$11)</f>
        <v>54.953000000000003</v>
      </c>
      <c r="K1045" s="4"/>
      <c r="L1045" s="9">
        <v>29.7257</v>
      </c>
      <c r="M1045" s="9">
        <v>11.6745</v>
      </c>
      <c r="N1045" s="9">
        <v>4.7850000000000001</v>
      </c>
      <c r="O1045" s="9">
        <v>0.36199999999999999</v>
      </c>
      <c r="P1045" s="9">
        <v>1.1791</v>
      </c>
      <c r="Q1045" s="9">
        <v>19.053000000000001</v>
      </c>
      <c r="R1045" s="9"/>
      <c r="S1045" s="11"/>
    </row>
    <row r="1046" spans="1:19" ht="15.75">
      <c r="A1046" s="13">
        <v>73354</v>
      </c>
      <c r="B1046" s="8">
        <f>59.8031 * CHOOSE(CONTROL!$C$15, $D$11, 100%, $F$11)</f>
        <v>59.803100000000001</v>
      </c>
      <c r="C1046" s="8">
        <f>59.8085 * CHOOSE(CONTROL!$C$15, $D$11, 100%, $F$11)</f>
        <v>59.808500000000002</v>
      </c>
      <c r="D1046" s="8">
        <f>59.835 * CHOOSE( CONTROL!$C$15, $D$11, 100%, $F$11)</f>
        <v>59.835000000000001</v>
      </c>
      <c r="E1046" s="12">
        <f>59.8257 * CHOOSE( CONTROL!$C$15, $D$11, 100%, $F$11)</f>
        <v>59.825699999999998</v>
      </c>
      <c r="F1046" s="4">
        <f>60.5026 * CHOOSE(CONTROL!$C$15, $D$11, 100%, $F$11)</f>
        <v>60.502600000000001</v>
      </c>
      <c r="G1046" s="8">
        <f>58.398 * CHOOSE( CONTROL!$C$15, $D$11, 100%, $F$11)</f>
        <v>58.398000000000003</v>
      </c>
      <c r="H1046" s="4">
        <f>59.3279 * CHOOSE(CONTROL!$C$15, $D$11, 100%, $F$11)</f>
        <v>59.3279</v>
      </c>
      <c r="I1046" s="8">
        <f>57.5256 * CHOOSE(CONTROL!$C$15, $D$11, 100%, $F$11)</f>
        <v>57.525599999999997</v>
      </c>
      <c r="J1046" s="4">
        <f>57.3894 * CHOOSE(CONTROL!$C$15, $D$11, 100%, $F$11)</f>
        <v>57.389400000000002</v>
      </c>
      <c r="K1046" s="4"/>
      <c r="L1046" s="9">
        <v>31.095300000000002</v>
      </c>
      <c r="M1046" s="9">
        <v>12.063700000000001</v>
      </c>
      <c r="N1046" s="9">
        <v>4.9444999999999997</v>
      </c>
      <c r="O1046" s="9">
        <v>0.37409999999999999</v>
      </c>
      <c r="P1046" s="9">
        <v>1.2183999999999999</v>
      </c>
      <c r="Q1046" s="9">
        <v>19.688099999999999</v>
      </c>
      <c r="R1046" s="9"/>
      <c r="S1046" s="11"/>
    </row>
    <row r="1047" spans="1:19" ht="15.75">
      <c r="A1047" s="13">
        <v>73384</v>
      </c>
      <c r="B1047" s="8">
        <f>64.4955 * CHOOSE(CONTROL!$C$15, $D$11, 100%, $F$11)</f>
        <v>64.495500000000007</v>
      </c>
      <c r="C1047" s="8">
        <f>64.5007 * CHOOSE(CONTROL!$C$15, $D$11, 100%, $F$11)</f>
        <v>64.500699999999995</v>
      </c>
      <c r="D1047" s="8">
        <f>64.49 * CHOOSE( CONTROL!$C$15, $D$11, 100%, $F$11)</f>
        <v>64.489999999999995</v>
      </c>
      <c r="E1047" s="12">
        <f>64.4934 * CHOOSE( CONTROL!$C$15, $D$11, 100%, $F$11)</f>
        <v>64.493399999999994</v>
      </c>
      <c r="F1047" s="4">
        <f>65.1444 * CHOOSE(CONTROL!$C$15, $D$11, 100%, $F$11)</f>
        <v>65.144400000000005</v>
      </c>
      <c r="G1047" s="8">
        <f>62.9861 * CHOOSE( CONTROL!$C$15, $D$11, 100%, $F$11)</f>
        <v>62.9861</v>
      </c>
      <c r="H1047" s="4">
        <f>63.8616 * CHOOSE(CONTROL!$C$15, $D$11, 100%, $F$11)</f>
        <v>63.861600000000003</v>
      </c>
      <c r="I1047" s="8">
        <f>62.059 * CHOOSE(CONTROL!$C$15, $D$11, 100%, $F$11)</f>
        <v>62.058999999999997</v>
      </c>
      <c r="J1047" s="4">
        <f>61.895 * CHOOSE(CONTROL!$C$15, $D$11, 100%, $F$11)</f>
        <v>61.895000000000003</v>
      </c>
      <c r="K1047" s="4"/>
      <c r="L1047" s="9">
        <v>28.360600000000002</v>
      </c>
      <c r="M1047" s="9">
        <v>11.6745</v>
      </c>
      <c r="N1047" s="9">
        <v>4.7850000000000001</v>
      </c>
      <c r="O1047" s="9">
        <v>0.36199999999999999</v>
      </c>
      <c r="P1047" s="9">
        <v>1.2509999999999999</v>
      </c>
      <c r="Q1047" s="9">
        <v>19.053000000000001</v>
      </c>
      <c r="R1047" s="9"/>
      <c r="S1047" s="11"/>
    </row>
    <row r="1048" spans="1:19" ht="15.75">
      <c r="A1048" s="13">
        <v>73415</v>
      </c>
      <c r="B1048" s="8">
        <f>64.3783 * CHOOSE(CONTROL!$C$15, $D$11, 100%, $F$11)</f>
        <v>64.378299999999996</v>
      </c>
      <c r="C1048" s="8">
        <f>64.3835 * CHOOSE(CONTROL!$C$15, $D$11, 100%, $F$11)</f>
        <v>64.383499999999998</v>
      </c>
      <c r="D1048" s="8">
        <f>64.3741 * CHOOSE( CONTROL!$C$15, $D$11, 100%, $F$11)</f>
        <v>64.374099999999999</v>
      </c>
      <c r="E1048" s="12">
        <f>64.377 * CHOOSE( CONTROL!$C$15, $D$11, 100%, $F$11)</f>
        <v>64.376999999999995</v>
      </c>
      <c r="F1048" s="4">
        <f>65.0272 * CHOOSE(CONTROL!$C$15, $D$11, 100%, $F$11)</f>
        <v>65.027199999999993</v>
      </c>
      <c r="G1048" s="8">
        <f>62.8726 * CHOOSE( CONTROL!$C$15, $D$11, 100%, $F$11)</f>
        <v>62.872599999999998</v>
      </c>
      <c r="H1048" s="4">
        <f>63.7471 * CHOOSE(CONTROL!$C$15, $D$11, 100%, $F$11)</f>
        <v>63.747100000000003</v>
      </c>
      <c r="I1048" s="8">
        <f>61.9507 * CHOOSE(CONTROL!$C$15, $D$11, 100%, $F$11)</f>
        <v>61.950699999999998</v>
      </c>
      <c r="J1048" s="4">
        <f>61.7824 * CHOOSE(CONTROL!$C$15, $D$11, 100%, $F$11)</f>
        <v>61.782400000000003</v>
      </c>
      <c r="K1048" s="4"/>
      <c r="L1048" s="9">
        <v>29.306000000000001</v>
      </c>
      <c r="M1048" s="9">
        <v>12.063700000000001</v>
      </c>
      <c r="N1048" s="9">
        <v>4.9444999999999997</v>
      </c>
      <c r="O1048" s="9">
        <v>0.37409999999999999</v>
      </c>
      <c r="P1048" s="9">
        <v>1.2927</v>
      </c>
      <c r="Q1048" s="9">
        <v>19.688099999999999</v>
      </c>
      <c r="R1048" s="9"/>
      <c r="S1048" s="11"/>
    </row>
    <row r="1049" spans="1:19">
      <c r="A1049" s="10"/>
      <c r="F1049" s="1"/>
      <c r="H1049" s="1"/>
      <c r="Q1049" s="9"/>
    </row>
    <row r="1050" spans="1:19" ht="15" customHeight="1">
      <c r="A1050" s="3">
        <v>2015</v>
      </c>
      <c r="B1050" s="8">
        <f t="shared" ref="B1050:H1050" si="2">AVERAGE(B17:B28)</f>
        <v>2.9487916666666671</v>
      </c>
      <c r="C1050" s="8">
        <f t="shared" si="2"/>
        <v>2.9551666666666665</v>
      </c>
      <c r="D1050" s="8">
        <f t="shared" si="2"/>
        <v>2.9473750000000005</v>
      </c>
      <c r="E1050" s="8">
        <f t="shared" si="2"/>
        <v>2.9492583333333333</v>
      </c>
      <c r="F1050" s="4">
        <f t="shared" si="2"/>
        <v>3.6106916666666664</v>
      </c>
      <c r="G1050" s="8">
        <f t="shared" si="2"/>
        <v>2.8659583333333334</v>
      </c>
      <c r="H1050" s="4">
        <f t="shared" si="2"/>
        <v>3.7613416666666666</v>
      </c>
      <c r="I1050" s="8"/>
      <c r="J1050" s="4">
        <f>AVERAGE(J17:J28)</f>
        <v>2.8029999999999995</v>
      </c>
      <c r="K1050" s="4">
        <f>AVERAGE(K17:K28)</f>
        <v>2.8683416666666672</v>
      </c>
      <c r="L1050" s="5">
        <f>SUM(L17:L28)</f>
        <v>369.27089999999998</v>
      </c>
      <c r="M1050" s="5">
        <f>SUM(M17:M28)</f>
        <v>142.0401</v>
      </c>
      <c r="N1050" s="5">
        <f>SUM(N17:N28)</f>
        <v>58.217499999999994</v>
      </c>
      <c r="O1050" s="5">
        <f>SUM(O17:O28)</f>
        <v>7.2496000000000018</v>
      </c>
      <c r="P1050" s="5">
        <f>SUM(P17:P28)</f>
        <v>14.046099999999997</v>
      </c>
      <c r="Q1050" s="5"/>
      <c r="R1050" s="5">
        <f>SUM(R17:R28)</f>
        <v>3.5999999999999992</v>
      </c>
      <c r="S1050" s="5">
        <f>SUM(S17:S28)</f>
        <v>12.811500000000002</v>
      </c>
    </row>
    <row r="1051" spans="1:19" ht="15" customHeight="1">
      <c r="A1051" s="3">
        <v>2016</v>
      </c>
      <c r="B1051" s="8">
        <f t="shared" ref="B1051:H1051" si="3">AVERAGE(B29:B40)</f>
        <v>3.1440000000000001</v>
      </c>
      <c r="C1051" s="8">
        <f t="shared" si="3"/>
        <v>3.1503749999999999</v>
      </c>
      <c r="D1051" s="8">
        <f t="shared" si="3"/>
        <v>3.1495916666666663</v>
      </c>
      <c r="E1051" s="8">
        <f t="shared" si="3"/>
        <v>3.1492166666666663</v>
      </c>
      <c r="F1051" s="4">
        <f t="shared" si="3"/>
        <v>3.8216916666666667</v>
      </c>
      <c r="G1051" s="8">
        <f t="shared" si="3"/>
        <v>3.0594666666666668</v>
      </c>
      <c r="H1051" s="4">
        <f t="shared" si="3"/>
        <v>3.9674</v>
      </c>
      <c r="I1051" s="8"/>
      <c r="J1051" s="4">
        <f>AVERAGE(J29:J40)</f>
        <v>2.9904166666666669</v>
      </c>
      <c r="K1051" s="5"/>
      <c r="L1051" s="5">
        <f>SUM(L29:L40)</f>
        <v>371.47629999999998</v>
      </c>
      <c r="M1051" s="5">
        <f>SUM(M29:M40)</f>
        <v>142.42920000000001</v>
      </c>
      <c r="N1051" s="5">
        <f>SUM(N29:N40)</f>
        <v>58.377000000000002</v>
      </c>
      <c r="O1051" s="5">
        <f>SUM(O29:O40)</f>
        <v>5.3597999999999999</v>
      </c>
      <c r="P1051" s="5">
        <f>SUM(P29:P40)</f>
        <v>17.840799999999998</v>
      </c>
      <c r="Q1051" s="5"/>
      <c r="R1051" s="5">
        <f>SUM(R29:R40)</f>
        <v>4.8</v>
      </c>
      <c r="S1051" s="5"/>
    </row>
    <row r="1052" spans="1:19" ht="15" customHeight="1">
      <c r="A1052" s="3">
        <v>2017</v>
      </c>
      <c r="B1052" s="8">
        <f t="shared" ref="B1052:J1052" si="4">AVERAGE(B41:B52)</f>
        <v>3.2997999999999998</v>
      </c>
      <c r="C1052" s="8">
        <f t="shared" si="4"/>
        <v>3.3061666666666665</v>
      </c>
      <c r="D1052" s="8">
        <f t="shared" si="4"/>
        <v>3.3044833333333337</v>
      </c>
      <c r="E1052" s="8">
        <f t="shared" si="4"/>
        <v>3.304325</v>
      </c>
      <c r="F1052" s="4">
        <f t="shared" si="4"/>
        <v>3.9774999999999996</v>
      </c>
      <c r="G1052" s="8">
        <f t="shared" si="4"/>
        <v>3.2112333333333329</v>
      </c>
      <c r="H1052" s="4">
        <f t="shared" si="4"/>
        <v>4.1195833333333338</v>
      </c>
      <c r="I1052" s="8">
        <f t="shared" si="4"/>
        <v>3.2542916666666666</v>
      </c>
      <c r="J1052" s="4">
        <f t="shared" si="4"/>
        <v>3.1399999999999992</v>
      </c>
      <c r="K1052" s="4"/>
      <c r="L1052" s="5">
        <f t="shared" ref="L1052:Q1052" si="5">SUM(L41:L52)</f>
        <v>355.53689999999995</v>
      </c>
      <c r="M1052" s="5">
        <f t="shared" si="5"/>
        <v>142.0401</v>
      </c>
      <c r="N1052" s="5">
        <f t="shared" si="5"/>
        <v>58.217499999999994</v>
      </c>
      <c r="O1052" s="5">
        <f t="shared" si="5"/>
        <v>4.4046000000000003</v>
      </c>
      <c r="P1052" s="5">
        <f t="shared" si="5"/>
        <v>20.805900000000001</v>
      </c>
      <c r="Q1052" s="5">
        <f t="shared" si="5"/>
        <v>198.18529999999998</v>
      </c>
      <c r="R1052" s="5"/>
      <c r="S1052" s="4"/>
    </row>
    <row r="1053" spans="1:19" ht="15" customHeight="1">
      <c r="A1053" s="3">
        <v>2018</v>
      </c>
      <c r="B1053" s="8">
        <f t="shared" ref="B1053:J1053" si="6">AVERAGE(B53:B64)</f>
        <v>3.7850666666666668</v>
      </c>
      <c r="C1053" s="8">
        <f t="shared" si="6"/>
        <v>3.7914333333333339</v>
      </c>
      <c r="D1053" s="8">
        <f t="shared" si="6"/>
        <v>3.7997583333333336</v>
      </c>
      <c r="E1053" s="8">
        <f t="shared" si="6"/>
        <v>3.7960750000000001</v>
      </c>
      <c r="F1053" s="4">
        <f t="shared" si="6"/>
        <v>4.4627583333333334</v>
      </c>
      <c r="G1053" s="8">
        <f t="shared" si="6"/>
        <v>3.6852083333333336</v>
      </c>
      <c r="H1053" s="4">
        <f t="shared" si="6"/>
        <v>4.5935666666666668</v>
      </c>
      <c r="I1053" s="8">
        <f t="shared" si="6"/>
        <v>3.7204499999999996</v>
      </c>
      <c r="J1053" s="4">
        <f t="shared" si="6"/>
        <v>3.6059416666666668</v>
      </c>
      <c r="K1053" s="4"/>
      <c r="L1053" s="5">
        <f t="shared" ref="L1053:Q1053" si="7">SUM(L53:L64)</f>
        <v>355.53689999999995</v>
      </c>
      <c r="M1053" s="5">
        <f t="shared" si="7"/>
        <v>142.0401</v>
      </c>
      <c r="N1053" s="5">
        <f t="shared" si="7"/>
        <v>58.217499999999994</v>
      </c>
      <c r="O1053" s="5">
        <f t="shared" si="7"/>
        <v>4.4046000000000003</v>
      </c>
      <c r="P1053" s="5">
        <f t="shared" si="7"/>
        <v>14.707600000000001</v>
      </c>
      <c r="Q1053" s="5">
        <f t="shared" si="7"/>
        <v>293.19730000000004</v>
      </c>
      <c r="R1053" s="5"/>
      <c r="S1053" s="4"/>
    </row>
    <row r="1054" spans="1:19" ht="15" customHeight="1">
      <c r="A1054" s="3">
        <v>2019</v>
      </c>
      <c r="B1054" s="8">
        <f t="shared" ref="B1054:J1054" si="8">AVERAGE(B65:B76)</f>
        <v>3.9770500000000002</v>
      </c>
      <c r="C1054" s="8">
        <f t="shared" si="8"/>
        <v>3.9834166666666664</v>
      </c>
      <c r="D1054" s="8">
        <f t="shared" si="8"/>
        <v>3.9917416666666665</v>
      </c>
      <c r="E1054" s="8">
        <f t="shared" si="8"/>
        <v>3.988058333333333</v>
      </c>
      <c r="F1054" s="4">
        <f t="shared" si="8"/>
        <v>4.6547333333333336</v>
      </c>
      <c r="G1054" s="8">
        <f t="shared" si="8"/>
        <v>3.8726999999999996</v>
      </c>
      <c r="H1054" s="4">
        <f t="shared" si="8"/>
        <v>4.7810500000000005</v>
      </c>
      <c r="I1054" s="8">
        <f t="shared" si="8"/>
        <v>3.9048333333333329</v>
      </c>
      <c r="J1054" s="4">
        <f t="shared" si="8"/>
        <v>3.7902499999999999</v>
      </c>
      <c r="K1054" s="4"/>
      <c r="L1054" s="5">
        <f t="shared" ref="L1054:Q1054" si="9">SUM(L65:L76)</f>
        <v>355.53689999999995</v>
      </c>
      <c r="M1054" s="5">
        <f t="shared" si="9"/>
        <v>142.0401</v>
      </c>
      <c r="N1054" s="5">
        <f t="shared" si="9"/>
        <v>58.217499999999994</v>
      </c>
      <c r="O1054" s="5">
        <f t="shared" si="9"/>
        <v>4.4046000000000003</v>
      </c>
      <c r="P1054" s="5">
        <f t="shared" si="9"/>
        <v>14.707600000000001</v>
      </c>
      <c r="Q1054" s="5">
        <f t="shared" si="9"/>
        <v>290.24799999999999</v>
      </c>
      <c r="R1054" s="5"/>
      <c r="S1054" s="4"/>
    </row>
    <row r="1055" spans="1:19" ht="15" customHeight="1">
      <c r="A1055" s="3">
        <v>2020</v>
      </c>
      <c r="B1055" s="8">
        <f t="shared" ref="B1055:J1055" si="10">AVERAGE(B77:B88)</f>
        <v>4.7609833333333329</v>
      </c>
      <c r="C1055" s="8">
        <f t="shared" si="10"/>
        <v>4.7673666666666676</v>
      </c>
      <c r="D1055" s="8">
        <f t="shared" si="10"/>
        <v>4.7756666666666669</v>
      </c>
      <c r="E1055" s="8">
        <f t="shared" si="10"/>
        <v>4.7719833333333339</v>
      </c>
      <c r="F1055" s="4">
        <f t="shared" si="10"/>
        <v>5.4386833333333335</v>
      </c>
      <c r="G1055" s="8">
        <f t="shared" si="10"/>
        <v>4.6383916666666671</v>
      </c>
      <c r="H1055" s="4">
        <f t="shared" si="10"/>
        <v>5.5467249999999995</v>
      </c>
      <c r="I1055" s="8">
        <f t="shared" si="10"/>
        <v>4.6578833333333334</v>
      </c>
      <c r="J1055" s="4">
        <f t="shared" si="10"/>
        <v>4.5429000000000004</v>
      </c>
      <c r="K1055" s="4"/>
      <c r="L1055" s="5">
        <f t="shared" ref="L1055:Q1055" si="11">SUM(L77:L88)</f>
        <v>356.48229999999995</v>
      </c>
      <c r="M1055" s="5">
        <f t="shared" si="11"/>
        <v>142.42920000000001</v>
      </c>
      <c r="N1055" s="5">
        <f t="shared" si="11"/>
        <v>58.377000000000002</v>
      </c>
      <c r="O1055" s="5">
        <f t="shared" si="11"/>
        <v>4.4165999999999999</v>
      </c>
      <c r="P1055" s="5">
        <f t="shared" si="11"/>
        <v>14.7493</v>
      </c>
      <c r="Q1055" s="5">
        <f t="shared" si="11"/>
        <v>349.04309999999998</v>
      </c>
      <c r="R1055" s="5"/>
      <c r="S1055" s="4"/>
    </row>
    <row r="1056" spans="1:19" ht="15" customHeight="1">
      <c r="A1056" s="3">
        <v>2021</v>
      </c>
      <c r="B1056" s="8">
        <f t="shared" ref="B1056:J1056" si="12">AVERAGE(B89:B100)</f>
        <v>4.9761916666666668</v>
      </c>
      <c r="C1056" s="8">
        <f t="shared" si="12"/>
        <v>4.9825499999999998</v>
      </c>
      <c r="D1056" s="8">
        <f t="shared" si="12"/>
        <v>4.9908666666666672</v>
      </c>
      <c r="E1056" s="8">
        <f t="shared" si="12"/>
        <v>4.9871833333333342</v>
      </c>
      <c r="F1056" s="4">
        <f t="shared" si="12"/>
        <v>5.6538749999999993</v>
      </c>
      <c r="G1056" s="8">
        <f t="shared" si="12"/>
        <v>4.8485750000000003</v>
      </c>
      <c r="H1056" s="4">
        <f t="shared" si="12"/>
        <v>5.7569166666666662</v>
      </c>
      <c r="I1056" s="8">
        <f t="shared" si="12"/>
        <v>4.8645916666666666</v>
      </c>
      <c r="J1056" s="4">
        <f t="shared" si="12"/>
        <v>4.749508333333333</v>
      </c>
      <c r="K1056" s="4"/>
      <c r="L1056" s="5">
        <f t="shared" ref="L1056:Q1056" si="13">SUM(L89:L100)</f>
        <v>355.53689999999995</v>
      </c>
      <c r="M1056" s="5">
        <f t="shared" si="13"/>
        <v>142.0401</v>
      </c>
      <c r="N1056" s="5">
        <f t="shared" si="13"/>
        <v>58.217499999999994</v>
      </c>
      <c r="O1056" s="5">
        <f t="shared" si="13"/>
        <v>4.4046000000000003</v>
      </c>
      <c r="P1056" s="5">
        <f t="shared" si="13"/>
        <v>14.707600000000001</v>
      </c>
      <c r="Q1056" s="5">
        <f t="shared" si="13"/>
        <v>388.68129999999996</v>
      </c>
      <c r="R1056" s="5"/>
      <c r="S1056" s="4"/>
    </row>
    <row r="1057" spans="1:19" ht="15" customHeight="1">
      <c r="A1057" s="3">
        <v>2022</v>
      </c>
      <c r="B1057" s="8">
        <f t="shared" ref="B1057:J1057" si="14">AVERAGE(B101:B112)</f>
        <v>5.1980999999999993</v>
      </c>
      <c r="C1057" s="8">
        <f t="shared" si="14"/>
        <v>5.2044750000000004</v>
      </c>
      <c r="D1057" s="8">
        <f t="shared" si="14"/>
        <v>5.2128000000000005</v>
      </c>
      <c r="E1057" s="8">
        <f t="shared" si="14"/>
        <v>5.2091166666666666</v>
      </c>
      <c r="F1057" s="4">
        <f t="shared" si="14"/>
        <v>5.875799999999999</v>
      </c>
      <c r="G1057" s="8">
        <f t="shared" si="14"/>
        <v>5.0653166666666669</v>
      </c>
      <c r="H1057" s="4">
        <f t="shared" si="14"/>
        <v>5.9736750000000001</v>
      </c>
      <c r="I1057" s="8">
        <f t="shared" si="14"/>
        <v>5.0777749999999999</v>
      </c>
      <c r="J1057" s="4">
        <f t="shared" si="14"/>
        <v>4.9625750000000002</v>
      </c>
      <c r="K1057" s="4"/>
      <c r="L1057" s="5">
        <f t="shared" ref="L1057:Q1057" si="15">SUM(L101:L112)</f>
        <v>355.53689999999995</v>
      </c>
      <c r="M1057" s="5">
        <f t="shared" si="15"/>
        <v>142.0401</v>
      </c>
      <c r="N1057" s="5">
        <f t="shared" si="15"/>
        <v>58.217499999999994</v>
      </c>
      <c r="O1057" s="5">
        <f t="shared" si="15"/>
        <v>4.4046000000000003</v>
      </c>
      <c r="P1057" s="5">
        <f t="shared" si="15"/>
        <v>14.707600000000001</v>
      </c>
      <c r="Q1057" s="5">
        <f t="shared" si="15"/>
        <v>386.33820000000003</v>
      </c>
      <c r="R1057" s="5"/>
      <c r="S1057" s="4"/>
    </row>
    <row r="1058" spans="1:19" ht="15" customHeight="1">
      <c r="A1058" s="3">
        <v>2023</v>
      </c>
      <c r="B1058" s="8">
        <f t="shared" ref="B1058:J1058" si="16">AVERAGE(B113:B124)</f>
        <v>5.3641833333333331</v>
      </c>
      <c r="C1058" s="8">
        <f t="shared" si="16"/>
        <v>5.3705583333333342</v>
      </c>
      <c r="D1058" s="8">
        <f t="shared" si="16"/>
        <v>5.3788666666666671</v>
      </c>
      <c r="E1058" s="8">
        <f t="shared" si="16"/>
        <v>5.3751833333333332</v>
      </c>
      <c r="F1058" s="4">
        <f t="shared" si="16"/>
        <v>6.0418750000000001</v>
      </c>
      <c r="G1058" s="8">
        <f t="shared" si="16"/>
        <v>5.2275333333333327</v>
      </c>
      <c r="H1058" s="4">
        <f t="shared" si="16"/>
        <v>6.1358750000000013</v>
      </c>
      <c r="I1058" s="8">
        <f t="shared" si="16"/>
        <v>5.237308333333333</v>
      </c>
      <c r="J1058" s="4">
        <f t="shared" si="16"/>
        <v>5.1220083333333335</v>
      </c>
      <c r="K1058" s="4"/>
      <c r="L1058" s="5">
        <f t="shared" ref="L1058:Q1058" si="17">SUM(L113:L124)</f>
        <v>355.53689999999995</v>
      </c>
      <c r="M1058" s="5">
        <f t="shared" si="17"/>
        <v>142.0401</v>
      </c>
      <c r="N1058" s="5">
        <f t="shared" si="17"/>
        <v>58.217499999999994</v>
      </c>
      <c r="O1058" s="5">
        <f t="shared" si="17"/>
        <v>4.4046000000000003</v>
      </c>
      <c r="P1058" s="5">
        <f t="shared" si="17"/>
        <v>14.707600000000001</v>
      </c>
      <c r="Q1058" s="5">
        <f t="shared" si="17"/>
        <v>384.12599999999998</v>
      </c>
      <c r="R1058" s="5"/>
      <c r="S1058" s="4"/>
    </row>
    <row r="1059" spans="1:19" ht="15" customHeight="1">
      <c r="A1059" s="3">
        <v>2024</v>
      </c>
      <c r="B1059" s="8">
        <f t="shared" ref="B1059:J1059" si="18">AVERAGE(B125:B136)</f>
        <v>5.5348333333333342</v>
      </c>
      <c r="C1059" s="8">
        <f t="shared" si="18"/>
        <v>5.5412000000000008</v>
      </c>
      <c r="D1059" s="8">
        <f t="shared" si="18"/>
        <v>5.5495249999999992</v>
      </c>
      <c r="E1059" s="8">
        <f t="shared" si="18"/>
        <v>5.545841666666667</v>
      </c>
      <c r="F1059" s="4">
        <f t="shared" si="18"/>
        <v>6.2125166666666667</v>
      </c>
      <c r="G1059" s="8">
        <f t="shared" si="18"/>
        <v>5.3942166666666651</v>
      </c>
      <c r="H1059" s="4">
        <f t="shared" si="18"/>
        <v>6.3025583333333337</v>
      </c>
      <c r="I1059" s="8">
        <f t="shared" si="18"/>
        <v>5.4012333333333338</v>
      </c>
      <c r="J1059" s="4">
        <f t="shared" si="18"/>
        <v>5.2858666666666663</v>
      </c>
      <c r="K1059" s="4"/>
      <c r="L1059" s="5">
        <f t="shared" ref="L1059:Q1059" si="19">SUM(L125:L136)</f>
        <v>356.48229999999995</v>
      </c>
      <c r="M1059" s="5">
        <f t="shared" si="19"/>
        <v>142.42920000000001</v>
      </c>
      <c r="N1059" s="5">
        <f t="shared" si="19"/>
        <v>58.377000000000002</v>
      </c>
      <c r="O1059" s="5">
        <f t="shared" si="19"/>
        <v>4.4165999999999999</v>
      </c>
      <c r="P1059" s="5">
        <f t="shared" si="19"/>
        <v>14.7493</v>
      </c>
      <c r="Q1059" s="5">
        <f t="shared" si="19"/>
        <v>383.00459999999998</v>
      </c>
      <c r="R1059" s="5"/>
      <c r="S1059" s="4"/>
    </row>
    <row r="1060" spans="1:19" ht="15" customHeight="1">
      <c r="A1060" s="3">
        <v>2025</v>
      </c>
      <c r="B1060" s="8">
        <f t="shared" ref="B1060:J1060" si="20">AVERAGE(B137:B148)</f>
        <v>5.7101666666666668</v>
      </c>
      <c r="C1060" s="8">
        <f t="shared" si="20"/>
        <v>5.7165500000000007</v>
      </c>
      <c r="D1060" s="8">
        <f t="shared" si="20"/>
        <v>5.7248583333333336</v>
      </c>
      <c r="E1060" s="8">
        <f t="shared" si="20"/>
        <v>5.7211749999999997</v>
      </c>
      <c r="F1060" s="4">
        <f t="shared" si="20"/>
        <v>6.3878666666666675</v>
      </c>
      <c r="G1060" s="8">
        <f t="shared" si="20"/>
        <v>5.5654750000000002</v>
      </c>
      <c r="H1060" s="4">
        <f t="shared" si="20"/>
        <v>6.473816666666667</v>
      </c>
      <c r="I1060" s="8">
        <f t="shared" si="20"/>
        <v>5.5696583333333338</v>
      </c>
      <c r="J1060" s="4">
        <f t="shared" si="20"/>
        <v>5.4542250000000001</v>
      </c>
      <c r="K1060" s="4"/>
      <c r="L1060" s="5">
        <f t="shared" ref="L1060:Q1060" si="21">SUM(L137:L148)</f>
        <v>355.53689999999995</v>
      </c>
      <c r="M1060" s="5">
        <f t="shared" si="21"/>
        <v>142.0401</v>
      </c>
      <c r="N1060" s="5">
        <f t="shared" si="21"/>
        <v>58.217499999999994</v>
      </c>
      <c r="O1060" s="5">
        <f t="shared" si="21"/>
        <v>4.4046000000000003</v>
      </c>
      <c r="P1060" s="5">
        <f t="shared" si="21"/>
        <v>14.707600000000001</v>
      </c>
      <c r="Q1060" s="5">
        <f t="shared" si="21"/>
        <v>379.76819999999998</v>
      </c>
      <c r="R1060" s="5"/>
      <c r="S1060" s="4"/>
    </row>
    <row r="1061" spans="1:19" ht="15" customHeight="1">
      <c r="A1061" s="3">
        <v>2026</v>
      </c>
      <c r="B1061" s="8">
        <f t="shared" ref="B1061:J1061" si="22">AVERAGE(B149:B160)</f>
        <v>5.8903250000000007</v>
      </c>
      <c r="C1061" s="8">
        <f t="shared" si="22"/>
        <v>5.8966916666666664</v>
      </c>
      <c r="D1061" s="8">
        <f t="shared" si="22"/>
        <v>5.9050249999999993</v>
      </c>
      <c r="E1061" s="8">
        <f t="shared" si="22"/>
        <v>5.9013416666666663</v>
      </c>
      <c r="F1061" s="4">
        <f t="shared" si="22"/>
        <v>6.5680166666666659</v>
      </c>
      <c r="G1061" s="8">
        <f t="shared" si="22"/>
        <v>5.7414250000000004</v>
      </c>
      <c r="H1061" s="4">
        <f t="shared" si="22"/>
        <v>6.6497749999999991</v>
      </c>
      <c r="I1061" s="8">
        <f t="shared" si="22"/>
        <v>5.7427166666666665</v>
      </c>
      <c r="J1061" s="4">
        <f t="shared" si="22"/>
        <v>5.6272083333333329</v>
      </c>
      <c r="K1061" s="4"/>
      <c r="L1061" s="5">
        <f t="shared" ref="L1061:Q1061" si="23">SUM(L149:L160)</f>
        <v>355.53689999999995</v>
      </c>
      <c r="M1061" s="5">
        <f t="shared" si="23"/>
        <v>142.0401</v>
      </c>
      <c r="N1061" s="5">
        <f t="shared" si="23"/>
        <v>58.217499999999994</v>
      </c>
      <c r="O1061" s="5">
        <f t="shared" si="23"/>
        <v>4.4046000000000003</v>
      </c>
      <c r="P1061" s="5">
        <f t="shared" si="23"/>
        <v>14.707600000000001</v>
      </c>
      <c r="Q1061" s="5">
        <f t="shared" si="23"/>
        <v>377.59969999999987</v>
      </c>
      <c r="R1061" s="5"/>
      <c r="S1061" s="4"/>
    </row>
    <row r="1062" spans="1:19" ht="15" customHeight="1">
      <c r="A1062" s="3">
        <v>2027</v>
      </c>
      <c r="B1062" s="8">
        <f t="shared" ref="B1062:J1062" si="24">AVERAGE(B161:B172)</f>
        <v>6.0754250000000001</v>
      </c>
      <c r="C1062" s="8">
        <f t="shared" si="24"/>
        <v>6.0818000000000012</v>
      </c>
      <c r="D1062" s="8">
        <f t="shared" si="24"/>
        <v>6.0901333333333341</v>
      </c>
      <c r="E1062" s="8">
        <f t="shared" si="24"/>
        <v>6.0864499999999992</v>
      </c>
      <c r="F1062" s="4">
        <f t="shared" si="24"/>
        <v>6.7531166666666671</v>
      </c>
      <c r="G1062" s="8">
        <f t="shared" si="24"/>
        <v>5.9222083333333329</v>
      </c>
      <c r="H1062" s="4">
        <f t="shared" si="24"/>
        <v>6.8305416666666661</v>
      </c>
      <c r="I1062" s="8">
        <f t="shared" si="24"/>
        <v>5.9205166666666651</v>
      </c>
      <c r="J1062" s="4">
        <f t="shared" si="24"/>
        <v>5.8048999999999999</v>
      </c>
      <c r="K1062" s="4"/>
      <c r="L1062" s="5">
        <f t="shared" ref="L1062:Q1062" si="25">SUM(L161:L172)</f>
        <v>355.53689999999995</v>
      </c>
      <c r="M1062" s="5">
        <f t="shared" si="25"/>
        <v>142.0401</v>
      </c>
      <c r="N1062" s="5">
        <f t="shared" si="25"/>
        <v>58.217499999999994</v>
      </c>
      <c r="O1062" s="5">
        <f t="shared" si="25"/>
        <v>4.4046000000000003</v>
      </c>
      <c r="P1062" s="5">
        <f t="shared" si="25"/>
        <v>14.707600000000001</v>
      </c>
      <c r="Q1062" s="5">
        <f t="shared" si="25"/>
        <v>375.43180000000001</v>
      </c>
      <c r="R1062" s="5"/>
      <c r="S1062" s="4"/>
    </row>
    <row r="1063" spans="1:19" ht="15" customHeight="1">
      <c r="A1063" s="3">
        <v>2028</v>
      </c>
      <c r="B1063" s="8">
        <f t="shared" ref="B1063:J1063" si="26">AVERAGE(B173:B184)</f>
        <v>6.2655833333333346</v>
      </c>
      <c r="C1063" s="8">
        <f t="shared" si="26"/>
        <v>6.2719333333333331</v>
      </c>
      <c r="D1063" s="8">
        <f t="shared" si="26"/>
        <v>6.2802499999999997</v>
      </c>
      <c r="E1063" s="8">
        <f t="shared" si="26"/>
        <v>6.2765666666666666</v>
      </c>
      <c r="F1063" s="4">
        <f t="shared" si="26"/>
        <v>6.9432749999999999</v>
      </c>
      <c r="G1063" s="8">
        <f t="shared" si="26"/>
        <v>6.1079083333333335</v>
      </c>
      <c r="H1063" s="4">
        <f t="shared" si="26"/>
        <v>7.016283333333333</v>
      </c>
      <c r="I1063" s="8">
        <f t="shared" si="26"/>
        <v>6.1031583333333339</v>
      </c>
      <c r="J1063" s="4">
        <f t="shared" si="26"/>
        <v>5.9874583333333335</v>
      </c>
      <c r="K1063" s="4"/>
      <c r="L1063" s="5">
        <f t="shared" ref="L1063:Q1063" si="27">SUM(L173:L184)</f>
        <v>356.48229999999995</v>
      </c>
      <c r="M1063" s="5">
        <f t="shared" si="27"/>
        <v>142.42920000000001</v>
      </c>
      <c r="N1063" s="5">
        <f t="shared" si="27"/>
        <v>58.377000000000002</v>
      </c>
      <c r="O1063" s="5">
        <f t="shared" si="27"/>
        <v>4.4165999999999999</v>
      </c>
      <c r="P1063" s="5">
        <f t="shared" si="27"/>
        <v>14.7493</v>
      </c>
      <c r="Q1063" s="5">
        <f t="shared" si="27"/>
        <v>374.28599999999994</v>
      </c>
      <c r="R1063" s="5"/>
      <c r="S1063" s="4"/>
    </row>
    <row r="1064" spans="1:19" ht="15" customHeight="1">
      <c r="A1064" s="3">
        <v>2029</v>
      </c>
      <c r="B1064" s="8">
        <f t="shared" ref="B1064:J1064" si="28">AVERAGE(B185:B196)</f>
        <v>6.4609166666666669</v>
      </c>
      <c r="C1064" s="8">
        <f t="shared" si="28"/>
        <v>6.4672999999999989</v>
      </c>
      <c r="D1064" s="8">
        <f t="shared" si="28"/>
        <v>6.4756166666666664</v>
      </c>
      <c r="E1064" s="8">
        <f t="shared" si="28"/>
        <v>6.4719333333333351</v>
      </c>
      <c r="F1064" s="4">
        <f t="shared" si="28"/>
        <v>7.1386083333333339</v>
      </c>
      <c r="G1064" s="8">
        <f t="shared" si="28"/>
        <v>6.2987166666666674</v>
      </c>
      <c r="H1064" s="4">
        <f t="shared" si="28"/>
        <v>7.2070666666666687</v>
      </c>
      <c r="I1064" s="8">
        <f t="shared" si="28"/>
        <v>6.2908083333333336</v>
      </c>
      <c r="J1064" s="4">
        <f t="shared" si="28"/>
        <v>6.1749916666666662</v>
      </c>
      <c r="K1064" s="4"/>
      <c r="L1064" s="5">
        <f t="shared" ref="L1064:Q1064" si="29">SUM(L185:L196)</f>
        <v>355.53689999999995</v>
      </c>
      <c r="M1064" s="5">
        <f t="shared" si="29"/>
        <v>142.0401</v>
      </c>
      <c r="N1064" s="5">
        <f t="shared" si="29"/>
        <v>58.217499999999994</v>
      </c>
      <c r="O1064" s="5">
        <f t="shared" si="29"/>
        <v>4.4046000000000003</v>
      </c>
      <c r="P1064" s="5">
        <f t="shared" si="29"/>
        <v>14.707600000000001</v>
      </c>
      <c r="Q1064" s="5">
        <f t="shared" si="29"/>
        <v>371.09549999999996</v>
      </c>
      <c r="R1064" s="5"/>
      <c r="S1064" s="4"/>
    </row>
    <row r="1065" spans="1:19" ht="15" customHeight="1">
      <c r="A1065" s="3">
        <v>2030</v>
      </c>
      <c r="B1065" s="8">
        <f t="shared" ref="B1065:J1065" si="30">AVERAGE(B197:B208)</f>
        <v>6.6615916666666672</v>
      </c>
      <c r="C1065" s="8">
        <f t="shared" si="30"/>
        <v>6.6679416666666667</v>
      </c>
      <c r="D1065" s="8">
        <f t="shared" si="30"/>
        <v>6.6762583333333332</v>
      </c>
      <c r="E1065" s="8">
        <f t="shared" si="30"/>
        <v>6.672575000000001</v>
      </c>
      <c r="F1065" s="4">
        <f t="shared" si="30"/>
        <v>7.3392749999999998</v>
      </c>
      <c r="G1065" s="8">
        <f t="shared" si="30"/>
        <v>6.494699999999999</v>
      </c>
      <c r="H1065" s="4">
        <f t="shared" si="30"/>
        <v>7.4030583333333349</v>
      </c>
      <c r="I1065" s="8">
        <f t="shared" si="30"/>
        <v>6.4835500000000001</v>
      </c>
      <c r="J1065" s="4">
        <f t="shared" si="30"/>
        <v>6.3676499999999985</v>
      </c>
      <c r="K1065" s="4"/>
      <c r="L1065" s="5">
        <f t="shared" ref="L1065:Q1065" si="31">SUM(L197:L208)</f>
        <v>355.53689999999995</v>
      </c>
      <c r="M1065" s="5">
        <f t="shared" si="31"/>
        <v>142.0401</v>
      </c>
      <c r="N1065" s="5">
        <f t="shared" si="31"/>
        <v>58.217499999999994</v>
      </c>
      <c r="O1065" s="5">
        <f t="shared" si="31"/>
        <v>4.4046000000000003</v>
      </c>
      <c r="P1065" s="5">
        <f t="shared" si="31"/>
        <v>14.707600000000001</v>
      </c>
      <c r="Q1065" s="5">
        <f t="shared" si="31"/>
        <v>368.9276999999999</v>
      </c>
      <c r="R1065" s="5"/>
      <c r="S1065" s="4"/>
    </row>
    <row r="1066" spans="1:19" ht="15" customHeight="1">
      <c r="A1066" s="3">
        <v>2031</v>
      </c>
      <c r="B1066" s="8">
        <f t="shared" ref="B1066:J1066" si="32">AVERAGE(B209:B220)</f>
        <v>6.8676749999999993</v>
      </c>
      <c r="C1066" s="8">
        <f t="shared" si="32"/>
        <v>6.8740416666666677</v>
      </c>
      <c r="D1066" s="8">
        <f t="shared" si="32"/>
        <v>6.8823833333333333</v>
      </c>
      <c r="E1066" s="8">
        <f t="shared" si="32"/>
        <v>6.8786999999999994</v>
      </c>
      <c r="F1066" s="4">
        <f t="shared" si="32"/>
        <v>7.5453833333333336</v>
      </c>
      <c r="G1066" s="8">
        <f t="shared" si="32"/>
        <v>6.6960083333333342</v>
      </c>
      <c r="H1066" s="4">
        <f t="shared" si="32"/>
        <v>7.6043583333333329</v>
      </c>
      <c r="I1066" s="8">
        <f t="shared" si="32"/>
        <v>6.6815416666666652</v>
      </c>
      <c r="J1066" s="4">
        <f t="shared" si="32"/>
        <v>6.5655666666666663</v>
      </c>
      <c r="K1066" s="4"/>
      <c r="L1066" s="5">
        <f t="shared" ref="L1066:Q1066" si="33">SUM(L209:L220)</f>
        <v>355.53689999999995</v>
      </c>
      <c r="M1066" s="5">
        <f t="shared" si="33"/>
        <v>142.0401</v>
      </c>
      <c r="N1066" s="5">
        <f t="shared" si="33"/>
        <v>58.217499999999994</v>
      </c>
      <c r="O1066" s="5">
        <f t="shared" si="33"/>
        <v>4.4046000000000003</v>
      </c>
      <c r="P1066" s="5">
        <f t="shared" si="33"/>
        <v>14.707600000000001</v>
      </c>
      <c r="Q1066" s="5">
        <f t="shared" si="33"/>
        <v>365.31420000000003</v>
      </c>
      <c r="R1066" s="5"/>
      <c r="S1066" s="4"/>
    </row>
    <row r="1067" spans="1:19" ht="15" customHeight="1">
      <c r="A1067" s="3">
        <v>2032</v>
      </c>
      <c r="B1067" s="8">
        <f t="shared" ref="B1067:J1067" si="34">AVERAGE(B221:B232)</f>
        <v>7.0794083333333333</v>
      </c>
      <c r="C1067" s="8">
        <f t="shared" si="34"/>
        <v>7.0857750000000008</v>
      </c>
      <c r="D1067" s="8">
        <f t="shared" si="34"/>
        <v>7.0940833333333329</v>
      </c>
      <c r="E1067" s="8">
        <f t="shared" si="34"/>
        <v>7.0903999999999998</v>
      </c>
      <c r="F1067" s="4">
        <f t="shared" si="34"/>
        <v>7.7570916666666649</v>
      </c>
      <c r="G1067" s="8">
        <f t="shared" si="34"/>
        <v>6.9027999999999992</v>
      </c>
      <c r="H1067" s="4">
        <f t="shared" si="34"/>
        <v>7.8111333333333333</v>
      </c>
      <c r="I1067" s="8">
        <f t="shared" si="34"/>
        <v>6.8848833333333337</v>
      </c>
      <c r="J1067" s="4">
        <f t="shared" si="34"/>
        <v>6.7688083333333324</v>
      </c>
      <c r="K1067" s="4"/>
      <c r="L1067" s="5">
        <f t="shared" ref="L1067:Q1067" si="35">SUM(L221:L232)</f>
        <v>356.48229999999995</v>
      </c>
      <c r="M1067" s="5">
        <f t="shared" si="35"/>
        <v>142.42920000000001</v>
      </c>
      <c r="N1067" s="5">
        <f t="shared" si="35"/>
        <v>58.377000000000002</v>
      </c>
      <c r="O1067" s="5">
        <f t="shared" si="35"/>
        <v>4.4165999999999999</v>
      </c>
      <c r="P1067" s="5">
        <f t="shared" si="35"/>
        <v>14.7493</v>
      </c>
      <c r="Q1067" s="5">
        <f t="shared" si="35"/>
        <v>364.46999999999997</v>
      </c>
      <c r="R1067" s="5"/>
      <c r="S1067" s="4"/>
    </row>
    <row r="1068" spans="1:19" ht="15" customHeight="1">
      <c r="A1068" s="3">
        <v>2033</v>
      </c>
      <c r="B1068" s="8">
        <f t="shared" ref="B1068:J1068" si="36">AVERAGE(B233:B244)</f>
        <v>7.2968333333333328</v>
      </c>
      <c r="C1068" s="8">
        <f t="shared" si="36"/>
        <v>7.303208333333334</v>
      </c>
      <c r="D1068" s="8">
        <f t="shared" si="36"/>
        <v>7.3115166666666669</v>
      </c>
      <c r="E1068" s="8">
        <f t="shared" si="36"/>
        <v>7.3078333333333338</v>
      </c>
      <c r="F1068" s="4">
        <f t="shared" si="36"/>
        <v>7.9745499999999998</v>
      </c>
      <c r="G1068" s="8">
        <f t="shared" si="36"/>
        <v>7.1151666666666671</v>
      </c>
      <c r="H1068" s="4">
        <f t="shared" si="36"/>
        <v>8.0235166666666657</v>
      </c>
      <c r="I1068" s="8">
        <f t="shared" si="36"/>
        <v>7.0937916666666654</v>
      </c>
      <c r="J1068" s="4">
        <f t="shared" si="36"/>
        <v>6.977574999999999</v>
      </c>
      <c r="K1068" s="4"/>
      <c r="L1068" s="5">
        <f t="shared" ref="L1068:Q1068" si="37">SUM(L233:L244)</f>
        <v>355.53689999999995</v>
      </c>
      <c r="M1068" s="5">
        <f t="shared" si="37"/>
        <v>142.0401</v>
      </c>
      <c r="N1068" s="5">
        <f t="shared" si="37"/>
        <v>58.217499999999994</v>
      </c>
      <c r="O1068" s="5">
        <f t="shared" si="37"/>
        <v>4.4046000000000003</v>
      </c>
      <c r="P1068" s="5">
        <f t="shared" si="37"/>
        <v>14.707600000000001</v>
      </c>
      <c r="Q1068" s="5">
        <f t="shared" si="37"/>
        <v>362.33550000000002</v>
      </c>
      <c r="R1068" s="5"/>
      <c r="S1068" s="4"/>
    </row>
    <row r="1069" spans="1:19" ht="15" customHeight="1">
      <c r="A1069" s="3">
        <v>2034</v>
      </c>
      <c r="B1069" s="8">
        <f t="shared" ref="B1069:J1069" si="38">AVERAGE(B245:B256)</f>
        <v>7.4421583333333352</v>
      </c>
      <c r="C1069" s="8">
        <f t="shared" si="38"/>
        <v>7.4485250000000001</v>
      </c>
      <c r="D1069" s="8">
        <f t="shared" si="38"/>
        <v>7.4568500000000002</v>
      </c>
      <c r="E1069" s="8">
        <f t="shared" si="38"/>
        <v>7.4531666666666672</v>
      </c>
      <c r="F1069" s="4">
        <f t="shared" si="38"/>
        <v>8.119841666666666</v>
      </c>
      <c r="G1069" s="8">
        <f t="shared" si="38"/>
        <v>7.2571000000000003</v>
      </c>
      <c r="H1069" s="4">
        <f t="shared" si="38"/>
        <v>8.1654416666666663</v>
      </c>
      <c r="I1069" s="8">
        <f t="shared" si="38"/>
        <v>7.2333666666666661</v>
      </c>
      <c r="J1069" s="4">
        <f t="shared" si="38"/>
        <v>7.1170833333333334</v>
      </c>
      <c r="K1069" s="4"/>
      <c r="L1069" s="5">
        <f t="shared" ref="L1069:Q1069" si="39">SUM(L245:L256)</f>
        <v>355.53689999999995</v>
      </c>
      <c r="M1069" s="5">
        <f t="shared" si="39"/>
        <v>142.0401</v>
      </c>
      <c r="N1069" s="5">
        <f t="shared" si="39"/>
        <v>58.217499999999994</v>
      </c>
      <c r="O1069" s="5">
        <f t="shared" si="39"/>
        <v>4.4046000000000003</v>
      </c>
      <c r="P1069" s="5">
        <f t="shared" si="39"/>
        <v>14.707600000000001</v>
      </c>
      <c r="Q1069" s="5">
        <f t="shared" si="39"/>
        <v>361.59120000000007</v>
      </c>
      <c r="R1069" s="5"/>
      <c r="S1069" s="4"/>
    </row>
    <row r="1070" spans="1:19" ht="15" customHeight="1">
      <c r="A1070" s="3">
        <v>2035</v>
      </c>
      <c r="B1070" s="8">
        <f t="shared" ref="B1070:J1070" si="40">AVERAGE(B257:B268)</f>
        <v>7.5903750000000008</v>
      </c>
      <c r="C1070" s="8">
        <f t="shared" si="40"/>
        <v>7.5967333333333338</v>
      </c>
      <c r="D1070" s="8">
        <f t="shared" si="40"/>
        <v>7.605058333333333</v>
      </c>
      <c r="E1070" s="8">
        <f t="shared" si="40"/>
        <v>7.601375</v>
      </c>
      <c r="F1070" s="4">
        <f t="shared" si="40"/>
        <v>8.268066666666666</v>
      </c>
      <c r="G1070" s="8">
        <f t="shared" si="40"/>
        <v>7.4018750000000004</v>
      </c>
      <c r="H1070" s="4">
        <f t="shared" si="40"/>
        <v>8.3102</v>
      </c>
      <c r="I1070" s="8">
        <f t="shared" si="40"/>
        <v>7.3757416666666673</v>
      </c>
      <c r="J1070" s="4">
        <f t="shared" si="40"/>
        <v>7.2593833333333331</v>
      </c>
      <c r="K1070" s="4"/>
      <c r="L1070" s="5">
        <f t="shared" ref="L1070:Q1070" si="41">SUM(L257:L268)</f>
        <v>355.53689999999995</v>
      </c>
      <c r="M1070" s="5">
        <f t="shared" si="41"/>
        <v>142.0401</v>
      </c>
      <c r="N1070" s="5">
        <f t="shared" si="41"/>
        <v>58.217499999999994</v>
      </c>
      <c r="O1070" s="5">
        <f t="shared" si="41"/>
        <v>4.4046000000000003</v>
      </c>
      <c r="P1070" s="5">
        <f t="shared" si="41"/>
        <v>14.707600000000001</v>
      </c>
      <c r="Q1070" s="5">
        <f t="shared" si="41"/>
        <v>360.82469999999995</v>
      </c>
      <c r="R1070" s="5"/>
      <c r="S1070" s="4"/>
    </row>
    <row r="1071" spans="1:19" ht="15" customHeight="1">
      <c r="A1071" s="3">
        <v>2036</v>
      </c>
      <c r="B1071" s="8">
        <f t="shared" ref="B1071:J1071" si="42">AVERAGE(B269:B280)</f>
        <v>7.8375833333333338</v>
      </c>
      <c r="C1071" s="8">
        <f t="shared" si="42"/>
        <v>7.8439416666666668</v>
      </c>
      <c r="D1071" s="8">
        <f t="shared" si="42"/>
        <v>7.8522666666666661</v>
      </c>
      <c r="E1071" s="8">
        <f t="shared" si="42"/>
        <v>7.848583333333333</v>
      </c>
      <c r="F1071" s="4">
        <f t="shared" si="42"/>
        <v>8.5152666666666672</v>
      </c>
      <c r="G1071" s="8">
        <f t="shared" si="42"/>
        <v>7.6433166666666663</v>
      </c>
      <c r="H1071" s="4">
        <f t="shared" si="42"/>
        <v>8.5516666666666676</v>
      </c>
      <c r="I1071" s="8">
        <f t="shared" si="42"/>
        <v>7.6132083333333336</v>
      </c>
      <c r="J1071" s="4">
        <f t="shared" si="42"/>
        <v>7.496741666666666</v>
      </c>
      <c r="K1071" s="4"/>
      <c r="L1071" s="5">
        <f t="shared" ref="L1071:Q1071" si="43">SUM(L269:L280)</f>
        <v>356.48229999999995</v>
      </c>
      <c r="M1071" s="5">
        <f t="shared" si="43"/>
        <v>142.42920000000001</v>
      </c>
      <c r="N1071" s="5">
        <f t="shared" si="43"/>
        <v>58.377000000000002</v>
      </c>
      <c r="O1071" s="5">
        <f t="shared" si="43"/>
        <v>4.4165999999999999</v>
      </c>
      <c r="P1071" s="5">
        <f t="shared" si="43"/>
        <v>14.7493</v>
      </c>
      <c r="Q1071" s="5">
        <f t="shared" si="43"/>
        <v>361.0446</v>
      </c>
      <c r="R1071" s="5"/>
      <c r="S1071" s="4"/>
    </row>
    <row r="1072" spans="1:19" ht="15" customHeight="1">
      <c r="A1072" s="3">
        <v>2037</v>
      </c>
      <c r="B1072" s="8">
        <f t="shared" ref="B1072:J1072" si="44">AVERAGE(B281:B292)</f>
        <v>8.0928749999999994</v>
      </c>
      <c r="C1072" s="8">
        <f t="shared" si="44"/>
        <v>8.0992499999999996</v>
      </c>
      <c r="D1072" s="8">
        <f t="shared" si="44"/>
        <v>8.107566666666667</v>
      </c>
      <c r="E1072" s="8">
        <f t="shared" si="44"/>
        <v>8.103883333333334</v>
      </c>
      <c r="F1072" s="4">
        <f t="shared" si="44"/>
        <v>8.7705583333333337</v>
      </c>
      <c r="G1072" s="8">
        <f t="shared" si="44"/>
        <v>7.8926583333333333</v>
      </c>
      <c r="H1072" s="4">
        <f t="shared" si="44"/>
        <v>8.8010000000000002</v>
      </c>
      <c r="I1072" s="8">
        <f t="shared" si="44"/>
        <v>7.8584333333333332</v>
      </c>
      <c r="J1072" s="4">
        <f t="shared" si="44"/>
        <v>7.7418499999999995</v>
      </c>
      <c r="K1072" s="4"/>
      <c r="L1072" s="5">
        <f t="shared" ref="L1072:Q1072" si="45">SUM(L281:L292)</f>
        <v>355.53689999999995</v>
      </c>
      <c r="M1072" s="5">
        <f t="shared" si="45"/>
        <v>142.0401</v>
      </c>
      <c r="N1072" s="5">
        <f t="shared" si="45"/>
        <v>58.217499999999994</v>
      </c>
      <c r="O1072" s="5">
        <f t="shared" si="45"/>
        <v>4.4046000000000003</v>
      </c>
      <c r="P1072" s="5">
        <f t="shared" si="45"/>
        <v>14.707600000000001</v>
      </c>
      <c r="Q1072" s="5">
        <f t="shared" si="45"/>
        <v>359.29169999999999</v>
      </c>
      <c r="R1072" s="5"/>
      <c r="S1072" s="4"/>
    </row>
    <row r="1073" spans="1:19" ht="15" customHeight="1">
      <c r="A1073" s="3">
        <f t="shared" ref="A1073:A1104" si="46">A1072+1</f>
        <v>2038</v>
      </c>
      <c r="B1073" s="8">
        <f t="shared" ref="B1073:J1073" si="47">AVERAGE(B293:B304)</f>
        <v>8.3565083333333341</v>
      </c>
      <c r="C1073" s="8">
        <f t="shared" si="47"/>
        <v>8.3628833333333343</v>
      </c>
      <c r="D1073" s="8">
        <f t="shared" si="47"/>
        <v>8.3712083333333354</v>
      </c>
      <c r="E1073" s="8">
        <f t="shared" si="47"/>
        <v>8.3675250000000023</v>
      </c>
      <c r="F1073" s="4">
        <f t="shared" si="47"/>
        <v>9.0342083333333338</v>
      </c>
      <c r="G1073" s="8">
        <f t="shared" si="47"/>
        <v>8.1501499999999982</v>
      </c>
      <c r="H1073" s="4">
        <f t="shared" si="47"/>
        <v>9.0585083333333341</v>
      </c>
      <c r="I1073" s="8">
        <f t="shared" si="47"/>
        <v>8.1116583333333345</v>
      </c>
      <c r="J1073" s="4">
        <f t="shared" si="47"/>
        <v>7.9949583333333338</v>
      </c>
      <c r="K1073" s="4"/>
      <c r="L1073" s="5">
        <f t="shared" ref="L1073:Q1073" si="48">SUM(L293:L304)</f>
        <v>355.53689999999995</v>
      </c>
      <c r="M1073" s="5">
        <f t="shared" si="48"/>
        <v>142.0401</v>
      </c>
      <c r="N1073" s="5">
        <f t="shared" si="48"/>
        <v>58.217499999999994</v>
      </c>
      <c r="O1073" s="5">
        <f t="shared" si="48"/>
        <v>4.4046000000000003</v>
      </c>
      <c r="P1073" s="5">
        <f t="shared" si="48"/>
        <v>14.707600000000001</v>
      </c>
      <c r="Q1073" s="5">
        <f t="shared" si="48"/>
        <v>358.54670000000004</v>
      </c>
      <c r="R1073" s="5"/>
      <c r="S1073" s="4"/>
    </row>
    <row r="1074" spans="1:19" ht="15" customHeight="1">
      <c r="A1074" s="3">
        <f t="shared" si="46"/>
        <v>2039</v>
      </c>
      <c r="B1074" s="8">
        <f t="shared" ref="B1074:J1074" si="49">AVERAGE(B305:B316)</f>
        <v>8.6287916666666664</v>
      </c>
      <c r="C1074" s="8">
        <f t="shared" si="49"/>
        <v>8.6351500000000012</v>
      </c>
      <c r="D1074" s="8">
        <f t="shared" si="49"/>
        <v>8.6434833333333341</v>
      </c>
      <c r="E1074" s="8">
        <f t="shared" si="49"/>
        <v>8.639800000000001</v>
      </c>
      <c r="F1074" s="4">
        <f t="shared" si="49"/>
        <v>9.3064833333333326</v>
      </c>
      <c r="G1074" s="8">
        <f t="shared" si="49"/>
        <v>8.4160583333333339</v>
      </c>
      <c r="H1074" s="4">
        <f t="shared" si="49"/>
        <v>9.3244249999999997</v>
      </c>
      <c r="I1074" s="8">
        <f t="shared" si="49"/>
        <v>8.3732083333333325</v>
      </c>
      <c r="J1074" s="4">
        <f t="shared" si="49"/>
        <v>8.2563583333333348</v>
      </c>
      <c r="K1074" s="7"/>
      <c r="L1074" s="5">
        <f t="shared" ref="L1074:Q1074" si="50">SUM(L305:L316)</f>
        <v>355.53689999999995</v>
      </c>
      <c r="M1074" s="5">
        <f t="shared" si="50"/>
        <v>142.0401</v>
      </c>
      <c r="N1074" s="5">
        <f t="shared" si="50"/>
        <v>58.217499999999994</v>
      </c>
      <c r="O1074" s="5">
        <f t="shared" si="50"/>
        <v>4.4046000000000003</v>
      </c>
      <c r="P1074" s="5">
        <f t="shared" si="50"/>
        <v>14.707600000000001</v>
      </c>
      <c r="Q1074" s="5">
        <f t="shared" si="50"/>
        <v>357.78019999999998</v>
      </c>
      <c r="R1074" s="5"/>
      <c r="S1074" s="6"/>
    </row>
    <row r="1075" spans="1:19" ht="15" customHeight="1">
      <c r="A1075" s="3">
        <f t="shared" si="46"/>
        <v>2040</v>
      </c>
      <c r="B1075" s="8">
        <f t="shared" ref="B1075:J1075" si="51">AVERAGE(B317:B328)</f>
        <v>8.9099500000000003</v>
      </c>
      <c r="C1075" s="8">
        <f t="shared" si="51"/>
        <v>8.9163083333333333</v>
      </c>
      <c r="D1075" s="8">
        <f t="shared" si="51"/>
        <v>8.9246416666666679</v>
      </c>
      <c r="E1075" s="8">
        <f t="shared" si="51"/>
        <v>8.9209499999999995</v>
      </c>
      <c r="F1075" s="4">
        <f t="shared" si="51"/>
        <v>9.5876333333333328</v>
      </c>
      <c r="G1075" s="8">
        <f t="shared" si="51"/>
        <v>8.6907000000000014</v>
      </c>
      <c r="H1075" s="4">
        <f t="shared" si="51"/>
        <v>9.5990500000000001</v>
      </c>
      <c r="I1075" s="8">
        <f t="shared" si="51"/>
        <v>8.6432999999999982</v>
      </c>
      <c r="J1075" s="4">
        <f t="shared" si="51"/>
        <v>8.5263250000000017</v>
      </c>
      <c r="K1075" s="7"/>
      <c r="L1075" s="5">
        <f t="shared" ref="L1075:Q1075" si="52">SUM(L317:L328)</f>
        <v>356.48229999999995</v>
      </c>
      <c r="M1075" s="5">
        <f t="shared" si="52"/>
        <v>142.42920000000001</v>
      </c>
      <c r="N1075" s="5">
        <f t="shared" si="52"/>
        <v>58.377000000000002</v>
      </c>
      <c r="O1075" s="5">
        <f t="shared" si="52"/>
        <v>4.4165999999999999</v>
      </c>
      <c r="P1075" s="5">
        <f t="shared" si="52"/>
        <v>14.7493</v>
      </c>
      <c r="Q1075" s="5">
        <f t="shared" si="52"/>
        <v>357.99180000000001</v>
      </c>
      <c r="R1075" s="5"/>
      <c r="S1075" s="6"/>
    </row>
    <row r="1076" spans="1:19" ht="15" customHeight="1">
      <c r="A1076" s="3">
        <f t="shared" si="46"/>
        <v>2041</v>
      </c>
      <c r="B1076" s="8">
        <f t="shared" ref="B1076:J1076" si="53">AVERAGE(B329:B340)</f>
        <v>9.200308333333334</v>
      </c>
      <c r="C1076" s="8">
        <f t="shared" si="53"/>
        <v>9.2066833333333324</v>
      </c>
      <c r="D1076" s="8">
        <f t="shared" si="53"/>
        <v>9.2149916666666662</v>
      </c>
      <c r="E1076" s="8">
        <f t="shared" si="53"/>
        <v>9.2113083333333332</v>
      </c>
      <c r="F1076" s="4">
        <f t="shared" si="53"/>
        <v>9.8780000000000019</v>
      </c>
      <c r="G1076" s="8">
        <f t="shared" si="53"/>
        <v>8.9742999999999995</v>
      </c>
      <c r="H1076" s="4">
        <f t="shared" si="53"/>
        <v>9.8826583333333335</v>
      </c>
      <c r="I1076" s="8">
        <f t="shared" si="53"/>
        <v>8.9222166666666674</v>
      </c>
      <c r="J1076" s="4">
        <f t="shared" si="53"/>
        <v>8.8050999999999977</v>
      </c>
      <c r="K1076" s="7"/>
      <c r="L1076" s="5">
        <f t="shared" ref="L1076:Q1076" si="54">SUM(L329:L340)</f>
        <v>355.53689999999995</v>
      </c>
      <c r="M1076" s="5">
        <f t="shared" si="54"/>
        <v>142.0401</v>
      </c>
      <c r="N1076" s="5">
        <f t="shared" si="54"/>
        <v>58.217499999999994</v>
      </c>
      <c r="O1076" s="5">
        <f t="shared" si="54"/>
        <v>4.4046000000000003</v>
      </c>
      <c r="P1076" s="5">
        <f t="shared" si="54"/>
        <v>14.707600000000001</v>
      </c>
      <c r="Q1076" s="5">
        <f t="shared" si="54"/>
        <v>356.26930000000004</v>
      </c>
      <c r="R1076" s="5"/>
      <c r="S1076" s="6"/>
    </row>
    <row r="1077" spans="1:19" ht="15" customHeight="1">
      <c r="A1077" s="3">
        <f t="shared" si="46"/>
        <v>2042</v>
      </c>
      <c r="B1077" s="8">
        <f t="shared" ref="B1077:J1077" si="55">AVERAGE(B341:B352)</f>
        <v>9.5001833333333341</v>
      </c>
      <c r="C1077" s="8">
        <f t="shared" si="55"/>
        <v>9.5065416666666653</v>
      </c>
      <c r="D1077" s="8">
        <f t="shared" si="55"/>
        <v>9.514858333333331</v>
      </c>
      <c r="E1077" s="8">
        <f t="shared" si="55"/>
        <v>9.5111749999999997</v>
      </c>
      <c r="F1077" s="4">
        <f t="shared" si="55"/>
        <v>10.177875</v>
      </c>
      <c r="G1077" s="8">
        <f t="shared" si="55"/>
        <v>9.2671916666666672</v>
      </c>
      <c r="H1077" s="4">
        <f t="shared" si="55"/>
        <v>10.175524999999999</v>
      </c>
      <c r="I1077" s="8">
        <f t="shared" si="55"/>
        <v>9.2102666666666657</v>
      </c>
      <c r="J1077" s="4">
        <f t="shared" si="55"/>
        <v>9.0929916666666681</v>
      </c>
      <c r="K1077" s="7"/>
      <c r="L1077" s="5">
        <f t="shared" ref="L1077:Q1077" si="56">SUM(L341:L352)</f>
        <v>355.53689999999995</v>
      </c>
      <c r="M1077" s="5">
        <f t="shared" si="56"/>
        <v>142.0401</v>
      </c>
      <c r="N1077" s="5">
        <f t="shared" si="56"/>
        <v>58.217499999999994</v>
      </c>
      <c r="O1077" s="5">
        <f t="shared" si="56"/>
        <v>4.4046000000000003</v>
      </c>
      <c r="P1077" s="5">
        <f t="shared" si="56"/>
        <v>14.707600000000001</v>
      </c>
      <c r="Q1077" s="5">
        <f t="shared" si="56"/>
        <v>242.47669999999997</v>
      </c>
      <c r="R1077" s="5"/>
      <c r="S1077" s="6"/>
    </row>
    <row r="1078" spans="1:19" ht="15" customHeight="1">
      <c r="A1078" s="3">
        <f t="shared" si="46"/>
        <v>2043</v>
      </c>
      <c r="B1078" s="8">
        <f t="shared" ref="B1078:J1078" si="57">AVERAGE(B353:B364)</f>
        <v>9.8098416666666655</v>
      </c>
      <c r="C1078" s="8">
        <f t="shared" si="57"/>
        <v>9.8162000000000003</v>
      </c>
      <c r="D1078" s="8">
        <f t="shared" si="57"/>
        <v>9.8245333333333331</v>
      </c>
      <c r="E1078" s="8">
        <f t="shared" si="57"/>
        <v>9.8208500000000001</v>
      </c>
      <c r="F1078" s="4">
        <f t="shared" si="57"/>
        <v>10.487533333333333</v>
      </c>
      <c r="G1078" s="8">
        <f t="shared" si="57"/>
        <v>9.5696250000000003</v>
      </c>
      <c r="H1078" s="4">
        <f t="shared" si="57"/>
        <v>10.477983333333331</v>
      </c>
      <c r="I1078" s="8">
        <f t="shared" si="57"/>
        <v>9.5077250000000006</v>
      </c>
      <c r="J1078" s="4">
        <f t="shared" si="57"/>
        <v>9.3902999999999981</v>
      </c>
      <c r="K1078" s="7"/>
      <c r="L1078" s="5">
        <f t="shared" ref="L1078:Q1078" si="58">SUM(L353:L364)</f>
        <v>355.53689999999995</v>
      </c>
      <c r="M1078" s="5">
        <f t="shared" si="58"/>
        <v>142.0401</v>
      </c>
      <c r="N1078" s="5">
        <f t="shared" si="58"/>
        <v>58.217499999999994</v>
      </c>
      <c r="O1078" s="5">
        <f t="shared" si="58"/>
        <v>4.4046000000000003</v>
      </c>
      <c r="P1078" s="5">
        <f t="shared" si="58"/>
        <v>14.707600000000001</v>
      </c>
      <c r="Q1078" s="5">
        <f t="shared" si="58"/>
        <v>241.71019999999996</v>
      </c>
      <c r="R1078" s="5"/>
      <c r="S1078" s="6"/>
    </row>
    <row r="1079" spans="1:19" ht="15" customHeight="1">
      <c r="A1079" s="3">
        <f t="shared" si="46"/>
        <v>2044</v>
      </c>
      <c r="B1079" s="8">
        <f t="shared" ref="B1079:J1079" si="59">AVERAGE(B365:B376)</f>
        <v>10.129633333333334</v>
      </c>
      <c r="C1079" s="8">
        <f t="shared" si="59"/>
        <v>10.136016666666668</v>
      </c>
      <c r="D1079" s="8">
        <f t="shared" si="59"/>
        <v>10.144333333333334</v>
      </c>
      <c r="E1079" s="8">
        <f t="shared" si="59"/>
        <v>10.140649999999999</v>
      </c>
      <c r="F1079" s="4">
        <f t="shared" si="59"/>
        <v>10.807316666666667</v>
      </c>
      <c r="G1079" s="8">
        <f t="shared" si="59"/>
        <v>9.8819833333333325</v>
      </c>
      <c r="H1079" s="4">
        <f t="shared" si="59"/>
        <v>10.790333333333335</v>
      </c>
      <c r="I1079" s="8">
        <f t="shared" si="59"/>
        <v>9.8149083333333333</v>
      </c>
      <c r="J1079" s="4">
        <f t="shared" si="59"/>
        <v>9.6973333333333329</v>
      </c>
      <c r="K1079" s="7"/>
      <c r="L1079" s="5">
        <f t="shared" ref="L1079:Q1079" si="60">SUM(L365:L376)</f>
        <v>356.48229999999995</v>
      </c>
      <c r="M1079" s="5">
        <f t="shared" si="60"/>
        <v>142.42920000000001</v>
      </c>
      <c r="N1079" s="5">
        <f t="shared" si="60"/>
        <v>58.377000000000002</v>
      </c>
      <c r="O1079" s="5">
        <f t="shared" si="60"/>
        <v>4.4165999999999999</v>
      </c>
      <c r="P1079" s="5">
        <f t="shared" si="60"/>
        <v>14.7493</v>
      </c>
      <c r="Q1079" s="5">
        <f t="shared" si="60"/>
        <v>241.58220000000006</v>
      </c>
      <c r="R1079" s="5"/>
      <c r="S1079" s="6"/>
    </row>
    <row r="1080" spans="1:19" ht="15" customHeight="1">
      <c r="A1080" s="3">
        <f t="shared" si="46"/>
        <v>2045</v>
      </c>
      <c r="B1080" s="8">
        <f t="shared" ref="B1080:J1080" si="61">AVERAGE(B377:B388)</f>
        <v>10.459883333333332</v>
      </c>
      <c r="C1080" s="8">
        <f t="shared" si="61"/>
        <v>10.466249999999999</v>
      </c>
      <c r="D1080" s="8">
        <f t="shared" si="61"/>
        <v>10.474558333333333</v>
      </c>
      <c r="E1080" s="8">
        <f t="shared" si="61"/>
        <v>10.470874999999999</v>
      </c>
      <c r="F1080" s="4">
        <f t="shared" si="61"/>
        <v>11.137583333333334</v>
      </c>
      <c r="G1080" s="8">
        <f t="shared" si="61"/>
        <v>10.204541666666668</v>
      </c>
      <c r="H1080" s="4">
        <f t="shared" si="61"/>
        <v>11.112883333333334</v>
      </c>
      <c r="I1080" s="8">
        <f t="shared" si="61"/>
        <v>10.132149999999999</v>
      </c>
      <c r="J1080" s="4">
        <f t="shared" si="61"/>
        <v>10.014408333333334</v>
      </c>
      <c r="K1080" s="7"/>
      <c r="L1080" s="5">
        <f t="shared" ref="L1080:Q1080" si="62">SUM(L377:L388)</f>
        <v>355.53689999999995</v>
      </c>
      <c r="M1080" s="5">
        <f t="shared" si="62"/>
        <v>142.0401</v>
      </c>
      <c r="N1080" s="5">
        <f t="shared" si="62"/>
        <v>58.217499999999994</v>
      </c>
      <c r="O1080" s="5">
        <f t="shared" si="62"/>
        <v>4.4046000000000003</v>
      </c>
      <c r="P1080" s="5">
        <f t="shared" si="62"/>
        <v>14.707600000000001</v>
      </c>
      <c r="Q1080" s="5">
        <f t="shared" si="62"/>
        <v>240.15570000000002</v>
      </c>
      <c r="R1080" s="5"/>
      <c r="S1080" s="6"/>
    </row>
    <row r="1081" spans="1:19" ht="15" customHeight="1">
      <c r="A1081" s="3">
        <f t="shared" si="46"/>
        <v>2046</v>
      </c>
      <c r="B1081" s="8">
        <f t="shared" ref="B1081:J1081" si="63">AVERAGE(B389:B400)</f>
        <v>10.800933333333333</v>
      </c>
      <c r="C1081" s="8">
        <f t="shared" si="63"/>
        <v>10.807316666666665</v>
      </c>
      <c r="D1081" s="8">
        <f t="shared" si="63"/>
        <v>10.815641666666666</v>
      </c>
      <c r="E1081" s="8">
        <f t="shared" si="63"/>
        <v>10.811958333333335</v>
      </c>
      <c r="F1081" s="4">
        <f t="shared" si="63"/>
        <v>11.478625000000001</v>
      </c>
      <c r="G1081" s="8">
        <f t="shared" si="63"/>
        <v>10.537641666666664</v>
      </c>
      <c r="H1081" s="4">
        <f t="shared" si="63"/>
        <v>11.445974999999999</v>
      </c>
      <c r="I1081" s="8">
        <f t="shared" si="63"/>
        <v>10.459758333333331</v>
      </c>
      <c r="J1081" s="4">
        <f t="shared" si="63"/>
        <v>10.341866666666666</v>
      </c>
      <c r="K1081" s="7"/>
      <c r="L1081" s="5">
        <f t="shared" ref="L1081:Q1081" si="64">SUM(L389:L400)</f>
        <v>355.53689999999995</v>
      </c>
      <c r="M1081" s="5">
        <f t="shared" si="64"/>
        <v>142.0401</v>
      </c>
      <c r="N1081" s="5">
        <f t="shared" si="64"/>
        <v>58.217499999999994</v>
      </c>
      <c r="O1081" s="5">
        <f t="shared" si="64"/>
        <v>4.4046000000000003</v>
      </c>
      <c r="P1081" s="5">
        <f t="shared" si="64"/>
        <v>14.707600000000001</v>
      </c>
      <c r="Q1081" s="5">
        <f t="shared" si="64"/>
        <v>239.38920000000005</v>
      </c>
      <c r="R1081" s="5"/>
      <c r="S1081" s="6"/>
    </row>
    <row r="1082" spans="1:19" ht="15" customHeight="1">
      <c r="A1082" s="3">
        <f t="shared" si="46"/>
        <v>2047</v>
      </c>
      <c r="B1082" s="8">
        <f t="shared" ref="B1082:J1082" si="65">AVERAGE(B401:B412)</f>
        <v>11.153149999999998</v>
      </c>
      <c r="C1082" s="8">
        <f t="shared" si="65"/>
        <v>11.159516666666667</v>
      </c>
      <c r="D1082" s="8">
        <f t="shared" si="65"/>
        <v>11.167841666666668</v>
      </c>
      <c r="E1082" s="8">
        <f t="shared" si="65"/>
        <v>11.164158333333333</v>
      </c>
      <c r="F1082" s="4">
        <f t="shared" si="65"/>
        <v>11.830841666666666</v>
      </c>
      <c r="G1082" s="8">
        <f t="shared" si="65"/>
        <v>10.88165</v>
      </c>
      <c r="H1082" s="4">
        <f t="shared" si="65"/>
        <v>11.789991666666667</v>
      </c>
      <c r="I1082" s="8">
        <f t="shared" si="65"/>
        <v>10.798066666666665</v>
      </c>
      <c r="J1082" s="4">
        <f t="shared" si="65"/>
        <v>10.680025000000001</v>
      </c>
      <c r="K1082" s="7"/>
      <c r="L1082" s="5">
        <f t="shared" ref="L1082:Q1082" si="66">SUM(L401:L412)</f>
        <v>355.53689999999995</v>
      </c>
      <c r="M1082" s="5">
        <f t="shared" si="66"/>
        <v>142.0401</v>
      </c>
      <c r="N1082" s="5">
        <f t="shared" si="66"/>
        <v>58.217499999999994</v>
      </c>
      <c r="O1082" s="5">
        <f t="shared" si="66"/>
        <v>4.4046000000000003</v>
      </c>
      <c r="P1082" s="5">
        <f t="shared" si="66"/>
        <v>14.707600000000001</v>
      </c>
      <c r="Q1082" s="5">
        <f t="shared" si="66"/>
        <v>238.62270000000004</v>
      </c>
      <c r="R1082" s="5"/>
      <c r="S1082" s="6"/>
    </row>
    <row r="1083" spans="1:19" ht="15" customHeight="1">
      <c r="A1083" s="3">
        <f t="shared" si="46"/>
        <v>2048</v>
      </c>
      <c r="B1083" s="8">
        <f t="shared" ref="B1083:J1083" si="67">AVERAGE(B413:B424)</f>
        <v>11.516874999999999</v>
      </c>
      <c r="C1083" s="8">
        <f t="shared" si="67"/>
        <v>11.523249999999999</v>
      </c>
      <c r="D1083" s="8">
        <f t="shared" si="67"/>
        <v>11.531574999999998</v>
      </c>
      <c r="E1083" s="8">
        <f t="shared" si="67"/>
        <v>11.527891666666667</v>
      </c>
      <c r="F1083" s="4">
        <f t="shared" si="67"/>
        <v>12.194558333333333</v>
      </c>
      <c r="G1083" s="8">
        <f t="shared" si="67"/>
        <v>11.236883333333333</v>
      </c>
      <c r="H1083" s="4">
        <f t="shared" si="67"/>
        <v>12.145241666666669</v>
      </c>
      <c r="I1083" s="8">
        <f t="shared" si="67"/>
        <v>11.147466666666666</v>
      </c>
      <c r="J1083" s="4">
        <f t="shared" si="67"/>
        <v>11.029233333333332</v>
      </c>
      <c r="K1083" s="7"/>
      <c r="L1083" s="5">
        <f t="shared" ref="L1083:Q1083" si="68">SUM(L413:L424)</f>
        <v>356.48229999999995</v>
      </c>
      <c r="M1083" s="5">
        <f t="shared" si="68"/>
        <v>142.42920000000001</v>
      </c>
      <c r="N1083" s="5">
        <f t="shared" si="68"/>
        <v>58.377000000000002</v>
      </c>
      <c r="O1083" s="5">
        <f t="shared" si="68"/>
        <v>4.4165999999999999</v>
      </c>
      <c r="P1083" s="5">
        <f t="shared" si="68"/>
        <v>14.7493</v>
      </c>
      <c r="Q1083" s="5">
        <f t="shared" si="68"/>
        <v>238.50780000000003</v>
      </c>
      <c r="R1083" s="5"/>
      <c r="S1083" s="6"/>
    </row>
    <row r="1084" spans="1:19" ht="15" customHeight="1">
      <c r="A1084" s="3">
        <f t="shared" si="46"/>
        <v>2049</v>
      </c>
      <c r="B1084" s="8">
        <f t="shared" ref="B1084:J1084" si="69">AVERAGE(B425:B436)</f>
        <v>11.8925</v>
      </c>
      <c r="C1084" s="8">
        <f t="shared" si="69"/>
        <v>11.898866666666668</v>
      </c>
      <c r="D1084" s="8">
        <f t="shared" si="69"/>
        <v>11.907183333333336</v>
      </c>
      <c r="E1084" s="8">
        <f t="shared" si="69"/>
        <v>11.903500000000001</v>
      </c>
      <c r="F1084" s="4">
        <f t="shared" si="69"/>
        <v>12.570191666666666</v>
      </c>
      <c r="G1084" s="8">
        <f t="shared" si="69"/>
        <v>11.603766666666667</v>
      </c>
      <c r="H1084" s="4">
        <f t="shared" si="69"/>
        <v>12.512100000000002</v>
      </c>
      <c r="I1084" s="8">
        <f t="shared" si="69"/>
        <v>11.508274999999999</v>
      </c>
      <c r="J1084" s="4">
        <f t="shared" si="69"/>
        <v>11.389866666666668</v>
      </c>
      <c r="K1084" s="7"/>
      <c r="L1084" s="5">
        <f t="shared" ref="L1084:Q1084" si="70">SUM(L425:L436)</f>
        <v>355.53689999999995</v>
      </c>
      <c r="M1084" s="5">
        <f t="shared" si="70"/>
        <v>142.0401</v>
      </c>
      <c r="N1084" s="5">
        <f t="shared" si="70"/>
        <v>58.217499999999994</v>
      </c>
      <c r="O1084" s="5">
        <f t="shared" si="70"/>
        <v>4.4046000000000003</v>
      </c>
      <c r="P1084" s="5">
        <f t="shared" si="70"/>
        <v>14.707600000000001</v>
      </c>
      <c r="Q1084" s="5">
        <f t="shared" si="70"/>
        <v>237.08969999999999</v>
      </c>
      <c r="R1084" s="5"/>
      <c r="S1084" s="6"/>
    </row>
    <row r="1085" spans="1:19" ht="15" customHeight="1">
      <c r="A1085" s="3">
        <f t="shared" si="46"/>
        <v>2050</v>
      </c>
      <c r="B1085" s="8">
        <f t="shared" ref="B1085:J1085" si="71">AVERAGE(B437:B448)</f>
        <v>12.2804</v>
      </c>
      <c r="C1085" s="8">
        <f t="shared" si="71"/>
        <v>12.286783333333332</v>
      </c>
      <c r="D1085" s="8">
        <f t="shared" si="71"/>
        <v>12.295091666666666</v>
      </c>
      <c r="E1085" s="8">
        <f t="shared" si="71"/>
        <v>12.291408333333335</v>
      </c>
      <c r="F1085" s="4">
        <f t="shared" si="71"/>
        <v>12.9581</v>
      </c>
      <c r="G1085" s="8">
        <f t="shared" si="71"/>
        <v>11.982641666666666</v>
      </c>
      <c r="H1085" s="4">
        <f t="shared" si="71"/>
        <v>12.890974999999999</v>
      </c>
      <c r="I1085" s="8">
        <f t="shared" si="71"/>
        <v>11.880908333333332</v>
      </c>
      <c r="J1085" s="4">
        <f t="shared" si="71"/>
        <v>11.762283333333334</v>
      </c>
      <c r="K1085" s="7"/>
      <c r="L1085" s="5">
        <f t="shared" ref="L1085:Q1085" si="72">SUM(L437:L448)</f>
        <v>355.53689999999995</v>
      </c>
      <c r="M1085" s="5">
        <f t="shared" si="72"/>
        <v>142.0401</v>
      </c>
      <c r="N1085" s="5">
        <f t="shared" si="72"/>
        <v>58.217499999999994</v>
      </c>
      <c r="O1085" s="5">
        <f t="shared" si="72"/>
        <v>4.4046000000000003</v>
      </c>
      <c r="P1085" s="5">
        <f t="shared" si="72"/>
        <v>14.707600000000001</v>
      </c>
      <c r="Q1085" s="5">
        <f t="shared" si="72"/>
        <v>236.32320000000004</v>
      </c>
      <c r="R1085" s="5"/>
      <c r="S1085" s="6"/>
    </row>
    <row r="1086" spans="1:19" ht="15" customHeight="1">
      <c r="A1086" s="3">
        <f t="shared" si="46"/>
        <v>2051</v>
      </c>
      <c r="B1086" s="8">
        <f t="shared" ref="B1086:J1086" si="73">AVERAGE(B449:B460)</f>
        <v>12.680991666666666</v>
      </c>
      <c r="C1086" s="8">
        <f t="shared" si="73"/>
        <v>12.687366666666669</v>
      </c>
      <c r="D1086" s="8">
        <f t="shared" si="73"/>
        <v>12.695683333333335</v>
      </c>
      <c r="E1086" s="8">
        <f t="shared" si="73"/>
        <v>12.692</v>
      </c>
      <c r="F1086" s="4">
        <f t="shared" si="73"/>
        <v>13.358683333333333</v>
      </c>
      <c r="G1086" s="8">
        <f t="shared" si="73"/>
        <v>12.373899999999999</v>
      </c>
      <c r="H1086" s="4">
        <f t="shared" si="73"/>
        <v>13.282233333333332</v>
      </c>
      <c r="I1086" s="8">
        <f t="shared" si="73"/>
        <v>12.265700000000001</v>
      </c>
      <c r="J1086" s="4">
        <f t="shared" si="73"/>
        <v>12.146883333333333</v>
      </c>
      <c r="K1086" s="7"/>
      <c r="L1086" s="5">
        <f t="shared" ref="L1086:Q1086" si="74">SUM(L449:L460)</f>
        <v>355.53689999999995</v>
      </c>
      <c r="M1086" s="5">
        <f t="shared" si="74"/>
        <v>142.0401</v>
      </c>
      <c r="N1086" s="5">
        <f t="shared" si="74"/>
        <v>58.217499999999994</v>
      </c>
      <c r="O1086" s="5">
        <f t="shared" si="74"/>
        <v>4.4046000000000003</v>
      </c>
      <c r="P1086" s="5">
        <f t="shared" si="74"/>
        <v>14.707600000000001</v>
      </c>
      <c r="Q1086" s="5">
        <f t="shared" si="74"/>
        <v>235.57820000000007</v>
      </c>
      <c r="R1086" s="5"/>
      <c r="S1086" s="6"/>
    </row>
    <row r="1087" spans="1:19" ht="15" customHeight="1">
      <c r="A1087" s="3">
        <f t="shared" si="46"/>
        <v>2052</v>
      </c>
      <c r="B1087" s="8">
        <f t="shared" ref="B1087:J1087" si="75">AVERAGE(B461:B472)</f>
        <v>13.094683333333334</v>
      </c>
      <c r="C1087" s="8">
        <f t="shared" si="75"/>
        <v>13.101050000000001</v>
      </c>
      <c r="D1087" s="8">
        <f t="shared" si="75"/>
        <v>13.109383333333334</v>
      </c>
      <c r="E1087" s="8">
        <f t="shared" si="75"/>
        <v>13.105699999999999</v>
      </c>
      <c r="F1087" s="4">
        <f t="shared" si="75"/>
        <v>13.772383333333336</v>
      </c>
      <c r="G1087" s="8">
        <f t="shared" si="75"/>
        <v>12.777941666666669</v>
      </c>
      <c r="H1087" s="4">
        <f t="shared" si="75"/>
        <v>13.686300000000001</v>
      </c>
      <c r="I1087" s="8">
        <f t="shared" si="75"/>
        <v>12.663075000000001</v>
      </c>
      <c r="J1087" s="4">
        <f t="shared" si="75"/>
        <v>12.544091666666667</v>
      </c>
      <c r="K1087" s="7"/>
      <c r="L1087" s="5">
        <f t="shared" ref="L1087:Q1087" si="76">SUM(L461:L472)</f>
        <v>356.48229999999995</v>
      </c>
      <c r="M1087" s="5">
        <f t="shared" si="76"/>
        <v>142.42920000000001</v>
      </c>
      <c r="N1087" s="5">
        <f t="shared" si="76"/>
        <v>58.377000000000002</v>
      </c>
      <c r="O1087" s="5">
        <f t="shared" si="76"/>
        <v>4.4165999999999999</v>
      </c>
      <c r="P1087" s="5">
        <f t="shared" si="76"/>
        <v>14.7493</v>
      </c>
      <c r="Q1087" s="5">
        <f t="shared" si="76"/>
        <v>235.45500000000004</v>
      </c>
      <c r="R1087" s="5"/>
      <c r="S1087" s="6"/>
    </row>
    <row r="1088" spans="1:19" ht="15" customHeight="1">
      <c r="A1088" s="3">
        <f t="shared" si="46"/>
        <v>2053</v>
      </c>
      <c r="B1088" s="8">
        <f t="shared" ref="B1088:J1088" si="77">AVERAGE(B473:B484)</f>
        <v>13.521916666666664</v>
      </c>
      <c r="C1088" s="8">
        <f t="shared" si="77"/>
        <v>13.528266666666665</v>
      </c>
      <c r="D1088" s="8">
        <f t="shared" si="77"/>
        <v>13.536591666666666</v>
      </c>
      <c r="E1088" s="8">
        <f t="shared" si="77"/>
        <v>13.532908333333337</v>
      </c>
      <c r="F1088" s="4">
        <f t="shared" si="77"/>
        <v>14.199608333333332</v>
      </c>
      <c r="G1088" s="8">
        <f t="shared" si="77"/>
        <v>13.195225000000001</v>
      </c>
      <c r="H1088" s="4">
        <f t="shared" si="77"/>
        <v>14.103566666666666</v>
      </c>
      <c r="I1088" s="8">
        <f t="shared" si="77"/>
        <v>13.073466666666668</v>
      </c>
      <c r="J1088" s="4">
        <f t="shared" si="77"/>
        <v>12.95425833333333</v>
      </c>
      <c r="K1088" s="7"/>
      <c r="L1088" s="5">
        <f t="shared" ref="L1088:Q1088" si="78">SUM(L473:L484)</f>
        <v>355.53689999999995</v>
      </c>
      <c r="M1088" s="5">
        <f t="shared" si="78"/>
        <v>142.0401</v>
      </c>
      <c r="N1088" s="5">
        <f t="shared" si="78"/>
        <v>58.217499999999994</v>
      </c>
      <c r="O1088" s="5">
        <f t="shared" si="78"/>
        <v>4.4046000000000003</v>
      </c>
      <c r="P1088" s="5">
        <f t="shared" si="78"/>
        <v>14.707600000000001</v>
      </c>
      <c r="Q1088" s="5">
        <f t="shared" si="78"/>
        <v>234.04520000000002</v>
      </c>
      <c r="R1088" s="5"/>
      <c r="S1088" s="6"/>
    </row>
    <row r="1089" spans="1:19" ht="15" customHeight="1">
      <c r="A1089" s="3">
        <f t="shared" si="46"/>
        <v>2054</v>
      </c>
      <c r="B1089" s="8">
        <f t="shared" ref="B1089:J1089" si="79">AVERAGE(B485:B496)</f>
        <v>13.963100000000003</v>
      </c>
      <c r="C1089" s="8">
        <f t="shared" si="79"/>
        <v>13.969466666666664</v>
      </c>
      <c r="D1089" s="8">
        <f t="shared" si="79"/>
        <v>13.977783333333333</v>
      </c>
      <c r="E1089" s="8">
        <f t="shared" si="79"/>
        <v>13.974099999999998</v>
      </c>
      <c r="F1089" s="4">
        <f t="shared" si="79"/>
        <v>14.640783333333331</v>
      </c>
      <c r="G1089" s="8">
        <f t="shared" si="79"/>
        <v>13.626133333333334</v>
      </c>
      <c r="H1089" s="4">
        <f t="shared" si="79"/>
        <v>14.534483333333332</v>
      </c>
      <c r="I1089" s="8">
        <f t="shared" si="79"/>
        <v>13.497274999999997</v>
      </c>
      <c r="J1089" s="4">
        <f t="shared" si="79"/>
        <v>13.37785</v>
      </c>
      <c r="K1089" s="7"/>
      <c r="L1089" s="5">
        <f t="shared" ref="L1089:Q1089" si="80">SUM(L485:L496)</f>
        <v>355.53689999999995</v>
      </c>
      <c r="M1089" s="5">
        <f t="shared" si="80"/>
        <v>142.0401</v>
      </c>
      <c r="N1089" s="5">
        <f t="shared" si="80"/>
        <v>58.217499999999994</v>
      </c>
      <c r="O1089" s="5">
        <f t="shared" si="80"/>
        <v>4.4046000000000003</v>
      </c>
      <c r="P1089" s="5">
        <f t="shared" si="80"/>
        <v>14.707600000000001</v>
      </c>
      <c r="Q1089" s="5">
        <f t="shared" si="80"/>
        <v>233.30079999999998</v>
      </c>
      <c r="R1089" s="5"/>
      <c r="S1089" s="6"/>
    </row>
    <row r="1090" spans="1:19" ht="15" customHeight="1">
      <c r="A1090" s="3">
        <f t="shared" si="46"/>
        <v>2055</v>
      </c>
      <c r="B1090" s="8">
        <f t="shared" ref="B1090:J1090" si="81">AVERAGE(B497:B508)</f>
        <v>14.418725</v>
      </c>
      <c r="C1090" s="8">
        <f t="shared" si="81"/>
        <v>14.425083333333333</v>
      </c>
      <c r="D1090" s="8">
        <f t="shared" si="81"/>
        <v>14.433408333333333</v>
      </c>
      <c r="E1090" s="8">
        <f t="shared" si="81"/>
        <v>14.429724999999999</v>
      </c>
      <c r="F1090" s="4">
        <f t="shared" si="81"/>
        <v>15.096408333333335</v>
      </c>
      <c r="G1090" s="8">
        <f t="shared" si="81"/>
        <v>14.071133333333334</v>
      </c>
      <c r="H1090" s="4">
        <f t="shared" si="81"/>
        <v>14.979491666666668</v>
      </c>
      <c r="I1090" s="8">
        <f t="shared" si="81"/>
        <v>13.934900000000001</v>
      </c>
      <c r="J1090" s="4">
        <f t="shared" si="81"/>
        <v>13.815283333333333</v>
      </c>
      <c r="K1090" s="7"/>
      <c r="L1090" s="5">
        <f t="shared" ref="L1090:Q1090" si="82">SUM(L497:L508)</f>
        <v>355.53689999999995</v>
      </c>
      <c r="M1090" s="5">
        <f t="shared" si="82"/>
        <v>142.0401</v>
      </c>
      <c r="N1090" s="5">
        <f t="shared" si="82"/>
        <v>58.217499999999994</v>
      </c>
      <c r="O1090" s="5">
        <f t="shared" si="82"/>
        <v>4.4046000000000003</v>
      </c>
      <c r="P1090" s="5">
        <f t="shared" si="82"/>
        <v>14.707600000000001</v>
      </c>
      <c r="Q1090" s="5">
        <f t="shared" si="82"/>
        <v>232.55579999999998</v>
      </c>
      <c r="R1090" s="5"/>
      <c r="S1090" s="6"/>
    </row>
    <row r="1091" spans="1:19" ht="15" customHeight="1">
      <c r="A1091" s="3">
        <f t="shared" si="46"/>
        <v>2056</v>
      </c>
      <c r="B1091" s="8">
        <f t="shared" ref="B1091:J1091" si="83">AVERAGE(B509:B520)</f>
        <v>14.889241666666663</v>
      </c>
      <c r="C1091" s="8">
        <f t="shared" si="83"/>
        <v>14.895616666666667</v>
      </c>
      <c r="D1091" s="8">
        <f t="shared" si="83"/>
        <v>14.903941666666666</v>
      </c>
      <c r="E1091" s="8">
        <f t="shared" si="83"/>
        <v>14.900258333333333</v>
      </c>
      <c r="F1091" s="4">
        <f t="shared" si="83"/>
        <v>15.566924999999998</v>
      </c>
      <c r="G1091" s="8">
        <f t="shared" si="83"/>
        <v>14.530691666666664</v>
      </c>
      <c r="H1091" s="4">
        <f t="shared" si="83"/>
        <v>15.43905</v>
      </c>
      <c r="I1091" s="8">
        <f t="shared" si="83"/>
        <v>14.386891666666665</v>
      </c>
      <c r="J1091" s="4">
        <f t="shared" si="83"/>
        <v>14.267033333333336</v>
      </c>
      <c r="K1091" s="7"/>
      <c r="L1091" s="5">
        <f t="shared" ref="L1091:Q1091" si="84">SUM(L509:L520)</f>
        <v>356.48229999999995</v>
      </c>
      <c r="M1091" s="5">
        <f t="shared" si="84"/>
        <v>142.42920000000001</v>
      </c>
      <c r="N1091" s="5">
        <f t="shared" si="84"/>
        <v>58.377000000000002</v>
      </c>
      <c r="O1091" s="5">
        <f t="shared" si="84"/>
        <v>4.4165999999999999</v>
      </c>
      <c r="P1091" s="5">
        <f t="shared" si="84"/>
        <v>14.7493</v>
      </c>
      <c r="Q1091" s="5">
        <f t="shared" si="84"/>
        <v>232.44659999999996</v>
      </c>
      <c r="R1091" s="5"/>
      <c r="S1091" s="6"/>
    </row>
    <row r="1092" spans="1:19" ht="15" customHeight="1">
      <c r="A1092" s="3">
        <f t="shared" si="46"/>
        <v>2057</v>
      </c>
      <c r="B1092" s="8">
        <f t="shared" ref="B1092:J1092" si="85">AVERAGE(B521:B532)</f>
        <v>15.375141666666666</v>
      </c>
      <c r="C1092" s="8">
        <f t="shared" si="85"/>
        <v>15.381525000000002</v>
      </c>
      <c r="D1092" s="8">
        <f t="shared" si="85"/>
        <v>15.389841666666667</v>
      </c>
      <c r="E1092" s="8">
        <f t="shared" si="85"/>
        <v>15.386158333333336</v>
      </c>
      <c r="F1092" s="4">
        <f t="shared" si="85"/>
        <v>16.052850000000003</v>
      </c>
      <c r="G1092" s="8">
        <f t="shared" si="85"/>
        <v>15.005266666666666</v>
      </c>
      <c r="H1092" s="4">
        <f t="shared" si="85"/>
        <v>15.913641666666665</v>
      </c>
      <c r="I1092" s="8">
        <f t="shared" si="85"/>
        <v>14.853641666666666</v>
      </c>
      <c r="J1092" s="4">
        <f t="shared" si="85"/>
        <v>14.733550000000003</v>
      </c>
      <c r="K1092" s="7"/>
      <c r="L1092" s="5">
        <f t="shared" ref="L1092:Q1092" si="86">SUM(L521:L532)</f>
        <v>355.53689999999995</v>
      </c>
      <c r="M1092" s="5">
        <f t="shared" si="86"/>
        <v>142.0401</v>
      </c>
      <c r="N1092" s="5">
        <f t="shared" si="86"/>
        <v>58.217499999999994</v>
      </c>
      <c r="O1092" s="5">
        <f t="shared" si="86"/>
        <v>4.4046000000000003</v>
      </c>
      <c r="P1092" s="5">
        <f t="shared" si="86"/>
        <v>14.707600000000001</v>
      </c>
      <c r="Q1092" s="5">
        <f t="shared" si="86"/>
        <v>231.81149999999997</v>
      </c>
      <c r="R1092" s="5"/>
      <c r="S1092" s="6"/>
    </row>
    <row r="1093" spans="1:19" ht="15" customHeight="1">
      <c r="A1093" s="3">
        <f t="shared" si="46"/>
        <v>2058</v>
      </c>
      <c r="B1093" s="8">
        <f t="shared" ref="B1093:J1093" si="87">AVERAGE(B533:B544)</f>
        <v>15.876950000000001</v>
      </c>
      <c r="C1093" s="8">
        <f t="shared" si="87"/>
        <v>15.883324999999999</v>
      </c>
      <c r="D1093" s="8">
        <f t="shared" si="87"/>
        <v>15.891641666666667</v>
      </c>
      <c r="E1093" s="8">
        <f t="shared" si="87"/>
        <v>15.88795833333333</v>
      </c>
      <c r="F1093" s="4">
        <f t="shared" si="87"/>
        <v>16.554633333333332</v>
      </c>
      <c r="G1093" s="8">
        <f t="shared" si="87"/>
        <v>15.495416666666666</v>
      </c>
      <c r="H1093" s="4">
        <f t="shared" si="87"/>
        <v>16.403749999999999</v>
      </c>
      <c r="I1093" s="8">
        <f t="shared" si="87"/>
        <v>15.335666666666663</v>
      </c>
      <c r="J1093" s="4">
        <f t="shared" si="87"/>
        <v>15.215341666666665</v>
      </c>
      <c r="K1093" s="7"/>
      <c r="L1093" s="5">
        <f t="shared" ref="L1093:Q1093" si="88">SUM(L533:L544)</f>
        <v>355.53689999999995</v>
      </c>
      <c r="M1093" s="5">
        <f t="shared" si="88"/>
        <v>142.0401</v>
      </c>
      <c r="N1093" s="5">
        <f t="shared" si="88"/>
        <v>58.217499999999994</v>
      </c>
      <c r="O1093" s="5">
        <f t="shared" si="88"/>
        <v>4.4046000000000003</v>
      </c>
      <c r="P1093" s="5">
        <f t="shared" si="88"/>
        <v>14.707600000000001</v>
      </c>
      <c r="Q1093" s="5">
        <f t="shared" si="88"/>
        <v>231.81149999999997</v>
      </c>
      <c r="R1093" s="5"/>
      <c r="S1093" s="6"/>
    </row>
    <row r="1094" spans="1:19" ht="15" customHeight="1">
      <c r="A1094" s="3">
        <f t="shared" si="46"/>
        <v>2059</v>
      </c>
      <c r="B1094" s="8">
        <f t="shared" ref="B1094:J1094" si="89">AVERAGE(B545:B556)</f>
        <v>16.395166666666672</v>
      </c>
      <c r="C1094" s="8">
        <f t="shared" si="89"/>
        <v>16.401533333333337</v>
      </c>
      <c r="D1094" s="8">
        <f t="shared" si="89"/>
        <v>16.409858333333332</v>
      </c>
      <c r="E1094" s="8">
        <f t="shared" si="89"/>
        <v>16.406175000000001</v>
      </c>
      <c r="F1094" s="4">
        <f t="shared" si="89"/>
        <v>17.072850000000003</v>
      </c>
      <c r="G1094" s="8">
        <f t="shared" si="89"/>
        <v>16.001541666666665</v>
      </c>
      <c r="H1094" s="4">
        <f t="shared" si="89"/>
        <v>16.909883333333333</v>
      </c>
      <c r="I1094" s="8">
        <f t="shared" si="89"/>
        <v>15.833449999999999</v>
      </c>
      <c r="J1094" s="4">
        <f t="shared" si="89"/>
        <v>15.712883333333332</v>
      </c>
      <c r="K1094" s="4"/>
      <c r="L1094" s="5">
        <f>SUM(L545:L556)</f>
        <v>355.53689999999995</v>
      </c>
      <c r="M1094" s="5">
        <f>SUM(M545:M556)</f>
        <v>142.0401</v>
      </c>
      <c r="N1094" s="5">
        <f>SUM(N545:N556)</f>
        <v>58.217499999999994</v>
      </c>
      <c r="O1094" s="5">
        <f>SUM(O534:O545)</f>
        <v>4.4046000000000003</v>
      </c>
      <c r="P1094" s="5">
        <f>SUM(P545:P556)</f>
        <v>14.707600000000001</v>
      </c>
      <c r="Q1094" s="5">
        <f>SUM(Q545:Q556)</f>
        <v>231.81149999999997</v>
      </c>
      <c r="R1094" s="5"/>
      <c r="S1094" s="4"/>
    </row>
    <row r="1095" spans="1:19" ht="15" customHeight="1">
      <c r="A1095" s="3">
        <f t="shared" si="46"/>
        <v>2060</v>
      </c>
      <c r="B1095" s="8">
        <f t="shared" ref="B1095:J1095" si="90">AVERAGE(B557:B568)</f>
        <v>16.930325</v>
      </c>
      <c r="C1095" s="8">
        <f t="shared" si="90"/>
        <v>16.936700000000002</v>
      </c>
      <c r="D1095" s="8">
        <f t="shared" si="90"/>
        <v>16.945008333333334</v>
      </c>
      <c r="E1095" s="8">
        <f t="shared" si="90"/>
        <v>16.941324999999999</v>
      </c>
      <c r="F1095" s="4">
        <f t="shared" si="90"/>
        <v>17.608000000000001</v>
      </c>
      <c r="G1095" s="8">
        <f t="shared" si="90"/>
        <v>16.524233333333335</v>
      </c>
      <c r="H1095" s="4">
        <f t="shared" si="90"/>
        <v>17.432591666666664</v>
      </c>
      <c r="I1095" s="8">
        <f t="shared" si="90"/>
        <v>16.347516666666667</v>
      </c>
      <c r="J1095" s="4">
        <f t="shared" si="90"/>
        <v>16.226675</v>
      </c>
      <c r="K1095" s="7"/>
      <c r="L1095" s="5">
        <f>SUM(L557:L568)</f>
        <v>356.48229999999995</v>
      </c>
      <c r="M1095" s="5">
        <f>SUM(M557:M568)</f>
        <v>142.42920000000001</v>
      </c>
      <c r="N1095" s="5">
        <f>SUM(N557:N568)</f>
        <v>58.377000000000002</v>
      </c>
      <c r="O1095" s="5">
        <f>SUM(O535:O546)</f>
        <v>4.4046000000000003</v>
      </c>
      <c r="P1095" s="5">
        <f>SUM(P557:P568)</f>
        <v>14.7493</v>
      </c>
      <c r="Q1095" s="5">
        <f>SUM(Q557:Q568)</f>
        <v>232.44659999999996</v>
      </c>
      <c r="R1095" s="5"/>
      <c r="S1095" s="6"/>
    </row>
    <row r="1096" spans="1:19" ht="15" customHeight="1">
      <c r="A1096" s="3">
        <f t="shared" si="46"/>
        <v>2061</v>
      </c>
      <c r="B1096" s="8">
        <f t="shared" ref="B1096:J1096" si="91">AVERAGE(B569:B580)</f>
        <v>17.482991666666667</v>
      </c>
      <c r="C1096" s="8">
        <f t="shared" si="91"/>
        <v>17.489341666666668</v>
      </c>
      <c r="D1096" s="8">
        <f t="shared" si="91"/>
        <v>17.497675000000001</v>
      </c>
      <c r="E1096" s="8">
        <f t="shared" si="91"/>
        <v>17.49399166666667</v>
      </c>
      <c r="F1096" s="4">
        <f t="shared" si="91"/>
        <v>18.160683333333331</v>
      </c>
      <c r="G1096" s="8">
        <f t="shared" si="91"/>
        <v>17.064016666666667</v>
      </c>
      <c r="H1096" s="4">
        <f t="shared" si="91"/>
        <v>17.972366666666669</v>
      </c>
      <c r="I1096" s="8">
        <f t="shared" si="91"/>
        <v>16.878400000000003</v>
      </c>
      <c r="J1096" s="4">
        <f t="shared" si="91"/>
        <v>16.757291666666667</v>
      </c>
      <c r="K1096" s="7"/>
      <c r="L1096" s="5">
        <f>SUM(L569:L580)</f>
        <v>355.53689999999995</v>
      </c>
      <c r="M1096" s="5">
        <f>SUM(M569:M580)</f>
        <v>142.0401</v>
      </c>
      <c r="N1096" s="5">
        <f>SUM(N569:N580)</f>
        <v>58.217499999999994</v>
      </c>
      <c r="O1096" s="5">
        <f>SUM(O536:O547)</f>
        <v>4.4046000000000003</v>
      </c>
      <c r="P1096" s="5">
        <f>SUM(P569:P580)</f>
        <v>14.707600000000001</v>
      </c>
      <c r="Q1096" s="5">
        <f>SUM(Q569:Q580)</f>
        <v>231.81149999999997</v>
      </c>
      <c r="R1096" s="5"/>
      <c r="S1096" s="6"/>
    </row>
    <row r="1097" spans="1:19" ht="15" customHeight="1">
      <c r="A1097" s="3">
        <f t="shared" si="46"/>
        <v>2062</v>
      </c>
      <c r="B1097" s="4">
        <f t="shared" ref="B1097:J1106" ca="1" si="92">AVERAGE(OFFSET(B$581,($A1097-$A$1097)*12,0,12,1))</f>
        <v>18.053708333333333</v>
      </c>
      <c r="C1097" s="4">
        <f t="shared" ca="1" si="92"/>
        <v>18.060083333333331</v>
      </c>
      <c r="D1097" s="4">
        <f t="shared" ca="1" si="92"/>
        <v>18.0684</v>
      </c>
      <c r="E1097" s="4">
        <f t="shared" ca="1" si="92"/>
        <v>18.064716666666666</v>
      </c>
      <c r="F1097" s="4">
        <f t="shared" ca="1" si="92"/>
        <v>18.731408333333334</v>
      </c>
      <c r="G1097" s="4">
        <f t="shared" ca="1" si="92"/>
        <v>17.621449999999999</v>
      </c>
      <c r="H1097" s="4">
        <f t="shared" ca="1" si="92"/>
        <v>18.529791666666668</v>
      </c>
      <c r="I1097" s="4">
        <f t="shared" ca="1" si="92"/>
        <v>17.426633333333335</v>
      </c>
      <c r="J1097" s="4">
        <f t="shared" ca="1" si="92"/>
        <v>17.305241666666671</v>
      </c>
      <c r="K1097" s="4"/>
      <c r="L1097" s="5">
        <f t="shared" ref="L1097:Q1106" ca="1" si="93">SUM(OFFSET(L$581,($A1097-$A$1097)*12,0,12,1))</f>
        <v>355.53689999999995</v>
      </c>
      <c r="M1097" s="5">
        <f t="shared" ca="1" si="93"/>
        <v>142.0401</v>
      </c>
      <c r="N1097" s="5">
        <f t="shared" ca="1" si="93"/>
        <v>58.217499999999994</v>
      </c>
      <c r="O1097" s="5">
        <f t="shared" ca="1" si="93"/>
        <v>4.4046000000000003</v>
      </c>
      <c r="P1097" s="5">
        <f t="shared" ca="1" si="93"/>
        <v>14.707600000000001</v>
      </c>
      <c r="Q1097" s="5">
        <f t="shared" ca="1" si="93"/>
        <v>231.81149999999997</v>
      </c>
      <c r="R1097" s="4"/>
      <c r="S1097" s="4"/>
    </row>
    <row r="1098" spans="1:19" ht="15" customHeight="1">
      <c r="A1098" s="3">
        <f t="shared" si="46"/>
        <v>2063</v>
      </c>
      <c r="B1098" s="4">
        <f t="shared" ca="1" si="92"/>
        <v>18.643116666666664</v>
      </c>
      <c r="C1098" s="4">
        <f t="shared" ca="1" si="92"/>
        <v>18.649491666666666</v>
      </c>
      <c r="D1098" s="4">
        <f t="shared" ca="1" si="92"/>
        <v>18.657799999999998</v>
      </c>
      <c r="E1098" s="4">
        <f t="shared" ca="1" si="92"/>
        <v>18.654116666666667</v>
      </c>
      <c r="F1098" s="4">
        <f t="shared" ca="1" si="92"/>
        <v>19.320816666666662</v>
      </c>
      <c r="G1098" s="4">
        <f t="shared" ca="1" si="92"/>
        <v>18.197125</v>
      </c>
      <c r="H1098" s="4">
        <f t="shared" ca="1" si="92"/>
        <v>19.105466666666668</v>
      </c>
      <c r="I1098" s="4">
        <f t="shared" ca="1" si="92"/>
        <v>17.992808333333333</v>
      </c>
      <c r="J1098" s="4">
        <f t="shared" ca="1" si="92"/>
        <v>17.871133333333333</v>
      </c>
      <c r="K1098" s="4"/>
      <c r="L1098" s="5">
        <f t="shared" ca="1" si="93"/>
        <v>355.53689999999995</v>
      </c>
      <c r="M1098" s="5">
        <f t="shared" ca="1" si="93"/>
        <v>142.0401</v>
      </c>
      <c r="N1098" s="5">
        <f t="shared" ca="1" si="93"/>
        <v>58.217499999999994</v>
      </c>
      <c r="O1098" s="5">
        <f t="shared" ca="1" si="93"/>
        <v>4.4046000000000003</v>
      </c>
      <c r="P1098" s="5">
        <f t="shared" ca="1" si="93"/>
        <v>14.707600000000001</v>
      </c>
      <c r="Q1098" s="5">
        <f t="shared" ca="1" si="93"/>
        <v>231.81149999999997</v>
      </c>
      <c r="R1098" s="4"/>
      <c r="S1098" s="4"/>
    </row>
    <row r="1099" spans="1:19" ht="15" customHeight="1">
      <c r="A1099" s="3">
        <f t="shared" si="46"/>
        <v>2064</v>
      </c>
      <c r="B1099" s="4">
        <f t="shared" ca="1" si="92"/>
        <v>19.251791666666673</v>
      </c>
      <c r="C1099" s="4">
        <f t="shared" ca="1" si="92"/>
        <v>19.258174999999998</v>
      </c>
      <c r="D1099" s="4">
        <f t="shared" ca="1" si="92"/>
        <v>19.266483333333337</v>
      </c>
      <c r="E1099" s="4">
        <f t="shared" ca="1" si="92"/>
        <v>19.262799999999999</v>
      </c>
      <c r="F1099" s="4">
        <f t="shared" ca="1" si="92"/>
        <v>19.929483333333334</v>
      </c>
      <c r="G1099" s="4">
        <f t="shared" ca="1" si="92"/>
        <v>18.791616666666666</v>
      </c>
      <c r="H1099" s="4">
        <f t="shared" ca="1" si="92"/>
        <v>19.699975000000006</v>
      </c>
      <c r="I1099" s="4">
        <f t="shared" ca="1" si="92"/>
        <v>18.577475</v>
      </c>
      <c r="J1099" s="4">
        <f t="shared" ca="1" si="92"/>
        <v>18.455533333333335</v>
      </c>
      <c r="K1099" s="4"/>
      <c r="L1099" s="5">
        <f t="shared" ca="1" si="93"/>
        <v>356.48229999999995</v>
      </c>
      <c r="M1099" s="5">
        <f t="shared" ca="1" si="93"/>
        <v>142.42920000000001</v>
      </c>
      <c r="N1099" s="5">
        <f t="shared" ca="1" si="93"/>
        <v>58.377000000000002</v>
      </c>
      <c r="O1099" s="5">
        <f t="shared" ca="1" si="93"/>
        <v>4.4165999999999999</v>
      </c>
      <c r="P1099" s="5">
        <f t="shared" ca="1" si="93"/>
        <v>14.7493</v>
      </c>
      <c r="Q1099" s="5">
        <f t="shared" ca="1" si="93"/>
        <v>232.44659999999996</v>
      </c>
      <c r="R1099" s="4"/>
      <c r="S1099" s="4"/>
    </row>
    <row r="1100" spans="1:19" ht="15" customHeight="1">
      <c r="A1100" s="3">
        <f t="shared" si="46"/>
        <v>2065</v>
      </c>
      <c r="B1100" s="4">
        <f t="shared" ca="1" si="92"/>
        <v>19.880366666666664</v>
      </c>
      <c r="C1100" s="4">
        <f t="shared" ca="1" si="92"/>
        <v>19.886741666666666</v>
      </c>
      <c r="D1100" s="4">
        <f t="shared" ca="1" si="92"/>
        <v>19.895075000000002</v>
      </c>
      <c r="E1100" s="4">
        <f t="shared" ca="1" si="92"/>
        <v>19.891391666666667</v>
      </c>
      <c r="F1100" s="4">
        <f t="shared" ca="1" si="92"/>
        <v>20.558058333333335</v>
      </c>
      <c r="G1100" s="4">
        <f t="shared" ca="1" si="92"/>
        <v>19.405558333333332</v>
      </c>
      <c r="H1100" s="4">
        <f t="shared" ca="1" si="92"/>
        <v>20.3139</v>
      </c>
      <c r="I1100" s="4">
        <f t="shared" ca="1" si="92"/>
        <v>19.181274999999996</v>
      </c>
      <c r="J1100" s="4">
        <f t="shared" ca="1" si="92"/>
        <v>19.059016666666668</v>
      </c>
      <c r="K1100" s="4"/>
      <c r="L1100" s="5">
        <f t="shared" ca="1" si="93"/>
        <v>355.53689999999995</v>
      </c>
      <c r="M1100" s="5">
        <f t="shared" ca="1" si="93"/>
        <v>142.0401</v>
      </c>
      <c r="N1100" s="5">
        <f t="shared" ca="1" si="93"/>
        <v>58.217499999999994</v>
      </c>
      <c r="O1100" s="5">
        <f t="shared" ca="1" si="93"/>
        <v>4.4046000000000003</v>
      </c>
      <c r="P1100" s="5">
        <f t="shared" ca="1" si="93"/>
        <v>14.707600000000001</v>
      </c>
      <c r="Q1100" s="5">
        <f t="shared" ca="1" si="93"/>
        <v>231.81149999999997</v>
      </c>
      <c r="R1100" s="4"/>
      <c r="S1100" s="4"/>
    </row>
    <row r="1101" spans="1:19" ht="15" customHeight="1">
      <c r="A1101" s="3">
        <f t="shared" si="46"/>
        <v>2066</v>
      </c>
      <c r="B1101" s="4">
        <f t="shared" ca="1" si="92"/>
        <v>20.529508333333336</v>
      </c>
      <c r="C1101" s="4">
        <f t="shared" ca="1" si="92"/>
        <v>20.535875000000001</v>
      </c>
      <c r="D1101" s="4">
        <f t="shared" ca="1" si="92"/>
        <v>20.544200000000004</v>
      </c>
      <c r="E1101" s="4">
        <f t="shared" ca="1" si="92"/>
        <v>20.540516666666665</v>
      </c>
      <c r="F1101" s="4">
        <f t="shared" ca="1" si="92"/>
        <v>21.207191666666667</v>
      </c>
      <c r="G1101" s="4">
        <f t="shared" ca="1" si="92"/>
        <v>20.039591666666666</v>
      </c>
      <c r="H1101" s="4">
        <f t="shared" ca="1" si="92"/>
        <v>20.947925000000001</v>
      </c>
      <c r="I1101" s="4">
        <f t="shared" ca="1" si="92"/>
        <v>19.804824999999997</v>
      </c>
      <c r="J1101" s="4">
        <f t="shared" ca="1" si="92"/>
        <v>19.68225</v>
      </c>
      <c r="K1101" s="4"/>
      <c r="L1101" s="5">
        <f t="shared" ca="1" si="93"/>
        <v>355.53689999999995</v>
      </c>
      <c r="M1101" s="5">
        <f t="shared" ca="1" si="93"/>
        <v>142.0401</v>
      </c>
      <c r="N1101" s="5">
        <f t="shared" ca="1" si="93"/>
        <v>58.217499999999994</v>
      </c>
      <c r="O1101" s="5">
        <f t="shared" ca="1" si="93"/>
        <v>4.4046000000000003</v>
      </c>
      <c r="P1101" s="5">
        <f t="shared" ca="1" si="93"/>
        <v>14.707600000000001</v>
      </c>
      <c r="Q1101" s="5">
        <f t="shared" ca="1" si="93"/>
        <v>231.81149999999997</v>
      </c>
      <c r="R1101" s="4"/>
      <c r="S1101" s="4"/>
    </row>
    <row r="1102" spans="1:19" ht="15" customHeight="1">
      <c r="A1102" s="3">
        <f t="shared" si="46"/>
        <v>2067</v>
      </c>
      <c r="B1102" s="4">
        <f t="shared" ca="1" si="92"/>
        <v>21.199883333333329</v>
      </c>
      <c r="C1102" s="4">
        <f t="shared" ca="1" si="92"/>
        <v>21.206258333333331</v>
      </c>
      <c r="D1102" s="4">
        <f t="shared" ca="1" si="92"/>
        <v>21.214575000000004</v>
      </c>
      <c r="E1102" s="4">
        <f t="shared" ca="1" si="92"/>
        <v>21.210891666666665</v>
      </c>
      <c r="F1102" s="4">
        <f t="shared" ca="1" si="92"/>
        <v>21.877574999999997</v>
      </c>
      <c r="G1102" s="4">
        <f t="shared" ca="1" si="92"/>
        <v>20.694333333333333</v>
      </c>
      <c r="H1102" s="4">
        <f t="shared" ca="1" si="92"/>
        <v>21.602675000000001</v>
      </c>
      <c r="I1102" s="4">
        <f t="shared" ca="1" si="92"/>
        <v>20.448774999999998</v>
      </c>
      <c r="J1102" s="4">
        <f t="shared" ca="1" si="92"/>
        <v>20.325883333333334</v>
      </c>
      <c r="K1102" s="4"/>
      <c r="L1102" s="5">
        <f t="shared" ca="1" si="93"/>
        <v>355.53689999999995</v>
      </c>
      <c r="M1102" s="5">
        <f t="shared" ca="1" si="93"/>
        <v>142.0401</v>
      </c>
      <c r="N1102" s="5">
        <f t="shared" ca="1" si="93"/>
        <v>58.217499999999994</v>
      </c>
      <c r="O1102" s="5">
        <f t="shared" ca="1" si="93"/>
        <v>4.4046000000000003</v>
      </c>
      <c r="P1102" s="5">
        <f t="shared" ca="1" si="93"/>
        <v>14.707600000000001</v>
      </c>
      <c r="Q1102" s="5">
        <f t="shared" ca="1" si="93"/>
        <v>231.81149999999997</v>
      </c>
      <c r="R1102" s="4"/>
      <c r="S1102" s="4"/>
    </row>
    <row r="1103" spans="1:19" ht="15" customHeight="1">
      <c r="A1103" s="3">
        <f t="shared" si="46"/>
        <v>2068</v>
      </c>
      <c r="B1103" s="4">
        <f t="shared" ca="1" si="92"/>
        <v>21.892166666666668</v>
      </c>
      <c r="C1103" s="4">
        <f t="shared" ca="1" si="92"/>
        <v>21.898541666666663</v>
      </c>
      <c r="D1103" s="4">
        <f t="shared" ca="1" si="92"/>
        <v>21.906874999999996</v>
      </c>
      <c r="E1103" s="4">
        <f t="shared" ca="1" si="92"/>
        <v>21.903191666666668</v>
      </c>
      <c r="F1103" s="4">
        <f t="shared" ca="1" si="92"/>
        <v>22.569850000000002</v>
      </c>
      <c r="G1103" s="4">
        <f t="shared" ca="1" si="92"/>
        <v>21.370483333333336</v>
      </c>
      <c r="H1103" s="4">
        <f t="shared" ca="1" si="92"/>
        <v>22.278833333333335</v>
      </c>
      <c r="I1103" s="4">
        <f t="shared" ca="1" si="92"/>
        <v>21.113775</v>
      </c>
      <c r="J1103" s="4">
        <f t="shared" ca="1" si="92"/>
        <v>20.990541666666665</v>
      </c>
      <c r="K1103" s="4"/>
      <c r="L1103" s="5">
        <f t="shared" ca="1" si="93"/>
        <v>356.48229999999995</v>
      </c>
      <c r="M1103" s="5">
        <f t="shared" ca="1" si="93"/>
        <v>142.42920000000001</v>
      </c>
      <c r="N1103" s="5">
        <f t="shared" ca="1" si="93"/>
        <v>58.377000000000002</v>
      </c>
      <c r="O1103" s="5">
        <f t="shared" ca="1" si="93"/>
        <v>4.4165999999999999</v>
      </c>
      <c r="P1103" s="5">
        <f t="shared" ca="1" si="93"/>
        <v>14.7493</v>
      </c>
      <c r="Q1103" s="5">
        <f t="shared" ca="1" si="93"/>
        <v>232.44659999999996</v>
      </c>
      <c r="R1103" s="4"/>
      <c r="S1103" s="4"/>
    </row>
    <row r="1104" spans="1:19" ht="15" customHeight="1">
      <c r="A1104" s="3">
        <f t="shared" si="46"/>
        <v>2069</v>
      </c>
      <c r="B1104" s="4">
        <f t="shared" ca="1" si="92"/>
        <v>22.607108333333333</v>
      </c>
      <c r="C1104" s="4">
        <f t="shared" ca="1" si="92"/>
        <v>22.613483333333335</v>
      </c>
      <c r="D1104" s="4">
        <f t="shared" ca="1" si="92"/>
        <v>22.621791666666667</v>
      </c>
      <c r="E1104" s="4">
        <f t="shared" ca="1" si="92"/>
        <v>22.618108333333335</v>
      </c>
      <c r="F1104" s="4">
        <f t="shared" ca="1" si="92"/>
        <v>23.284800000000001</v>
      </c>
      <c r="G1104" s="4">
        <f t="shared" ca="1" si="92"/>
        <v>22.068774999999999</v>
      </c>
      <c r="H1104" s="4">
        <f t="shared" ca="1" si="92"/>
        <v>22.977116666666671</v>
      </c>
      <c r="I1104" s="4">
        <f t="shared" ca="1" si="92"/>
        <v>21.8005</v>
      </c>
      <c r="J1104" s="4">
        <f t="shared" ca="1" si="92"/>
        <v>21.676950000000001</v>
      </c>
      <c r="K1104" s="4"/>
      <c r="L1104" s="5">
        <f t="shared" ca="1" si="93"/>
        <v>355.53689999999995</v>
      </c>
      <c r="M1104" s="5">
        <f t="shared" ca="1" si="93"/>
        <v>142.0401</v>
      </c>
      <c r="N1104" s="5">
        <f t="shared" ca="1" si="93"/>
        <v>58.217499999999994</v>
      </c>
      <c r="O1104" s="5">
        <f t="shared" ca="1" si="93"/>
        <v>4.4046000000000003</v>
      </c>
      <c r="P1104" s="5">
        <f t="shared" ca="1" si="93"/>
        <v>14.707600000000001</v>
      </c>
      <c r="Q1104" s="5">
        <f t="shared" ca="1" si="93"/>
        <v>231.81149999999997</v>
      </c>
      <c r="R1104" s="4"/>
      <c r="S1104" s="4"/>
    </row>
    <row r="1105" spans="1:19" ht="15" customHeight="1">
      <c r="A1105" s="3">
        <f t="shared" ref="A1105:A1135" si="94">A1104+1</f>
        <v>2070</v>
      </c>
      <c r="B1105" s="4">
        <f t="shared" ca="1" si="92"/>
        <v>23.345425000000002</v>
      </c>
      <c r="C1105" s="4">
        <f t="shared" ca="1" si="92"/>
        <v>23.351783333333334</v>
      </c>
      <c r="D1105" s="4">
        <f t="shared" ca="1" si="92"/>
        <v>23.360116666666666</v>
      </c>
      <c r="E1105" s="4">
        <f t="shared" ca="1" si="92"/>
        <v>23.356425000000002</v>
      </c>
      <c r="F1105" s="4">
        <f t="shared" ca="1" si="92"/>
        <v>24.023116666666667</v>
      </c>
      <c r="G1105" s="4">
        <f t="shared" ca="1" si="92"/>
        <v>22.789866666666668</v>
      </c>
      <c r="H1105" s="4">
        <f t="shared" ca="1" si="92"/>
        <v>23.698216666666664</v>
      </c>
      <c r="I1105" s="4">
        <f t="shared" ca="1" si="92"/>
        <v>22.509725</v>
      </c>
      <c r="J1105" s="4">
        <f t="shared" ca="1" si="92"/>
        <v>22.385816666666667</v>
      </c>
      <c r="K1105" s="4"/>
      <c r="L1105" s="5">
        <f t="shared" ca="1" si="93"/>
        <v>355.53689999999995</v>
      </c>
      <c r="M1105" s="5">
        <f t="shared" ca="1" si="93"/>
        <v>142.0401</v>
      </c>
      <c r="N1105" s="5">
        <f t="shared" ca="1" si="93"/>
        <v>58.217499999999994</v>
      </c>
      <c r="O1105" s="5">
        <f t="shared" ca="1" si="93"/>
        <v>4.4046000000000003</v>
      </c>
      <c r="P1105" s="5">
        <f t="shared" ca="1" si="93"/>
        <v>14.707600000000001</v>
      </c>
      <c r="Q1105" s="5">
        <f t="shared" ca="1" si="93"/>
        <v>231.81149999999997</v>
      </c>
      <c r="R1105" s="4"/>
      <c r="S1105" s="4"/>
    </row>
    <row r="1106" spans="1:19" ht="15" customHeight="1">
      <c r="A1106" s="3">
        <f t="shared" si="94"/>
        <v>2071</v>
      </c>
      <c r="B1106" s="4">
        <f t="shared" ca="1" si="92"/>
        <v>24.107874999999996</v>
      </c>
      <c r="C1106" s="4">
        <f t="shared" ca="1" si="92"/>
        <v>24.114250000000002</v>
      </c>
      <c r="D1106" s="4">
        <f t="shared" ca="1" si="92"/>
        <v>24.122558333333334</v>
      </c>
      <c r="E1106" s="4">
        <f t="shared" ca="1" si="92"/>
        <v>24.118874999999999</v>
      </c>
      <c r="F1106" s="4">
        <f t="shared" ca="1" si="92"/>
        <v>24.785550000000001</v>
      </c>
      <c r="G1106" s="4">
        <f t="shared" ca="1" si="92"/>
        <v>23.534566666666667</v>
      </c>
      <c r="H1106" s="4">
        <f t="shared" ca="1" si="92"/>
        <v>24.442924999999999</v>
      </c>
      <c r="I1106" s="4">
        <f t="shared" ca="1" si="92"/>
        <v>23.242133333333339</v>
      </c>
      <c r="J1106" s="4">
        <f t="shared" ca="1" si="92"/>
        <v>23.117858333333331</v>
      </c>
      <c r="K1106" s="4"/>
      <c r="L1106" s="5">
        <f t="shared" ca="1" si="93"/>
        <v>355.53689999999995</v>
      </c>
      <c r="M1106" s="5">
        <f t="shared" ca="1" si="93"/>
        <v>142.0401</v>
      </c>
      <c r="N1106" s="5">
        <f t="shared" ca="1" si="93"/>
        <v>58.217499999999994</v>
      </c>
      <c r="O1106" s="5">
        <f t="shared" ca="1" si="93"/>
        <v>4.4046000000000003</v>
      </c>
      <c r="P1106" s="5">
        <f t="shared" ca="1" si="93"/>
        <v>14.707600000000001</v>
      </c>
      <c r="Q1106" s="5">
        <f t="shared" ca="1" si="93"/>
        <v>231.81149999999997</v>
      </c>
      <c r="R1106" s="4"/>
      <c r="S1106" s="4"/>
    </row>
    <row r="1107" spans="1:19" ht="15" customHeight="1">
      <c r="A1107" s="3">
        <f t="shared" si="94"/>
        <v>2072</v>
      </c>
      <c r="B1107" s="4">
        <f t="shared" ref="B1107:J1116" ca="1" si="95">AVERAGE(OFFSET(B$581,($A1107-$A$1097)*12,0,12,1))</f>
        <v>24.895258333333331</v>
      </c>
      <c r="C1107" s="4">
        <f t="shared" ca="1" si="95"/>
        <v>24.901624999999999</v>
      </c>
      <c r="D1107" s="4">
        <f t="shared" ca="1" si="95"/>
        <v>24.909958333333336</v>
      </c>
      <c r="E1107" s="4">
        <f t="shared" ca="1" si="95"/>
        <v>24.906274999999997</v>
      </c>
      <c r="F1107" s="4">
        <f t="shared" ca="1" si="95"/>
        <v>25.572958333333332</v>
      </c>
      <c r="G1107" s="4">
        <f t="shared" ca="1" si="95"/>
        <v>24.303624999999997</v>
      </c>
      <c r="H1107" s="4">
        <f t="shared" ca="1" si="95"/>
        <v>25.211983333333336</v>
      </c>
      <c r="I1107" s="4">
        <f t="shared" ca="1" si="95"/>
        <v>23.99848333333334</v>
      </c>
      <c r="J1107" s="4">
        <f t="shared" ca="1" si="95"/>
        <v>23.87381666666667</v>
      </c>
      <c r="K1107" s="4"/>
      <c r="L1107" s="5">
        <f t="shared" ref="L1107:Q1116" ca="1" si="96">SUM(OFFSET(L$581,($A1107-$A$1097)*12,0,12,1))</f>
        <v>356.48229999999995</v>
      </c>
      <c r="M1107" s="5">
        <f t="shared" ca="1" si="96"/>
        <v>142.42920000000001</v>
      </c>
      <c r="N1107" s="5">
        <f t="shared" ca="1" si="96"/>
        <v>58.377000000000002</v>
      </c>
      <c r="O1107" s="5">
        <f t="shared" ca="1" si="96"/>
        <v>4.4165999999999999</v>
      </c>
      <c r="P1107" s="5">
        <f t="shared" ca="1" si="96"/>
        <v>14.7493</v>
      </c>
      <c r="Q1107" s="5">
        <f t="shared" ca="1" si="96"/>
        <v>232.44659999999996</v>
      </c>
      <c r="R1107" s="4"/>
      <c r="S1107" s="4"/>
    </row>
    <row r="1108" spans="1:19" ht="15" customHeight="1">
      <c r="A1108" s="3">
        <f t="shared" si="94"/>
        <v>2073</v>
      </c>
      <c r="B1108" s="4">
        <f t="shared" ca="1" si="95"/>
        <v>25.708391666666667</v>
      </c>
      <c r="C1108" s="4">
        <f t="shared" ca="1" si="95"/>
        <v>25.714783333333333</v>
      </c>
      <c r="D1108" s="4">
        <f t="shared" ca="1" si="95"/>
        <v>25.723116666666666</v>
      </c>
      <c r="E1108" s="4">
        <f t="shared" ca="1" si="95"/>
        <v>25.719433333333331</v>
      </c>
      <c r="F1108" s="4">
        <f t="shared" ca="1" si="95"/>
        <v>26.386083333333332</v>
      </c>
      <c r="G1108" s="4">
        <f t="shared" ca="1" si="95"/>
        <v>25.097825</v>
      </c>
      <c r="H1108" s="4">
        <f t="shared" ca="1" si="95"/>
        <v>26.006174999999999</v>
      </c>
      <c r="I1108" s="4">
        <f t="shared" ca="1" si="95"/>
        <v>24.779566666666668</v>
      </c>
      <c r="J1108" s="4">
        <f t="shared" ca="1" si="95"/>
        <v>24.654516666666666</v>
      </c>
      <c r="K1108" s="4"/>
      <c r="L1108" s="5">
        <f t="shared" ca="1" si="96"/>
        <v>355.53689999999995</v>
      </c>
      <c r="M1108" s="5">
        <f t="shared" ca="1" si="96"/>
        <v>142.0401</v>
      </c>
      <c r="N1108" s="5">
        <f t="shared" ca="1" si="96"/>
        <v>58.217499999999994</v>
      </c>
      <c r="O1108" s="5">
        <f t="shared" ca="1" si="96"/>
        <v>4.4046000000000003</v>
      </c>
      <c r="P1108" s="5">
        <f t="shared" ca="1" si="96"/>
        <v>14.707600000000001</v>
      </c>
      <c r="Q1108" s="5">
        <f t="shared" ca="1" si="96"/>
        <v>231.81149999999997</v>
      </c>
      <c r="R1108" s="4"/>
      <c r="S1108" s="4"/>
    </row>
    <row r="1109" spans="1:19" ht="15" customHeight="1">
      <c r="A1109" s="3">
        <f t="shared" si="94"/>
        <v>2074</v>
      </c>
      <c r="B1109" s="4">
        <f t="shared" ca="1" si="95"/>
        <v>26.548133333333329</v>
      </c>
      <c r="C1109" s="4">
        <f t="shared" ca="1" si="95"/>
        <v>26.554516666666668</v>
      </c>
      <c r="D1109" s="4">
        <f t="shared" ca="1" si="95"/>
        <v>26.562825</v>
      </c>
      <c r="E1109" s="4">
        <f t="shared" ca="1" si="95"/>
        <v>26.559141666666662</v>
      </c>
      <c r="F1109" s="4">
        <f t="shared" ca="1" si="95"/>
        <v>27.22583333333333</v>
      </c>
      <c r="G1109" s="4">
        <f t="shared" ca="1" si="95"/>
        <v>25.918000000000003</v>
      </c>
      <c r="H1109" s="4">
        <f t="shared" ca="1" si="95"/>
        <v>26.826350000000001</v>
      </c>
      <c r="I1109" s="4">
        <f t="shared" ca="1" si="95"/>
        <v>25.586208333333335</v>
      </c>
      <c r="J1109" s="4">
        <f t="shared" ca="1" si="95"/>
        <v>25.460750000000004</v>
      </c>
      <c r="K1109" s="4"/>
      <c r="L1109" s="5">
        <f t="shared" ca="1" si="96"/>
        <v>355.53689999999995</v>
      </c>
      <c r="M1109" s="5">
        <f t="shared" ca="1" si="96"/>
        <v>142.0401</v>
      </c>
      <c r="N1109" s="5">
        <f t="shared" ca="1" si="96"/>
        <v>58.217499999999994</v>
      </c>
      <c r="O1109" s="5">
        <f t="shared" ca="1" si="96"/>
        <v>4.4046000000000003</v>
      </c>
      <c r="P1109" s="5">
        <f t="shared" ca="1" si="96"/>
        <v>14.707600000000001</v>
      </c>
      <c r="Q1109" s="5">
        <f t="shared" ca="1" si="96"/>
        <v>231.81149999999997</v>
      </c>
      <c r="R1109" s="4"/>
      <c r="S1109" s="4"/>
    </row>
    <row r="1110" spans="1:19" ht="15" customHeight="1">
      <c r="A1110" s="3">
        <f t="shared" si="94"/>
        <v>2075</v>
      </c>
      <c r="B1110" s="4">
        <f t="shared" ca="1" si="95"/>
        <v>27.415358333333334</v>
      </c>
      <c r="C1110" s="4">
        <f t="shared" ca="1" si="95"/>
        <v>27.421724999999999</v>
      </c>
      <c r="D1110" s="4">
        <f t="shared" ca="1" si="95"/>
        <v>27.430033333333331</v>
      </c>
      <c r="E1110" s="4">
        <f t="shared" ca="1" si="95"/>
        <v>27.426349999999999</v>
      </c>
      <c r="F1110" s="4">
        <f t="shared" ca="1" si="95"/>
        <v>28.093041666666668</v>
      </c>
      <c r="G1110" s="4">
        <f t="shared" ca="1" si="95"/>
        <v>26.765000000000001</v>
      </c>
      <c r="H1110" s="4">
        <f t="shared" ca="1" si="95"/>
        <v>27.673341666666673</v>
      </c>
      <c r="I1110" s="4">
        <f t="shared" ca="1" si="95"/>
        <v>26.419208333333327</v>
      </c>
      <c r="J1110" s="4">
        <f t="shared" ca="1" si="95"/>
        <v>26.293358333333334</v>
      </c>
      <c r="K1110" s="4"/>
      <c r="L1110" s="5">
        <f t="shared" ca="1" si="96"/>
        <v>355.53689999999995</v>
      </c>
      <c r="M1110" s="5">
        <f t="shared" ca="1" si="96"/>
        <v>142.0401</v>
      </c>
      <c r="N1110" s="5">
        <f t="shared" ca="1" si="96"/>
        <v>58.217499999999994</v>
      </c>
      <c r="O1110" s="5">
        <f t="shared" ca="1" si="96"/>
        <v>4.4046000000000003</v>
      </c>
      <c r="P1110" s="5">
        <f t="shared" ca="1" si="96"/>
        <v>14.707600000000001</v>
      </c>
      <c r="Q1110" s="5">
        <f t="shared" ca="1" si="96"/>
        <v>231.81149999999997</v>
      </c>
      <c r="R1110" s="4"/>
      <c r="S1110" s="4"/>
    </row>
    <row r="1111" spans="1:19" ht="15" customHeight="1">
      <c r="A1111" s="3">
        <f t="shared" si="94"/>
        <v>2076</v>
      </c>
      <c r="B1111" s="4">
        <f t="shared" ca="1" si="95"/>
        <v>28.310908333333334</v>
      </c>
      <c r="C1111" s="4">
        <f t="shared" ca="1" si="95"/>
        <v>28.317266666666665</v>
      </c>
      <c r="D1111" s="4">
        <f t="shared" ca="1" si="95"/>
        <v>28.325599999999998</v>
      </c>
      <c r="E1111" s="4">
        <f t="shared" ca="1" si="95"/>
        <v>28.32191666666667</v>
      </c>
      <c r="F1111" s="4">
        <f t="shared" ca="1" si="95"/>
        <v>28.988591666666665</v>
      </c>
      <c r="G1111" s="4">
        <f t="shared" ca="1" si="95"/>
        <v>27.639691666666668</v>
      </c>
      <c r="H1111" s="4">
        <f t="shared" ca="1" si="95"/>
        <v>28.548041666666666</v>
      </c>
      <c r="I1111" s="4">
        <f t="shared" ca="1" si="95"/>
        <v>27.279474999999994</v>
      </c>
      <c r="J1111" s="4">
        <f t="shared" ca="1" si="95"/>
        <v>27.153200000000002</v>
      </c>
      <c r="K1111" s="4"/>
      <c r="L1111" s="5">
        <f t="shared" ca="1" si="96"/>
        <v>356.48229999999995</v>
      </c>
      <c r="M1111" s="5">
        <f t="shared" ca="1" si="96"/>
        <v>142.42920000000001</v>
      </c>
      <c r="N1111" s="5">
        <f t="shared" ca="1" si="96"/>
        <v>58.377000000000002</v>
      </c>
      <c r="O1111" s="5">
        <f t="shared" ca="1" si="96"/>
        <v>4.4165999999999999</v>
      </c>
      <c r="P1111" s="5">
        <f t="shared" ca="1" si="96"/>
        <v>14.7493</v>
      </c>
      <c r="Q1111" s="5">
        <f t="shared" ca="1" si="96"/>
        <v>232.44659999999996</v>
      </c>
      <c r="R1111" s="4"/>
      <c r="S1111" s="4"/>
    </row>
    <row r="1112" spans="1:19" ht="15" customHeight="1">
      <c r="A1112" s="3">
        <f t="shared" si="94"/>
        <v>2077</v>
      </c>
      <c r="B1112" s="4">
        <f t="shared" ca="1" si="95"/>
        <v>29.235733333333329</v>
      </c>
      <c r="C1112" s="4">
        <f t="shared" ca="1" si="95"/>
        <v>29.242108333333334</v>
      </c>
      <c r="D1112" s="4">
        <f t="shared" ca="1" si="95"/>
        <v>29.250433333333337</v>
      </c>
      <c r="E1112" s="4">
        <f t="shared" ca="1" si="95"/>
        <v>29.246750000000002</v>
      </c>
      <c r="F1112" s="4">
        <f t="shared" ca="1" si="95"/>
        <v>29.913450000000001</v>
      </c>
      <c r="G1112" s="4">
        <f t="shared" ca="1" si="95"/>
        <v>28.542991666666666</v>
      </c>
      <c r="H1112" s="4">
        <f t="shared" ca="1" si="95"/>
        <v>29.451341666666664</v>
      </c>
      <c r="I1112" s="4">
        <f t="shared" ca="1" si="95"/>
        <v>28.167858333333331</v>
      </c>
      <c r="J1112" s="4">
        <f t="shared" ca="1" si="95"/>
        <v>28.041116666666664</v>
      </c>
      <c r="K1112" s="4"/>
      <c r="L1112" s="5">
        <f t="shared" ca="1" si="96"/>
        <v>355.53689999999995</v>
      </c>
      <c r="M1112" s="5">
        <f t="shared" ca="1" si="96"/>
        <v>142.0401</v>
      </c>
      <c r="N1112" s="5">
        <f t="shared" ca="1" si="96"/>
        <v>58.217499999999994</v>
      </c>
      <c r="O1112" s="5">
        <f t="shared" ca="1" si="96"/>
        <v>4.4046000000000003</v>
      </c>
      <c r="P1112" s="5">
        <f t="shared" ca="1" si="96"/>
        <v>14.707600000000001</v>
      </c>
      <c r="Q1112" s="5">
        <f t="shared" ca="1" si="96"/>
        <v>231.81149999999997</v>
      </c>
      <c r="R1112" s="4"/>
      <c r="S1112" s="4"/>
    </row>
    <row r="1113" spans="1:19" ht="15" customHeight="1">
      <c r="A1113" s="3">
        <f t="shared" si="94"/>
        <v>2078</v>
      </c>
      <c r="B1113" s="4">
        <f t="shared" ca="1" si="95"/>
        <v>30.190841666666671</v>
      </c>
      <c r="C1113" s="4">
        <f t="shared" ca="1" si="95"/>
        <v>30.197225</v>
      </c>
      <c r="D1113" s="4">
        <f t="shared" ca="1" si="95"/>
        <v>30.205541666666665</v>
      </c>
      <c r="E1113" s="4">
        <f t="shared" ca="1" si="95"/>
        <v>30.201858333333334</v>
      </c>
      <c r="F1113" s="4">
        <f t="shared" ca="1" si="95"/>
        <v>30.868533333333332</v>
      </c>
      <c r="G1113" s="4">
        <f t="shared" ca="1" si="95"/>
        <v>29.475841666666668</v>
      </c>
      <c r="H1113" s="4">
        <f t="shared" ca="1" si="95"/>
        <v>30.38418333333334</v>
      </c>
      <c r="I1113" s="4">
        <f t="shared" ca="1" si="95"/>
        <v>29.085316666666671</v>
      </c>
      <c r="J1113" s="4">
        <f t="shared" ca="1" si="95"/>
        <v>28.958108333333339</v>
      </c>
      <c r="K1113" s="4"/>
      <c r="L1113" s="5">
        <f t="shared" ca="1" si="96"/>
        <v>355.53689999999995</v>
      </c>
      <c r="M1113" s="5">
        <f t="shared" ca="1" si="96"/>
        <v>142.0401</v>
      </c>
      <c r="N1113" s="5">
        <f t="shared" ca="1" si="96"/>
        <v>58.217499999999994</v>
      </c>
      <c r="O1113" s="5">
        <f t="shared" ca="1" si="96"/>
        <v>4.4046000000000003</v>
      </c>
      <c r="P1113" s="5">
        <f t="shared" ca="1" si="96"/>
        <v>14.707600000000001</v>
      </c>
      <c r="Q1113" s="5">
        <f t="shared" ca="1" si="96"/>
        <v>231.81149999999997</v>
      </c>
      <c r="R1113" s="4"/>
      <c r="S1113" s="4"/>
    </row>
    <row r="1114" spans="1:19" ht="15" customHeight="1">
      <c r="A1114" s="3">
        <f t="shared" si="94"/>
        <v>2079</v>
      </c>
      <c r="B1114" s="4">
        <f t="shared" ca="1" si="95"/>
        <v>31.177183333333332</v>
      </c>
      <c r="C1114" s="4">
        <f t="shared" ca="1" si="95"/>
        <v>31.183541666666667</v>
      </c>
      <c r="D1114" s="4">
        <f t="shared" ca="1" si="95"/>
        <v>31.19186666666667</v>
      </c>
      <c r="E1114" s="4">
        <f t="shared" ca="1" si="95"/>
        <v>31.188183333333338</v>
      </c>
      <c r="F1114" s="4">
        <f t="shared" ca="1" si="95"/>
        <v>31.854858333333336</v>
      </c>
      <c r="G1114" s="4">
        <f t="shared" ca="1" si="95"/>
        <v>30.439183333333329</v>
      </c>
      <c r="H1114" s="4">
        <f t="shared" ca="1" si="95"/>
        <v>31.347533333333335</v>
      </c>
      <c r="I1114" s="4">
        <f t="shared" ca="1" si="95"/>
        <v>30.032758333333337</v>
      </c>
      <c r="J1114" s="4">
        <f t="shared" ca="1" si="95"/>
        <v>29.905100000000001</v>
      </c>
      <c r="K1114" s="4"/>
      <c r="L1114" s="5">
        <f t="shared" ca="1" si="96"/>
        <v>355.53689999999995</v>
      </c>
      <c r="M1114" s="5">
        <f t="shared" ca="1" si="96"/>
        <v>142.0401</v>
      </c>
      <c r="N1114" s="5">
        <f t="shared" ca="1" si="96"/>
        <v>58.217499999999994</v>
      </c>
      <c r="O1114" s="5">
        <f t="shared" ca="1" si="96"/>
        <v>4.4046000000000003</v>
      </c>
      <c r="P1114" s="5">
        <f t="shared" ca="1" si="96"/>
        <v>14.707600000000001</v>
      </c>
      <c r="Q1114" s="5">
        <f t="shared" ca="1" si="96"/>
        <v>231.81149999999997</v>
      </c>
      <c r="R1114" s="4"/>
      <c r="S1114" s="4"/>
    </row>
    <row r="1115" spans="1:19" ht="15" customHeight="1">
      <c r="A1115" s="3">
        <f t="shared" si="94"/>
        <v>2080</v>
      </c>
      <c r="B1115" s="4">
        <f t="shared" ca="1" si="95"/>
        <v>32.195749999999997</v>
      </c>
      <c r="C1115" s="4">
        <f t="shared" ca="1" si="95"/>
        <v>32.202133333333336</v>
      </c>
      <c r="D1115" s="4">
        <f t="shared" ca="1" si="95"/>
        <v>32.210450000000002</v>
      </c>
      <c r="E1115" s="4">
        <f t="shared" ca="1" si="95"/>
        <v>32.20676666666666</v>
      </c>
      <c r="F1115" s="4">
        <f t="shared" ca="1" si="95"/>
        <v>32.873449999999998</v>
      </c>
      <c r="G1115" s="4">
        <f t="shared" ca="1" si="95"/>
        <v>31.434049999999999</v>
      </c>
      <c r="H1115" s="4">
        <f t="shared" ca="1" si="95"/>
        <v>32.342375000000004</v>
      </c>
      <c r="I1115" s="4">
        <f t="shared" ca="1" si="95"/>
        <v>31.011200000000002</v>
      </c>
      <c r="J1115" s="4">
        <f t="shared" ca="1" si="95"/>
        <v>30.883041666666667</v>
      </c>
      <c r="K1115" s="4"/>
      <c r="L1115" s="5">
        <f t="shared" ca="1" si="96"/>
        <v>356.48229999999995</v>
      </c>
      <c r="M1115" s="5">
        <f t="shared" ca="1" si="96"/>
        <v>142.42920000000001</v>
      </c>
      <c r="N1115" s="5">
        <f t="shared" ca="1" si="96"/>
        <v>58.377000000000002</v>
      </c>
      <c r="O1115" s="5">
        <f t="shared" ca="1" si="96"/>
        <v>4.4165999999999999</v>
      </c>
      <c r="P1115" s="5">
        <f t="shared" ca="1" si="96"/>
        <v>14.7493</v>
      </c>
      <c r="Q1115" s="5">
        <f t="shared" ca="1" si="96"/>
        <v>232.44659999999996</v>
      </c>
      <c r="R1115" s="4"/>
      <c r="S1115" s="4"/>
    </row>
    <row r="1116" spans="1:19" ht="15" customHeight="1">
      <c r="A1116" s="3">
        <f t="shared" si="94"/>
        <v>2081</v>
      </c>
      <c r="B1116" s="4">
        <f t="shared" ca="1" si="95"/>
        <v>33.247666666666674</v>
      </c>
      <c r="C1116" s="4">
        <f t="shared" ca="1" si="95"/>
        <v>33.254033333333332</v>
      </c>
      <c r="D1116" s="4">
        <f t="shared" ca="1" si="95"/>
        <v>33.262341666666664</v>
      </c>
      <c r="E1116" s="4">
        <f t="shared" ca="1" si="95"/>
        <v>33.258658333333337</v>
      </c>
      <c r="F1116" s="4">
        <f t="shared" ca="1" si="95"/>
        <v>33.925341666666661</v>
      </c>
      <c r="G1116" s="4">
        <f t="shared" ca="1" si="95"/>
        <v>32.461433333333332</v>
      </c>
      <c r="H1116" s="4">
        <f t="shared" ca="1" si="95"/>
        <v>33.369791666666664</v>
      </c>
      <c r="I1116" s="4">
        <f t="shared" ca="1" si="95"/>
        <v>32.021633333333334</v>
      </c>
      <c r="J1116" s="4">
        <f t="shared" ca="1" si="95"/>
        <v>31.892950000000003</v>
      </c>
      <c r="K1116" s="4"/>
      <c r="L1116" s="5">
        <f t="shared" ca="1" si="96"/>
        <v>355.53689999999995</v>
      </c>
      <c r="M1116" s="5">
        <f t="shared" ca="1" si="96"/>
        <v>142.0401</v>
      </c>
      <c r="N1116" s="5">
        <f t="shared" ca="1" si="96"/>
        <v>58.217499999999994</v>
      </c>
      <c r="O1116" s="5">
        <f t="shared" ca="1" si="96"/>
        <v>4.4046000000000003</v>
      </c>
      <c r="P1116" s="5">
        <f t="shared" ca="1" si="96"/>
        <v>14.707600000000001</v>
      </c>
      <c r="Q1116" s="5">
        <f t="shared" ca="1" si="96"/>
        <v>231.81149999999997</v>
      </c>
      <c r="R1116" s="4"/>
      <c r="S1116" s="4"/>
    </row>
    <row r="1117" spans="1:19" ht="15" customHeight="1">
      <c r="A1117" s="3">
        <f t="shared" si="94"/>
        <v>2082</v>
      </c>
      <c r="B1117" s="4">
        <f t="shared" ref="B1117:J1126" ca="1" si="97">AVERAGE(OFFSET(B$581,($A1117-$A$1097)*12,0,12,1))</f>
        <v>34.333950000000002</v>
      </c>
      <c r="C1117" s="4">
        <f t="shared" ca="1" si="97"/>
        <v>34.340325</v>
      </c>
      <c r="D1117" s="4">
        <f t="shared" ca="1" si="97"/>
        <v>34.348641666666666</v>
      </c>
      <c r="E1117" s="4">
        <f t="shared" ca="1" si="97"/>
        <v>34.344958333333331</v>
      </c>
      <c r="F1117" s="4">
        <f t="shared" ca="1" si="97"/>
        <v>35.011641666666662</v>
      </c>
      <c r="G1117" s="4">
        <f t="shared" ca="1" si="97"/>
        <v>33.522424999999991</v>
      </c>
      <c r="H1117" s="4">
        <f t="shared" ca="1" si="97"/>
        <v>34.430758333333337</v>
      </c>
      <c r="I1117" s="4">
        <f t="shared" ca="1" si="97"/>
        <v>33.065116666666661</v>
      </c>
      <c r="J1117" s="4">
        <f t="shared" ca="1" si="97"/>
        <v>32.935916666666664</v>
      </c>
      <c r="K1117" s="4"/>
      <c r="L1117" s="5">
        <f t="shared" ref="L1117:Q1126" ca="1" si="98">SUM(OFFSET(L$581,($A1117-$A$1097)*12,0,12,1))</f>
        <v>355.53689999999995</v>
      </c>
      <c r="M1117" s="5">
        <f t="shared" ca="1" si="98"/>
        <v>142.0401</v>
      </c>
      <c r="N1117" s="5">
        <f t="shared" ca="1" si="98"/>
        <v>58.217499999999994</v>
      </c>
      <c r="O1117" s="5">
        <f t="shared" ca="1" si="98"/>
        <v>4.4046000000000003</v>
      </c>
      <c r="P1117" s="5">
        <f t="shared" ca="1" si="98"/>
        <v>14.707600000000001</v>
      </c>
      <c r="Q1117" s="5">
        <f t="shared" ca="1" si="98"/>
        <v>231.81149999999997</v>
      </c>
      <c r="R1117" s="4"/>
      <c r="S1117" s="4"/>
    </row>
    <row r="1118" spans="1:19" ht="15" customHeight="1">
      <c r="A1118" s="3">
        <f t="shared" si="94"/>
        <v>2083</v>
      </c>
      <c r="B1118" s="4">
        <f t="shared" ca="1" si="97"/>
        <v>35.455791666666663</v>
      </c>
      <c r="C1118" s="4">
        <f t="shared" ca="1" si="97"/>
        <v>35.462158333333328</v>
      </c>
      <c r="D1118" s="4">
        <f t="shared" ca="1" si="97"/>
        <v>35.470475</v>
      </c>
      <c r="E1118" s="4">
        <f t="shared" ca="1" si="97"/>
        <v>35.466799999999999</v>
      </c>
      <c r="F1118" s="4">
        <f t="shared" ca="1" si="97"/>
        <v>36.133466666666671</v>
      </c>
      <c r="G1118" s="4">
        <f t="shared" ca="1" si="97"/>
        <v>34.618116666666673</v>
      </c>
      <c r="H1118" s="4">
        <f t="shared" ca="1" si="97"/>
        <v>35.526475000000005</v>
      </c>
      <c r="I1118" s="4">
        <f t="shared" ca="1" si="97"/>
        <v>34.142699999999998</v>
      </c>
      <c r="J1118" s="4">
        <f t="shared" ca="1" si="97"/>
        <v>34.012966666666664</v>
      </c>
      <c r="K1118" s="4"/>
      <c r="L1118" s="5">
        <f t="shared" ca="1" si="98"/>
        <v>355.53689999999995</v>
      </c>
      <c r="M1118" s="5">
        <f t="shared" ca="1" si="98"/>
        <v>142.0401</v>
      </c>
      <c r="N1118" s="5">
        <f t="shared" ca="1" si="98"/>
        <v>58.217499999999994</v>
      </c>
      <c r="O1118" s="5">
        <f t="shared" ca="1" si="98"/>
        <v>4.4046000000000003</v>
      </c>
      <c r="P1118" s="5">
        <f t="shared" ca="1" si="98"/>
        <v>14.707600000000001</v>
      </c>
      <c r="Q1118" s="5">
        <f t="shared" ca="1" si="98"/>
        <v>231.81149999999997</v>
      </c>
      <c r="R1118" s="4"/>
      <c r="S1118" s="4"/>
    </row>
    <row r="1119" spans="1:19" ht="15" customHeight="1">
      <c r="A1119" s="3">
        <f t="shared" si="94"/>
        <v>2084</v>
      </c>
      <c r="B1119" s="4">
        <f t="shared" ca="1" si="97"/>
        <v>36.614291666666666</v>
      </c>
      <c r="C1119" s="4">
        <f t="shared" ca="1" si="97"/>
        <v>36.620658333333331</v>
      </c>
      <c r="D1119" s="4">
        <f t="shared" ca="1" si="97"/>
        <v>36.628983333333331</v>
      </c>
      <c r="E1119" s="4">
        <f t="shared" ca="1" si="97"/>
        <v>36.625300000000003</v>
      </c>
      <c r="F1119" s="4">
        <f t="shared" ca="1" si="97"/>
        <v>37.291983333333341</v>
      </c>
      <c r="G1119" s="4">
        <f t="shared" ca="1" si="97"/>
        <v>35.749641666666669</v>
      </c>
      <c r="H1119" s="4">
        <f t="shared" ca="1" si="97"/>
        <v>36.657983333333334</v>
      </c>
      <c r="I1119" s="4">
        <f t="shared" ca="1" si="97"/>
        <v>35.255550000000007</v>
      </c>
      <c r="J1119" s="4">
        <f t="shared" ca="1" si="97"/>
        <v>35.125258333333342</v>
      </c>
      <c r="K1119" s="4"/>
      <c r="L1119" s="5">
        <f t="shared" ca="1" si="98"/>
        <v>356.48229999999995</v>
      </c>
      <c r="M1119" s="5">
        <f t="shared" ca="1" si="98"/>
        <v>142.42920000000001</v>
      </c>
      <c r="N1119" s="5">
        <f t="shared" ca="1" si="98"/>
        <v>58.377000000000002</v>
      </c>
      <c r="O1119" s="5">
        <f t="shared" ca="1" si="98"/>
        <v>4.4165999999999999</v>
      </c>
      <c r="P1119" s="5">
        <f t="shared" ca="1" si="98"/>
        <v>14.7493</v>
      </c>
      <c r="Q1119" s="5">
        <f t="shared" ca="1" si="98"/>
        <v>232.44659999999996</v>
      </c>
      <c r="R1119" s="4"/>
      <c r="S1119" s="4"/>
    </row>
    <row r="1120" spans="1:19" ht="15" customHeight="1">
      <c r="A1120" s="3">
        <f t="shared" si="94"/>
        <v>2085</v>
      </c>
      <c r="B1120" s="4">
        <f t="shared" ca="1" si="97"/>
        <v>37.81068333333333</v>
      </c>
      <c r="C1120" s="4">
        <f t="shared" ca="1" si="97"/>
        <v>37.817058333333335</v>
      </c>
      <c r="D1120" s="4">
        <f t="shared" ca="1" si="97"/>
        <v>37.825383333333335</v>
      </c>
      <c r="E1120" s="4">
        <f t="shared" ca="1" si="97"/>
        <v>37.8217</v>
      </c>
      <c r="F1120" s="4">
        <f t="shared" ca="1" si="97"/>
        <v>38.488375000000005</v>
      </c>
      <c r="G1120" s="4">
        <f t="shared" ca="1" si="97"/>
        <v>36.918175000000005</v>
      </c>
      <c r="H1120" s="4">
        <f t="shared" ca="1" si="97"/>
        <v>37.826508333333337</v>
      </c>
      <c r="I1120" s="4">
        <f t="shared" ca="1" si="97"/>
        <v>36.404791666666668</v>
      </c>
      <c r="J1120" s="4">
        <f t="shared" ca="1" si="97"/>
        <v>36.273908333333338</v>
      </c>
      <c r="K1120" s="4"/>
      <c r="L1120" s="5">
        <f t="shared" ca="1" si="98"/>
        <v>355.53689999999995</v>
      </c>
      <c r="M1120" s="5">
        <f t="shared" ca="1" si="98"/>
        <v>142.0401</v>
      </c>
      <c r="N1120" s="5">
        <f t="shared" ca="1" si="98"/>
        <v>58.217499999999994</v>
      </c>
      <c r="O1120" s="5">
        <f t="shared" ca="1" si="98"/>
        <v>4.4046000000000003</v>
      </c>
      <c r="P1120" s="5">
        <f t="shared" ca="1" si="98"/>
        <v>14.707600000000001</v>
      </c>
      <c r="Q1120" s="5">
        <f t="shared" ca="1" si="98"/>
        <v>231.81149999999997</v>
      </c>
      <c r="R1120" s="4"/>
      <c r="S1120" s="4"/>
    </row>
    <row r="1121" spans="1:19" ht="15" customHeight="1">
      <c r="A1121" s="3">
        <f t="shared" si="94"/>
        <v>2086</v>
      </c>
      <c r="B1121" s="4">
        <f t="shared" ca="1" si="97"/>
        <v>39.046225</v>
      </c>
      <c r="C1121" s="4">
        <f t="shared" ca="1" si="97"/>
        <v>39.052599999999998</v>
      </c>
      <c r="D1121" s="4">
        <f t="shared" ca="1" si="97"/>
        <v>39.060900000000004</v>
      </c>
      <c r="E1121" s="4">
        <f t="shared" ca="1" si="97"/>
        <v>39.057216666666669</v>
      </c>
      <c r="F1121" s="4">
        <f t="shared" ca="1" si="97"/>
        <v>39.723925000000001</v>
      </c>
      <c r="G1121" s="4">
        <f t="shared" ca="1" si="97"/>
        <v>38.124924999999998</v>
      </c>
      <c r="H1121" s="4">
        <f t="shared" ca="1" si="97"/>
        <v>39.033258333333329</v>
      </c>
      <c r="I1121" s="4">
        <f t="shared" ca="1" si="97"/>
        <v>37.591608333333333</v>
      </c>
      <c r="J1121" s="4">
        <f t="shared" ca="1" si="97"/>
        <v>37.460141666666665</v>
      </c>
      <c r="K1121" s="4"/>
      <c r="L1121" s="5">
        <f t="shared" ca="1" si="98"/>
        <v>355.53689999999995</v>
      </c>
      <c r="M1121" s="5">
        <f t="shared" ca="1" si="98"/>
        <v>142.0401</v>
      </c>
      <c r="N1121" s="5">
        <f t="shared" ca="1" si="98"/>
        <v>58.217499999999994</v>
      </c>
      <c r="O1121" s="5">
        <f t="shared" ca="1" si="98"/>
        <v>4.4046000000000003</v>
      </c>
      <c r="P1121" s="5">
        <f t="shared" ca="1" si="98"/>
        <v>14.707600000000001</v>
      </c>
      <c r="Q1121" s="5">
        <f t="shared" ca="1" si="98"/>
        <v>231.81149999999997</v>
      </c>
      <c r="R1121" s="4"/>
      <c r="S1121" s="4"/>
    </row>
    <row r="1122" spans="1:19" ht="15" customHeight="1">
      <c r="A1122" s="3">
        <f t="shared" si="94"/>
        <v>2087</v>
      </c>
      <c r="B1122" s="4">
        <f t="shared" ca="1" si="97"/>
        <v>40.322158333333334</v>
      </c>
      <c r="C1122" s="4">
        <f t="shared" ca="1" si="97"/>
        <v>40.328525000000006</v>
      </c>
      <c r="D1122" s="4">
        <f t="shared" ca="1" si="97"/>
        <v>40.336833333333324</v>
      </c>
      <c r="E1122" s="4">
        <f t="shared" ca="1" si="97"/>
        <v>40.333149999999996</v>
      </c>
      <c r="F1122" s="4">
        <f t="shared" ca="1" si="97"/>
        <v>40.999833333333328</v>
      </c>
      <c r="G1122" s="4">
        <f t="shared" ca="1" si="97"/>
        <v>39.371125000000006</v>
      </c>
      <c r="H1122" s="4">
        <f t="shared" ca="1" si="97"/>
        <v>40.279466666666664</v>
      </c>
      <c r="I1122" s="4">
        <f t="shared" ca="1" si="97"/>
        <v>38.817241666666668</v>
      </c>
      <c r="J1122" s="4">
        <f t="shared" ca="1" si="97"/>
        <v>38.685174999999994</v>
      </c>
      <c r="K1122" s="4"/>
      <c r="L1122" s="5">
        <f t="shared" ca="1" si="98"/>
        <v>355.53689999999995</v>
      </c>
      <c r="M1122" s="5">
        <f t="shared" ca="1" si="98"/>
        <v>142.0401</v>
      </c>
      <c r="N1122" s="5">
        <f t="shared" ca="1" si="98"/>
        <v>58.217499999999994</v>
      </c>
      <c r="O1122" s="5">
        <f t="shared" ca="1" si="98"/>
        <v>4.4046000000000003</v>
      </c>
      <c r="P1122" s="5">
        <f t="shared" ca="1" si="98"/>
        <v>14.707600000000001</v>
      </c>
      <c r="Q1122" s="5">
        <f t="shared" ca="1" si="98"/>
        <v>231.81149999999997</v>
      </c>
      <c r="R1122" s="4"/>
      <c r="S1122" s="4"/>
    </row>
    <row r="1123" spans="1:19" ht="15" customHeight="1">
      <c r="A1123" s="3">
        <f t="shared" si="94"/>
        <v>2088</v>
      </c>
      <c r="B1123" s="4">
        <f t="shared" ca="1" si="97"/>
        <v>41.639824999999995</v>
      </c>
      <c r="C1123" s="4">
        <f t="shared" ca="1" si="97"/>
        <v>41.646183333333333</v>
      </c>
      <c r="D1123" s="4">
        <f t="shared" ca="1" si="97"/>
        <v>41.654516666666666</v>
      </c>
      <c r="E1123" s="4">
        <f t="shared" ca="1" si="97"/>
        <v>41.650833333333331</v>
      </c>
      <c r="F1123" s="4">
        <f t="shared" ca="1" si="97"/>
        <v>42.317524999999996</v>
      </c>
      <c r="G1123" s="4">
        <f t="shared" ca="1" si="97"/>
        <v>40.658091666666671</v>
      </c>
      <c r="H1123" s="4">
        <f t="shared" ca="1" si="97"/>
        <v>41.56644166666667</v>
      </c>
      <c r="I1123" s="4">
        <f t="shared" ca="1" si="97"/>
        <v>40.082966666666671</v>
      </c>
      <c r="J1123" s="4">
        <f t="shared" ca="1" si="97"/>
        <v>39.950258333333331</v>
      </c>
      <c r="K1123" s="4"/>
      <c r="L1123" s="5">
        <f t="shared" ca="1" si="98"/>
        <v>356.48229999999995</v>
      </c>
      <c r="M1123" s="5">
        <f t="shared" ca="1" si="98"/>
        <v>142.42920000000001</v>
      </c>
      <c r="N1123" s="5">
        <f t="shared" ca="1" si="98"/>
        <v>58.377000000000002</v>
      </c>
      <c r="O1123" s="5">
        <f t="shared" ca="1" si="98"/>
        <v>4.4165999999999999</v>
      </c>
      <c r="P1123" s="5">
        <f t="shared" ca="1" si="98"/>
        <v>14.7493</v>
      </c>
      <c r="Q1123" s="5">
        <f t="shared" ca="1" si="98"/>
        <v>232.44659999999996</v>
      </c>
      <c r="R1123" s="4"/>
      <c r="S1123" s="4"/>
    </row>
    <row r="1124" spans="1:19" ht="15" customHeight="1">
      <c r="A1124" s="3">
        <f t="shared" si="94"/>
        <v>2089</v>
      </c>
      <c r="B1124" s="4">
        <f t="shared" ca="1" si="97"/>
        <v>43.000574999999998</v>
      </c>
      <c r="C1124" s="4">
        <f t="shared" ca="1" si="97"/>
        <v>43.00694166666667</v>
      </c>
      <c r="D1124" s="4">
        <f t="shared" ca="1" si="97"/>
        <v>43.015258333333342</v>
      </c>
      <c r="E1124" s="4">
        <f t="shared" ca="1" si="97"/>
        <v>43.011575000000001</v>
      </c>
      <c r="F1124" s="4">
        <f t="shared" ca="1" si="97"/>
        <v>43.678266666666666</v>
      </c>
      <c r="G1124" s="4">
        <f t="shared" ca="1" si="97"/>
        <v>41.987150000000007</v>
      </c>
      <c r="H1124" s="4">
        <f t="shared" ca="1" si="97"/>
        <v>42.895499999999998</v>
      </c>
      <c r="I1124" s="4">
        <f t="shared" ca="1" si="97"/>
        <v>41.390066666666669</v>
      </c>
      <c r="J1124" s="4">
        <f t="shared" ca="1" si="97"/>
        <v>41.256725000000003</v>
      </c>
      <c r="K1124" s="4"/>
      <c r="L1124" s="5">
        <f t="shared" ca="1" si="98"/>
        <v>355.53689999999995</v>
      </c>
      <c r="M1124" s="5">
        <f t="shared" ca="1" si="98"/>
        <v>142.0401</v>
      </c>
      <c r="N1124" s="5">
        <f t="shared" ca="1" si="98"/>
        <v>58.217499999999994</v>
      </c>
      <c r="O1124" s="5">
        <f t="shared" ca="1" si="98"/>
        <v>4.4046000000000003</v>
      </c>
      <c r="P1124" s="5">
        <f t="shared" ca="1" si="98"/>
        <v>14.707600000000001</v>
      </c>
      <c r="Q1124" s="5">
        <f t="shared" ca="1" si="98"/>
        <v>231.81149999999997</v>
      </c>
      <c r="R1124" s="4"/>
      <c r="S1124" s="4"/>
    </row>
    <row r="1125" spans="1:19" ht="15" customHeight="1">
      <c r="A1125" s="3">
        <f t="shared" si="94"/>
        <v>2090</v>
      </c>
      <c r="B1125" s="4">
        <f t="shared" ca="1" si="97"/>
        <v>44.405825</v>
      </c>
      <c r="C1125" s="4">
        <f t="shared" ca="1" si="97"/>
        <v>44.412200000000006</v>
      </c>
      <c r="D1125" s="4">
        <f t="shared" ca="1" si="97"/>
        <v>44.420516666666664</v>
      </c>
      <c r="E1125" s="4">
        <f t="shared" ca="1" si="97"/>
        <v>44.416833333333329</v>
      </c>
      <c r="F1125" s="4">
        <f t="shared" ca="1" si="97"/>
        <v>45.083516666666668</v>
      </c>
      <c r="G1125" s="4">
        <f t="shared" ca="1" si="97"/>
        <v>43.359666666666669</v>
      </c>
      <c r="H1125" s="4">
        <f t="shared" ca="1" si="97"/>
        <v>44.268000000000001</v>
      </c>
      <c r="I1125" s="4">
        <f t="shared" ca="1" si="97"/>
        <v>42.73994166666666</v>
      </c>
      <c r="J1125" s="4">
        <f t="shared" ca="1" si="97"/>
        <v>42.605908333333339</v>
      </c>
      <c r="K1125" s="4"/>
      <c r="L1125" s="5">
        <f t="shared" ca="1" si="98"/>
        <v>355.53689999999995</v>
      </c>
      <c r="M1125" s="5">
        <f t="shared" ca="1" si="98"/>
        <v>142.0401</v>
      </c>
      <c r="N1125" s="5">
        <f t="shared" ca="1" si="98"/>
        <v>58.217499999999994</v>
      </c>
      <c r="O1125" s="5">
        <f t="shared" ca="1" si="98"/>
        <v>4.4046000000000003</v>
      </c>
      <c r="P1125" s="5">
        <f t="shared" ca="1" si="98"/>
        <v>14.707600000000001</v>
      </c>
      <c r="Q1125" s="5">
        <f t="shared" ca="1" si="98"/>
        <v>231.81149999999997</v>
      </c>
      <c r="R1125" s="4"/>
      <c r="S1125" s="4"/>
    </row>
    <row r="1126" spans="1:19" ht="15" customHeight="1">
      <c r="A1126" s="3">
        <f t="shared" si="94"/>
        <v>2091</v>
      </c>
      <c r="B1126" s="4">
        <f t="shared" ca="1" si="97"/>
        <v>45.857041666666653</v>
      </c>
      <c r="C1126" s="4">
        <f t="shared" ca="1" si="97"/>
        <v>45.863408333333332</v>
      </c>
      <c r="D1126" s="4">
        <f t="shared" ca="1" si="97"/>
        <v>45.871716666666664</v>
      </c>
      <c r="E1126" s="4">
        <f t="shared" ca="1" si="97"/>
        <v>45.868033333333329</v>
      </c>
      <c r="F1126" s="4">
        <f t="shared" ca="1" si="97"/>
        <v>46.534725000000009</v>
      </c>
      <c r="G1126" s="4">
        <f t="shared" ca="1" si="97"/>
        <v>44.777058333333336</v>
      </c>
      <c r="H1126" s="4">
        <f t="shared" ca="1" si="97"/>
        <v>45.685416666666669</v>
      </c>
      <c r="I1126" s="4">
        <f t="shared" ca="1" si="97"/>
        <v>44.133949999999999</v>
      </c>
      <c r="J1126" s="4">
        <f t="shared" ca="1" si="97"/>
        <v>43.999216666666676</v>
      </c>
      <c r="K1126" s="4"/>
      <c r="L1126" s="5">
        <f t="shared" ca="1" si="98"/>
        <v>355.53689999999995</v>
      </c>
      <c r="M1126" s="5">
        <f t="shared" ca="1" si="98"/>
        <v>142.0401</v>
      </c>
      <c r="N1126" s="5">
        <f t="shared" ca="1" si="98"/>
        <v>58.217499999999994</v>
      </c>
      <c r="O1126" s="5">
        <f t="shared" ca="1" si="98"/>
        <v>4.4046000000000003</v>
      </c>
      <c r="P1126" s="5">
        <f t="shared" ca="1" si="98"/>
        <v>14.707600000000001</v>
      </c>
      <c r="Q1126" s="5">
        <f t="shared" ca="1" si="98"/>
        <v>231.81149999999997</v>
      </c>
      <c r="R1126" s="4"/>
      <c r="S1126" s="4"/>
    </row>
    <row r="1127" spans="1:19" ht="15" customHeight="1">
      <c r="A1127" s="3">
        <f t="shared" si="94"/>
        <v>2092</v>
      </c>
      <c r="B1127" s="4">
        <f t="shared" ref="B1127:J1135" ca="1" si="99">AVERAGE(OFFSET(B$581,($A1127-$A$1097)*12,0,12,1))</f>
        <v>47.355716666666666</v>
      </c>
      <c r="C1127" s="4">
        <f t="shared" ca="1" si="99"/>
        <v>47.362075000000004</v>
      </c>
      <c r="D1127" s="4">
        <f t="shared" ca="1" si="99"/>
        <v>47.370391666666656</v>
      </c>
      <c r="E1127" s="4">
        <f t="shared" ca="1" si="99"/>
        <v>47.366708333333328</v>
      </c>
      <c r="F1127" s="4">
        <f t="shared" ca="1" si="99"/>
        <v>48.03339166666666</v>
      </c>
      <c r="G1127" s="4">
        <f t="shared" ca="1" si="99"/>
        <v>46.240816666666682</v>
      </c>
      <c r="H1127" s="4">
        <f t="shared" ca="1" si="99"/>
        <v>47.149174999999993</v>
      </c>
      <c r="I1127" s="4">
        <f t="shared" ca="1" si="99"/>
        <v>45.57353333333333</v>
      </c>
      <c r="J1127" s="4">
        <f t="shared" ca="1" si="99"/>
        <v>45.438091666666672</v>
      </c>
      <c r="K1127" s="4"/>
      <c r="L1127" s="5">
        <f t="shared" ref="L1127:Q1135" ca="1" si="100">SUM(OFFSET(L$581,($A1127-$A$1097)*12,0,12,1))</f>
        <v>356.48229999999995</v>
      </c>
      <c r="M1127" s="5">
        <f t="shared" ca="1" si="100"/>
        <v>142.42920000000001</v>
      </c>
      <c r="N1127" s="5">
        <f t="shared" ca="1" si="100"/>
        <v>58.377000000000002</v>
      </c>
      <c r="O1127" s="5">
        <f t="shared" ca="1" si="100"/>
        <v>4.4165999999999999</v>
      </c>
      <c r="P1127" s="5">
        <f t="shared" ca="1" si="100"/>
        <v>14.7493</v>
      </c>
      <c r="Q1127" s="5">
        <f t="shared" ca="1" si="100"/>
        <v>232.44659999999996</v>
      </c>
      <c r="R1127" s="4"/>
      <c r="S1127" s="4"/>
    </row>
    <row r="1128" spans="1:19" ht="15" customHeight="1">
      <c r="A1128" s="3">
        <f t="shared" si="94"/>
        <v>2093</v>
      </c>
      <c r="B1128" s="4">
        <f t="shared" ca="1" si="99"/>
        <v>48.903375000000004</v>
      </c>
      <c r="C1128" s="4">
        <f t="shared" ca="1" si="99"/>
        <v>48.909750000000003</v>
      </c>
      <c r="D1128" s="4">
        <f t="shared" ca="1" si="99"/>
        <v>48.918074999999995</v>
      </c>
      <c r="E1128" s="4">
        <f t="shared" ca="1" si="99"/>
        <v>48.914391666666667</v>
      </c>
      <c r="F1128" s="4">
        <f t="shared" ca="1" si="99"/>
        <v>49.581066666666665</v>
      </c>
      <c r="G1128" s="4">
        <f t="shared" ca="1" si="99"/>
        <v>47.75245833333333</v>
      </c>
      <c r="H1128" s="4">
        <f t="shared" ca="1" si="99"/>
        <v>48.660816666666676</v>
      </c>
      <c r="I1128" s="4">
        <f t="shared" ca="1" si="99"/>
        <v>47.060225000000003</v>
      </c>
      <c r="J1128" s="4">
        <f t="shared" ca="1" si="99"/>
        <v>46.92401666666666</v>
      </c>
      <c r="K1128" s="4"/>
      <c r="L1128" s="5">
        <f t="shared" ca="1" si="100"/>
        <v>355.53689999999995</v>
      </c>
      <c r="M1128" s="5">
        <f t="shared" ca="1" si="100"/>
        <v>142.0401</v>
      </c>
      <c r="N1128" s="5">
        <f t="shared" ca="1" si="100"/>
        <v>58.217499999999994</v>
      </c>
      <c r="O1128" s="5">
        <f t="shared" ca="1" si="100"/>
        <v>4.4046000000000003</v>
      </c>
      <c r="P1128" s="5">
        <f t="shared" ca="1" si="100"/>
        <v>14.707600000000001</v>
      </c>
      <c r="Q1128" s="5">
        <f t="shared" ca="1" si="100"/>
        <v>231.81149999999997</v>
      </c>
      <c r="R1128" s="4"/>
      <c r="S1128" s="4"/>
    </row>
    <row r="1129" spans="1:19" ht="15" customHeight="1">
      <c r="A1129" s="3">
        <f t="shared" si="94"/>
        <v>2094</v>
      </c>
      <c r="B1129" s="4">
        <f t="shared" ca="1" si="99"/>
        <v>50.501691666666659</v>
      </c>
      <c r="C1129" s="4">
        <f t="shared" ca="1" si="99"/>
        <v>50.508050000000004</v>
      </c>
      <c r="D1129" s="4">
        <f t="shared" ca="1" si="99"/>
        <v>50.51638333333333</v>
      </c>
      <c r="E1129" s="4">
        <f t="shared" ca="1" si="99"/>
        <v>50.512699999999995</v>
      </c>
      <c r="F1129" s="4">
        <f t="shared" ca="1" si="99"/>
        <v>51.179375</v>
      </c>
      <c r="G1129" s="4">
        <f t="shared" ca="1" si="99"/>
        <v>49.313516666666665</v>
      </c>
      <c r="H1129" s="4">
        <f t="shared" ca="1" si="99"/>
        <v>50.221875000000004</v>
      </c>
      <c r="I1129" s="4">
        <f t="shared" ca="1" si="99"/>
        <v>48.595508333333335</v>
      </c>
      <c r="J1129" s="4">
        <f t="shared" ca="1" si="99"/>
        <v>48.458541666666662</v>
      </c>
      <c r="K1129" s="4"/>
      <c r="L1129" s="5">
        <f t="shared" ca="1" si="100"/>
        <v>355.53689999999995</v>
      </c>
      <c r="M1129" s="5">
        <f t="shared" ca="1" si="100"/>
        <v>142.0401</v>
      </c>
      <c r="N1129" s="5">
        <f t="shared" ca="1" si="100"/>
        <v>58.217499999999994</v>
      </c>
      <c r="O1129" s="5">
        <f t="shared" ca="1" si="100"/>
        <v>4.4046000000000003</v>
      </c>
      <c r="P1129" s="5">
        <f t="shared" ca="1" si="100"/>
        <v>14.707600000000001</v>
      </c>
      <c r="Q1129" s="5">
        <f t="shared" ca="1" si="100"/>
        <v>231.81149999999997</v>
      </c>
      <c r="R1129" s="4"/>
      <c r="S1129" s="4"/>
    </row>
    <row r="1130" spans="1:19" ht="15" customHeight="1">
      <c r="A1130" s="3">
        <f t="shared" si="94"/>
        <v>2095</v>
      </c>
      <c r="B1130" s="4">
        <f t="shared" ca="1" si="99"/>
        <v>52.152250000000002</v>
      </c>
      <c r="C1130" s="4">
        <f t="shared" ca="1" si="99"/>
        <v>52.158616666666667</v>
      </c>
      <c r="D1130" s="4">
        <f t="shared" ca="1" si="99"/>
        <v>52.166933333333333</v>
      </c>
      <c r="E1130" s="4">
        <f t="shared" ca="1" si="99"/>
        <v>52.163250000000005</v>
      </c>
      <c r="F1130" s="4">
        <f t="shared" ca="1" si="99"/>
        <v>52.829941666666663</v>
      </c>
      <c r="G1130" s="4">
        <f t="shared" ca="1" si="99"/>
        <v>50.925624999999997</v>
      </c>
      <c r="H1130" s="4">
        <f t="shared" ca="1" si="99"/>
        <v>51.833974999999988</v>
      </c>
      <c r="I1130" s="4">
        <f t="shared" ca="1" si="99"/>
        <v>50.181008333333331</v>
      </c>
      <c r="J1130" s="4">
        <f t="shared" ca="1" si="99"/>
        <v>50.043266666666661</v>
      </c>
      <c r="K1130" s="4"/>
      <c r="L1130" s="5">
        <f t="shared" ca="1" si="100"/>
        <v>355.53689999999995</v>
      </c>
      <c r="M1130" s="5">
        <f t="shared" ca="1" si="100"/>
        <v>142.0401</v>
      </c>
      <c r="N1130" s="5">
        <f t="shared" ca="1" si="100"/>
        <v>58.217499999999994</v>
      </c>
      <c r="O1130" s="5">
        <f t="shared" ca="1" si="100"/>
        <v>4.4046000000000003</v>
      </c>
      <c r="P1130" s="5">
        <f t="shared" ca="1" si="100"/>
        <v>14.707600000000001</v>
      </c>
      <c r="Q1130" s="5">
        <f t="shared" ca="1" si="100"/>
        <v>231.81149999999997</v>
      </c>
      <c r="R1130" s="4"/>
      <c r="S1130" s="4"/>
    </row>
    <row r="1131" spans="1:19" ht="15" customHeight="1">
      <c r="A1131" s="3">
        <f t="shared" si="94"/>
        <v>2096</v>
      </c>
      <c r="B1131" s="4">
        <f t="shared" ca="1" si="99"/>
        <v>53.8568</v>
      </c>
      <c r="C1131" s="4">
        <f t="shared" ca="1" si="99"/>
        <v>53.863166666666665</v>
      </c>
      <c r="D1131" s="4">
        <f t="shared" ca="1" si="99"/>
        <v>53.871516666666672</v>
      </c>
      <c r="E1131" s="4">
        <f t="shared" ca="1" si="99"/>
        <v>53.867833333333323</v>
      </c>
      <c r="F1131" s="4">
        <f t="shared" ca="1" si="99"/>
        <v>54.534491666666668</v>
      </c>
      <c r="G1131" s="4">
        <f t="shared" ca="1" si="99"/>
        <v>52.590458333333338</v>
      </c>
      <c r="H1131" s="4">
        <f t="shared" ca="1" si="99"/>
        <v>53.49881666666667</v>
      </c>
      <c r="I1131" s="4">
        <f t="shared" ca="1" si="99"/>
        <v>51.818358333333329</v>
      </c>
      <c r="J1131" s="4">
        <f t="shared" ca="1" si="99"/>
        <v>51.679791666666667</v>
      </c>
      <c r="K1131" s="4"/>
      <c r="L1131" s="5">
        <f t="shared" ca="1" si="100"/>
        <v>356.48229999999995</v>
      </c>
      <c r="M1131" s="5">
        <f t="shared" ca="1" si="100"/>
        <v>142.42920000000001</v>
      </c>
      <c r="N1131" s="5">
        <f t="shared" ca="1" si="100"/>
        <v>58.377000000000002</v>
      </c>
      <c r="O1131" s="5">
        <f t="shared" ca="1" si="100"/>
        <v>4.4165999999999999</v>
      </c>
      <c r="P1131" s="5">
        <f t="shared" ca="1" si="100"/>
        <v>14.7493</v>
      </c>
      <c r="Q1131" s="5">
        <f t="shared" ca="1" si="100"/>
        <v>232.44659999999996</v>
      </c>
      <c r="R1131" s="4"/>
      <c r="S1131" s="4"/>
    </row>
    <row r="1132" spans="1:19" ht="15" customHeight="1">
      <c r="A1132" s="3">
        <f t="shared" si="94"/>
        <v>2097</v>
      </c>
      <c r="B1132" s="4">
        <f t="shared" ca="1" si="99"/>
        <v>55.617083333333333</v>
      </c>
      <c r="C1132" s="4">
        <f t="shared" ca="1" si="99"/>
        <v>55.623466666666666</v>
      </c>
      <c r="D1132" s="4">
        <f t="shared" ca="1" si="99"/>
        <v>55.631783333333324</v>
      </c>
      <c r="E1132" s="4">
        <f t="shared" ca="1" si="99"/>
        <v>55.628100000000011</v>
      </c>
      <c r="F1132" s="4">
        <f t="shared" ca="1" si="99"/>
        <v>56.294791666666669</v>
      </c>
      <c r="G1132" s="4">
        <f t="shared" ca="1" si="99"/>
        <v>54.309758333333342</v>
      </c>
      <c r="H1132" s="4">
        <f t="shared" ca="1" si="99"/>
        <v>55.218108333333326</v>
      </c>
      <c r="I1132" s="4">
        <f t="shared" ca="1" si="99"/>
        <v>53.509266666666662</v>
      </c>
      <c r="J1132" s="4">
        <f t="shared" ca="1" si="99"/>
        <v>53.369858333333333</v>
      </c>
      <c r="K1132" s="4"/>
      <c r="L1132" s="5">
        <f t="shared" ca="1" si="100"/>
        <v>355.53689999999995</v>
      </c>
      <c r="M1132" s="5">
        <f t="shared" ca="1" si="100"/>
        <v>142.0401</v>
      </c>
      <c r="N1132" s="5">
        <f t="shared" ca="1" si="100"/>
        <v>58.217499999999994</v>
      </c>
      <c r="O1132" s="5">
        <f t="shared" ca="1" si="100"/>
        <v>4.4046000000000003</v>
      </c>
      <c r="P1132" s="5">
        <f t="shared" ca="1" si="100"/>
        <v>14.707600000000001</v>
      </c>
      <c r="Q1132" s="5">
        <f t="shared" ca="1" si="100"/>
        <v>231.81149999999997</v>
      </c>
      <c r="R1132" s="4"/>
      <c r="S1132" s="4"/>
    </row>
    <row r="1133" spans="1:19" ht="15" customHeight="1">
      <c r="A1133" s="3">
        <f t="shared" si="94"/>
        <v>2098</v>
      </c>
      <c r="B1133" s="4">
        <f t="shared" ca="1" si="99"/>
        <v>57.434958333333327</v>
      </c>
      <c r="C1133" s="4">
        <f t="shared" ca="1" si="99"/>
        <v>57.441333333333326</v>
      </c>
      <c r="D1133" s="4">
        <f t="shared" ca="1" si="99"/>
        <v>57.449633333333331</v>
      </c>
      <c r="E1133" s="4">
        <f t="shared" ca="1" si="99"/>
        <v>57.445950000000011</v>
      </c>
      <c r="F1133" s="4">
        <f t="shared" ca="1" si="99"/>
        <v>58.112650000000002</v>
      </c>
      <c r="G1133" s="4">
        <f t="shared" ca="1" si="99"/>
        <v>56.085266666666662</v>
      </c>
      <c r="H1133" s="4">
        <f t="shared" ca="1" si="99"/>
        <v>56.993624999999987</v>
      </c>
      <c r="I1133" s="4">
        <f t="shared" ca="1" si="99"/>
        <v>55.255474999999997</v>
      </c>
      <c r="J1133" s="4">
        <f t="shared" ca="1" si="99"/>
        <v>55.115183333333334</v>
      </c>
      <c r="K1133" s="4"/>
      <c r="L1133" s="5">
        <f t="shared" ca="1" si="100"/>
        <v>355.53689999999995</v>
      </c>
      <c r="M1133" s="5">
        <f t="shared" ca="1" si="100"/>
        <v>142.0401</v>
      </c>
      <c r="N1133" s="5">
        <f t="shared" ca="1" si="100"/>
        <v>58.217499999999994</v>
      </c>
      <c r="O1133" s="5">
        <f t="shared" ca="1" si="100"/>
        <v>4.4046000000000003</v>
      </c>
      <c r="P1133" s="5">
        <f t="shared" ca="1" si="100"/>
        <v>14.707600000000001</v>
      </c>
      <c r="Q1133" s="5">
        <f t="shared" ca="1" si="100"/>
        <v>231.81149999999997</v>
      </c>
      <c r="R1133" s="4"/>
      <c r="S1133" s="4"/>
    </row>
    <row r="1134" spans="1:19" ht="15" customHeight="1">
      <c r="A1134" s="3">
        <f t="shared" si="94"/>
        <v>2099</v>
      </c>
      <c r="B1134" s="4">
        <f t="shared" ca="1" si="99"/>
        <v>59.312283333333333</v>
      </c>
      <c r="C1134" s="4">
        <f t="shared" ca="1" si="99"/>
        <v>59.318641666666672</v>
      </c>
      <c r="D1134" s="4">
        <f t="shared" ca="1" si="99"/>
        <v>59.326950000000004</v>
      </c>
      <c r="E1134" s="4">
        <f t="shared" ca="1" si="99"/>
        <v>59.323266666666676</v>
      </c>
      <c r="F1134" s="4">
        <f t="shared" ca="1" si="99"/>
        <v>59.989966666666668</v>
      </c>
      <c r="G1134" s="4">
        <f t="shared" ca="1" si="99"/>
        <v>57.918841666666673</v>
      </c>
      <c r="H1134" s="4">
        <f t="shared" ca="1" si="99"/>
        <v>58.827191666666671</v>
      </c>
      <c r="I1134" s="4">
        <f t="shared" ca="1" si="99"/>
        <v>57.058783333333331</v>
      </c>
      <c r="J1134" s="4">
        <f t="shared" ca="1" si="99"/>
        <v>56.917583333333333</v>
      </c>
      <c r="K1134" s="4"/>
      <c r="L1134" s="5">
        <f t="shared" ca="1" si="100"/>
        <v>355.53689999999995</v>
      </c>
      <c r="M1134" s="5">
        <f t="shared" ca="1" si="100"/>
        <v>142.0401</v>
      </c>
      <c r="N1134" s="5">
        <f t="shared" ca="1" si="100"/>
        <v>58.217499999999994</v>
      </c>
      <c r="O1134" s="5">
        <f t="shared" ca="1" si="100"/>
        <v>4.4046000000000003</v>
      </c>
      <c r="P1134" s="5">
        <f t="shared" ca="1" si="100"/>
        <v>14.707600000000001</v>
      </c>
      <c r="Q1134" s="5">
        <f t="shared" ca="1" si="100"/>
        <v>231.81149999999997</v>
      </c>
      <c r="R1134" s="4"/>
      <c r="S1134" s="4"/>
    </row>
    <row r="1135" spans="1:19" ht="15" customHeight="1">
      <c r="A1135" s="3">
        <f t="shared" si="94"/>
        <v>2100</v>
      </c>
      <c r="B1135" s="4">
        <f t="shared" ca="1" si="99"/>
        <v>61.250974999999983</v>
      </c>
      <c r="C1135" s="4">
        <f t="shared" ca="1" si="99"/>
        <v>61.257350000000002</v>
      </c>
      <c r="D1135" s="4">
        <f t="shared" ca="1" si="99"/>
        <v>61.265666666666675</v>
      </c>
      <c r="E1135" s="4">
        <f t="shared" ca="1" si="99"/>
        <v>61.261983333333319</v>
      </c>
      <c r="F1135" s="4">
        <f t="shared" ca="1" si="99"/>
        <v>61.928658333333338</v>
      </c>
      <c r="G1135" s="4">
        <f t="shared" ca="1" si="99"/>
        <v>59.812391666666663</v>
      </c>
      <c r="H1135" s="4">
        <f t="shared" ca="1" si="99"/>
        <v>60.720741666666676</v>
      </c>
      <c r="I1135" s="4">
        <f t="shared" ca="1" si="99"/>
        <v>58.921066666666654</v>
      </c>
      <c r="J1135" s="4">
        <f t="shared" ca="1" si="99"/>
        <v>58.778933333333335</v>
      </c>
      <c r="K1135" s="4"/>
      <c r="L1135" s="5">
        <f t="shared" ca="1" si="100"/>
        <v>355.53689999999995</v>
      </c>
      <c r="M1135" s="5">
        <f t="shared" ca="1" si="100"/>
        <v>142.0401</v>
      </c>
      <c r="N1135" s="5">
        <f t="shared" ca="1" si="100"/>
        <v>58.217499999999994</v>
      </c>
      <c r="O1135" s="5">
        <f t="shared" ca="1" si="100"/>
        <v>4.4046000000000003</v>
      </c>
      <c r="P1135" s="5">
        <f t="shared" ca="1" si="100"/>
        <v>14.707600000000001</v>
      </c>
      <c r="Q1135" s="5">
        <f t="shared" ca="1" si="100"/>
        <v>231.81149999999997</v>
      </c>
      <c r="R1135" s="4"/>
      <c r="S1135" s="4"/>
    </row>
    <row r="1136" spans="1:19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</sheetData>
  <mergeCells count="2">
    <mergeCell ref="L13:S13"/>
    <mergeCell ref="L14:S14"/>
  </mergeCells>
  <pageMargins left="0.25" right="0.25" top="0.5" bottom="0.5" header="0.25" footer="0.25"/>
  <pageSetup paperSize="119" scale="90" orientation="landscape" horizontalDpi="1200" verticalDpi="1200" r:id="rId1"/>
  <headerFooter alignWithMargins="0">
    <oddFooter xml:space="preserve">&amp;R&amp;A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3</xdr:col>
                    <xdr:colOff>0</xdr:colOff>
                    <xdr:row>11</xdr:row>
                    <xdr:rowOff>171450</xdr:rowOff>
                  </from>
                  <to>
                    <xdr:col>4</xdr:col>
                    <xdr:colOff>533400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locked="0" defaultSize="0" autoLine="0" autoPict="0">
                <anchor moveWithCells="1">
                  <from>
                    <xdr:col>4</xdr:col>
                    <xdr:colOff>533400</xdr:colOff>
                    <xdr:row>11</xdr:row>
                    <xdr:rowOff>171450</xdr:rowOff>
                  </from>
                  <to>
                    <xdr:col>6</xdr:col>
                    <xdr:colOff>257175</xdr:colOff>
                    <xdr:row>13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T1155"/>
  <sheetViews>
    <sheetView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B17" sqref="B17"/>
    </sheetView>
  </sheetViews>
  <sheetFormatPr defaultColWidth="7.109375" defaultRowHeight="12.75"/>
  <cols>
    <col min="1" max="1" width="7.5546875" style="33" bestFit="1" customWidth="1"/>
    <col min="2" max="2" width="7.88671875" style="33" customWidth="1"/>
    <col min="3" max="7" width="11.33203125" style="32" customWidth="1"/>
    <col min="8" max="8" width="12.77734375" style="32" bestFit="1" customWidth="1"/>
    <col min="9" max="9" width="13.21875" style="32" customWidth="1"/>
    <col min="10" max="10" width="12.77734375" style="32" customWidth="1"/>
    <col min="11" max="11" width="7.77734375" style="32" customWidth="1"/>
    <col min="12" max="16384" width="7.109375" style="32"/>
  </cols>
  <sheetData>
    <row r="1" spans="1:10" ht="15.75">
      <c r="A1" s="84" t="s">
        <v>64</v>
      </c>
    </row>
    <row r="2" spans="1:10" ht="15.75">
      <c r="A2" s="84" t="s">
        <v>65</v>
      </c>
    </row>
    <row r="3" spans="1:10" ht="15.75">
      <c r="A3" s="84" t="s">
        <v>66</v>
      </c>
    </row>
    <row r="4" spans="1:10" ht="15.75">
      <c r="A4" s="84" t="s">
        <v>67</v>
      </c>
    </row>
    <row r="5" spans="1:10" ht="15.75">
      <c r="A5" s="84" t="s">
        <v>69</v>
      </c>
    </row>
    <row r="6" spans="1:10" ht="15.75">
      <c r="A6" s="84" t="s">
        <v>70</v>
      </c>
    </row>
    <row r="8" spans="1:10" ht="20.25">
      <c r="A8" s="31" t="s">
        <v>35</v>
      </c>
    </row>
    <row r="9" spans="1:10" ht="15.75">
      <c r="A9" s="30" t="s">
        <v>25</v>
      </c>
    </row>
    <row r="11" spans="1:10">
      <c r="A11" s="32"/>
    </row>
    <row r="12" spans="1:10" ht="15.75">
      <c r="A12" s="32"/>
      <c r="B12" s="30"/>
      <c r="C12" s="53"/>
      <c r="I12" s="24"/>
    </row>
    <row r="13" spans="1:10" ht="15.75">
      <c r="A13" s="30"/>
      <c r="B13" s="30"/>
      <c r="C13" s="53"/>
      <c r="I13" s="24"/>
    </row>
    <row r="14" spans="1:10" ht="15.75">
      <c r="A14" s="30"/>
      <c r="C14" s="86" t="s">
        <v>34</v>
      </c>
      <c r="D14" s="86"/>
      <c r="E14" s="86"/>
      <c r="F14" s="52"/>
      <c r="G14" s="51"/>
      <c r="H14" s="50"/>
      <c r="I14" s="49"/>
    </row>
    <row r="15" spans="1:10" ht="97.9" customHeight="1">
      <c r="A15" s="18"/>
      <c r="B15" s="18"/>
      <c r="C15" s="21" t="s">
        <v>20</v>
      </c>
      <c r="D15" s="48" t="s">
        <v>19</v>
      </c>
      <c r="E15" s="21" t="s">
        <v>33</v>
      </c>
      <c r="F15" s="21" t="s">
        <v>32</v>
      </c>
      <c r="G15" s="21" t="s">
        <v>16</v>
      </c>
      <c r="H15" s="47" t="s">
        <v>31</v>
      </c>
      <c r="I15" s="21" t="s">
        <v>30</v>
      </c>
      <c r="J15" s="21" t="s">
        <v>29</v>
      </c>
    </row>
    <row r="16" spans="1:10" ht="15.75">
      <c r="A16" s="20" t="s">
        <v>2</v>
      </c>
      <c r="B16" s="20" t="s">
        <v>28</v>
      </c>
      <c r="C16" s="20" t="s">
        <v>27</v>
      </c>
      <c r="D16" s="20" t="s">
        <v>27</v>
      </c>
      <c r="E16" s="20" t="s">
        <v>27</v>
      </c>
      <c r="F16" s="20" t="s">
        <v>27</v>
      </c>
      <c r="G16" s="20" t="s">
        <v>27</v>
      </c>
      <c r="H16" s="46" t="s">
        <v>27</v>
      </c>
      <c r="I16" s="20" t="s">
        <v>27</v>
      </c>
      <c r="J16" s="20" t="s">
        <v>27</v>
      </c>
    </row>
    <row r="17" spans="1:20" ht="15.75">
      <c r="A17" s="13">
        <v>42005</v>
      </c>
      <c r="B17" s="44">
        <v>31</v>
      </c>
      <c r="C17" s="35">
        <v>122.58</v>
      </c>
      <c r="D17" s="35">
        <v>297.94099999999997</v>
      </c>
      <c r="E17" s="41">
        <v>729.47900000000004</v>
      </c>
      <c r="F17" s="35">
        <v>1150</v>
      </c>
      <c r="G17" s="35">
        <v>100</v>
      </c>
      <c r="H17" s="43"/>
      <c r="I17" s="35">
        <v>695</v>
      </c>
      <c r="J17" s="35">
        <v>50</v>
      </c>
      <c r="K17" s="36"/>
      <c r="L17" s="45"/>
      <c r="M17" s="36"/>
      <c r="N17" s="36"/>
      <c r="O17" s="36"/>
      <c r="P17" s="36"/>
      <c r="Q17" s="36"/>
      <c r="R17" s="36"/>
      <c r="S17" s="36"/>
      <c r="T17" s="36"/>
    </row>
    <row r="18" spans="1:20" ht="15.75">
      <c r="A18" s="13">
        <v>42036</v>
      </c>
      <c r="B18" s="44">
        <v>28</v>
      </c>
      <c r="C18" s="35">
        <v>122.58</v>
      </c>
      <c r="D18" s="35">
        <v>297.94099999999997</v>
      </c>
      <c r="E18" s="41">
        <v>729.47900000000004</v>
      </c>
      <c r="F18" s="35">
        <v>1150</v>
      </c>
      <c r="G18" s="35">
        <v>100</v>
      </c>
      <c r="H18" s="43"/>
      <c r="I18" s="35">
        <v>695</v>
      </c>
      <c r="J18" s="35">
        <v>50</v>
      </c>
      <c r="K18" s="36"/>
      <c r="L18" s="45"/>
      <c r="M18" s="36"/>
      <c r="N18" s="36"/>
      <c r="O18" s="36"/>
      <c r="P18" s="36"/>
      <c r="Q18" s="36"/>
      <c r="R18" s="36"/>
      <c r="S18" s="36"/>
      <c r="T18" s="36"/>
    </row>
    <row r="19" spans="1:20" ht="15.75">
      <c r="A19" s="13">
        <v>42064</v>
      </c>
      <c r="B19" s="44">
        <v>31</v>
      </c>
      <c r="C19" s="35">
        <v>122.58</v>
      </c>
      <c r="D19" s="35">
        <v>297.94099999999997</v>
      </c>
      <c r="E19" s="41">
        <v>729.47900000000004</v>
      </c>
      <c r="F19" s="35">
        <v>1150</v>
      </c>
      <c r="G19" s="35">
        <v>100</v>
      </c>
      <c r="H19" s="43"/>
      <c r="I19" s="35">
        <v>695</v>
      </c>
      <c r="J19" s="35">
        <v>50</v>
      </c>
      <c r="K19" s="36"/>
      <c r="L19" s="45"/>
      <c r="M19" s="36"/>
      <c r="N19" s="36"/>
      <c r="O19" s="36"/>
      <c r="P19" s="36"/>
      <c r="Q19" s="36"/>
      <c r="R19" s="36"/>
      <c r="S19" s="36"/>
      <c r="T19" s="36"/>
    </row>
    <row r="20" spans="1:20" ht="15.75">
      <c r="A20" s="13">
        <v>42095</v>
      </c>
      <c r="B20" s="44">
        <v>30</v>
      </c>
      <c r="C20" s="35">
        <v>141.29300000000001</v>
      </c>
      <c r="D20" s="35">
        <v>267.99299999999999</v>
      </c>
      <c r="E20" s="41">
        <v>829.71400000000006</v>
      </c>
      <c r="F20" s="35">
        <v>1239</v>
      </c>
      <c r="G20" s="35">
        <v>100</v>
      </c>
      <c r="H20" s="43"/>
      <c r="I20" s="35">
        <v>695</v>
      </c>
      <c r="J20" s="35">
        <v>50</v>
      </c>
      <c r="K20" s="36"/>
      <c r="L20" s="45"/>
      <c r="M20" s="36"/>
      <c r="N20" s="36"/>
      <c r="O20" s="36"/>
      <c r="P20" s="36"/>
      <c r="Q20" s="36"/>
      <c r="R20" s="36"/>
      <c r="S20" s="36"/>
      <c r="T20" s="36"/>
    </row>
    <row r="21" spans="1:20" ht="15.75">
      <c r="A21" s="13">
        <v>42125</v>
      </c>
      <c r="B21" s="44">
        <v>31</v>
      </c>
      <c r="C21" s="35">
        <v>194.20500000000001</v>
      </c>
      <c r="D21" s="35">
        <v>267.46600000000001</v>
      </c>
      <c r="E21" s="41">
        <v>912.32899999999995</v>
      </c>
      <c r="F21" s="35">
        <v>1374</v>
      </c>
      <c r="G21" s="35">
        <v>75</v>
      </c>
      <c r="H21" s="43"/>
      <c r="I21" s="35">
        <v>695</v>
      </c>
      <c r="J21" s="35">
        <v>50</v>
      </c>
      <c r="K21" s="36"/>
      <c r="L21" s="45"/>
      <c r="M21" s="36"/>
      <c r="N21" s="36"/>
      <c r="O21" s="36"/>
      <c r="P21" s="36"/>
      <c r="Q21" s="36"/>
      <c r="R21" s="36"/>
      <c r="S21" s="36"/>
      <c r="T21" s="36"/>
    </row>
    <row r="22" spans="1:20" ht="15.75">
      <c r="A22" s="13">
        <v>42156</v>
      </c>
      <c r="B22" s="44">
        <v>30</v>
      </c>
      <c r="C22" s="35">
        <v>194.20500000000001</v>
      </c>
      <c r="D22" s="35">
        <v>267.46600000000001</v>
      </c>
      <c r="E22" s="41">
        <v>912.32899999999995</v>
      </c>
      <c r="F22" s="35">
        <v>1374</v>
      </c>
      <c r="G22" s="35">
        <v>50</v>
      </c>
      <c r="H22" s="43"/>
      <c r="I22" s="35">
        <v>695</v>
      </c>
      <c r="J22" s="35">
        <v>50</v>
      </c>
      <c r="K22" s="36"/>
      <c r="L22" s="45"/>
      <c r="M22" s="36"/>
      <c r="N22" s="36"/>
      <c r="O22" s="36"/>
      <c r="P22" s="36"/>
      <c r="Q22" s="36"/>
      <c r="R22" s="36"/>
      <c r="S22" s="36"/>
      <c r="T22" s="36"/>
    </row>
    <row r="23" spans="1:20" ht="15.75">
      <c r="A23" s="13">
        <v>42186</v>
      </c>
      <c r="B23" s="44">
        <v>31</v>
      </c>
      <c r="C23" s="35">
        <v>194.20500000000001</v>
      </c>
      <c r="D23" s="35">
        <v>267.46600000000001</v>
      </c>
      <c r="E23" s="41">
        <v>912.32899999999995</v>
      </c>
      <c r="F23" s="35">
        <v>1374</v>
      </c>
      <c r="G23" s="35">
        <v>50</v>
      </c>
      <c r="H23" s="43"/>
      <c r="I23" s="35">
        <v>695</v>
      </c>
      <c r="J23" s="35">
        <v>0</v>
      </c>
      <c r="K23" s="36"/>
      <c r="L23" s="45"/>
      <c r="M23" s="36"/>
      <c r="N23" s="36"/>
      <c r="O23" s="36"/>
      <c r="P23" s="36"/>
      <c r="Q23" s="36"/>
      <c r="R23" s="36"/>
      <c r="S23" s="36"/>
      <c r="T23" s="36"/>
    </row>
    <row r="24" spans="1:20" ht="15.75">
      <c r="A24" s="13">
        <v>42217</v>
      </c>
      <c r="B24" s="44">
        <v>31</v>
      </c>
      <c r="C24" s="35">
        <v>194.20500000000001</v>
      </c>
      <c r="D24" s="35">
        <v>267.46600000000001</v>
      </c>
      <c r="E24" s="41">
        <v>912.32899999999995</v>
      </c>
      <c r="F24" s="35">
        <v>1374</v>
      </c>
      <c r="G24" s="35">
        <v>50</v>
      </c>
      <c r="H24" s="43"/>
      <c r="I24" s="35">
        <v>695</v>
      </c>
      <c r="J24" s="35">
        <v>0</v>
      </c>
      <c r="K24" s="36"/>
      <c r="L24" s="45"/>
      <c r="M24" s="36"/>
      <c r="N24" s="36"/>
      <c r="O24" s="36"/>
      <c r="P24" s="36"/>
      <c r="Q24" s="36"/>
      <c r="R24" s="36"/>
      <c r="S24" s="36"/>
      <c r="T24" s="36"/>
    </row>
    <row r="25" spans="1:20" ht="15.75">
      <c r="A25" s="13">
        <v>42248</v>
      </c>
      <c r="B25" s="44">
        <v>30</v>
      </c>
      <c r="C25" s="35">
        <v>194.20500000000001</v>
      </c>
      <c r="D25" s="35">
        <v>267.46600000000001</v>
      </c>
      <c r="E25" s="41">
        <v>912.32899999999995</v>
      </c>
      <c r="F25" s="35">
        <v>1374</v>
      </c>
      <c r="G25" s="35">
        <v>50</v>
      </c>
      <c r="H25" s="43"/>
      <c r="I25" s="35">
        <v>695</v>
      </c>
      <c r="J25" s="35">
        <v>0</v>
      </c>
      <c r="K25" s="36"/>
      <c r="L25" s="45"/>
      <c r="M25" s="36"/>
      <c r="N25" s="36"/>
      <c r="O25" s="36"/>
      <c r="P25" s="36"/>
      <c r="Q25" s="36"/>
      <c r="R25" s="36"/>
      <c r="S25" s="36"/>
      <c r="T25" s="36"/>
    </row>
    <row r="26" spans="1:20" ht="15.75">
      <c r="A26" s="13">
        <v>42278</v>
      </c>
      <c r="B26" s="44">
        <v>31</v>
      </c>
      <c r="C26" s="35">
        <v>131.881</v>
      </c>
      <c r="D26" s="35">
        <v>277.16699999999997</v>
      </c>
      <c r="E26" s="41">
        <v>829.952</v>
      </c>
      <c r="F26" s="35">
        <v>1239</v>
      </c>
      <c r="G26" s="35">
        <v>75</v>
      </c>
      <c r="H26" s="43"/>
      <c r="I26" s="35">
        <v>695</v>
      </c>
      <c r="J26" s="35">
        <v>0</v>
      </c>
      <c r="K26" s="36"/>
      <c r="L26" s="45"/>
      <c r="M26" s="36"/>
      <c r="N26" s="36"/>
      <c r="O26" s="36"/>
      <c r="P26" s="36"/>
      <c r="Q26" s="36"/>
      <c r="R26" s="36"/>
      <c r="S26" s="36"/>
      <c r="T26" s="36"/>
    </row>
    <row r="27" spans="1:20" ht="15.75">
      <c r="A27" s="13">
        <v>42309</v>
      </c>
      <c r="B27" s="44">
        <v>30</v>
      </c>
      <c r="C27" s="35">
        <v>122.58</v>
      </c>
      <c r="D27" s="35">
        <v>297.94099999999997</v>
      </c>
      <c r="E27" s="41">
        <v>729.47900000000004</v>
      </c>
      <c r="F27" s="35">
        <v>1150</v>
      </c>
      <c r="G27" s="35">
        <v>100</v>
      </c>
      <c r="H27" s="43"/>
      <c r="I27" s="35">
        <v>695</v>
      </c>
      <c r="J27" s="35">
        <v>50</v>
      </c>
      <c r="K27" s="36"/>
      <c r="L27" s="45"/>
      <c r="M27" s="36"/>
      <c r="N27" s="36"/>
      <c r="O27" s="36"/>
      <c r="P27" s="36"/>
      <c r="Q27" s="36"/>
      <c r="R27" s="36"/>
      <c r="S27" s="36"/>
      <c r="T27" s="36"/>
    </row>
    <row r="28" spans="1:20" ht="15.75">
      <c r="A28" s="13">
        <v>42339</v>
      </c>
      <c r="B28" s="44">
        <v>31</v>
      </c>
      <c r="C28" s="35">
        <v>122.58</v>
      </c>
      <c r="D28" s="35">
        <v>297.94099999999997</v>
      </c>
      <c r="E28" s="41">
        <v>729.47900000000004</v>
      </c>
      <c r="F28" s="35">
        <v>1150</v>
      </c>
      <c r="G28" s="35">
        <v>100</v>
      </c>
      <c r="H28" s="43"/>
      <c r="I28" s="35">
        <v>695</v>
      </c>
      <c r="J28" s="35">
        <v>50</v>
      </c>
      <c r="K28" s="36"/>
      <c r="L28" s="45"/>
      <c r="M28" s="36"/>
      <c r="N28" s="36"/>
      <c r="O28" s="36"/>
      <c r="P28" s="36"/>
      <c r="Q28" s="36"/>
      <c r="R28" s="36"/>
      <c r="S28" s="36"/>
      <c r="T28" s="36"/>
    </row>
    <row r="29" spans="1:20" ht="15.75">
      <c r="A29" s="13">
        <v>42370</v>
      </c>
      <c r="B29" s="44">
        <v>31</v>
      </c>
      <c r="C29" s="35">
        <v>122.58</v>
      </c>
      <c r="D29" s="35">
        <v>297.94099999999997</v>
      </c>
      <c r="E29" s="41">
        <v>729.47900000000004</v>
      </c>
      <c r="F29" s="35">
        <v>1150</v>
      </c>
      <c r="G29" s="35">
        <v>100</v>
      </c>
      <c r="H29" s="43"/>
      <c r="I29" s="35">
        <v>695</v>
      </c>
      <c r="J29" s="35">
        <v>50</v>
      </c>
      <c r="K29" s="36"/>
      <c r="L29" s="45"/>
      <c r="M29" s="36"/>
      <c r="N29" s="36"/>
      <c r="O29" s="36"/>
      <c r="P29" s="36"/>
      <c r="Q29" s="36"/>
      <c r="R29" s="36"/>
      <c r="S29" s="36"/>
      <c r="T29" s="36"/>
    </row>
    <row r="30" spans="1:20" ht="15.75">
      <c r="A30" s="13">
        <v>42401</v>
      </c>
      <c r="B30" s="44">
        <v>29</v>
      </c>
      <c r="C30" s="35">
        <v>122.58</v>
      </c>
      <c r="D30" s="35">
        <v>297.94099999999997</v>
      </c>
      <c r="E30" s="41">
        <v>729.47900000000004</v>
      </c>
      <c r="F30" s="35">
        <v>1150</v>
      </c>
      <c r="G30" s="35">
        <v>100</v>
      </c>
      <c r="H30" s="43"/>
      <c r="I30" s="35">
        <v>695</v>
      </c>
      <c r="J30" s="35">
        <v>50</v>
      </c>
      <c r="K30" s="36"/>
      <c r="L30" s="45"/>
      <c r="M30" s="36"/>
      <c r="N30" s="36"/>
      <c r="O30" s="36"/>
      <c r="P30" s="36"/>
      <c r="Q30" s="36"/>
      <c r="R30" s="36"/>
      <c r="S30" s="36"/>
      <c r="T30" s="36"/>
    </row>
    <row r="31" spans="1:20" ht="15.75">
      <c r="A31" s="13">
        <v>42430</v>
      </c>
      <c r="B31" s="44">
        <v>31</v>
      </c>
      <c r="C31" s="35">
        <v>122.58</v>
      </c>
      <c r="D31" s="35">
        <v>297.94099999999997</v>
      </c>
      <c r="E31" s="41">
        <v>729.47900000000004</v>
      </c>
      <c r="F31" s="35">
        <v>1150</v>
      </c>
      <c r="G31" s="35">
        <v>100</v>
      </c>
      <c r="H31" s="43"/>
      <c r="I31" s="35">
        <v>695</v>
      </c>
      <c r="J31" s="35">
        <v>50</v>
      </c>
      <c r="K31" s="36"/>
      <c r="L31" s="45"/>
      <c r="M31" s="36"/>
      <c r="N31" s="36"/>
      <c r="O31" s="36"/>
      <c r="P31" s="36"/>
      <c r="Q31" s="36"/>
      <c r="R31" s="36"/>
      <c r="S31" s="36"/>
      <c r="T31" s="36"/>
    </row>
    <row r="32" spans="1:20" ht="15.75">
      <c r="A32" s="13">
        <v>42461</v>
      </c>
      <c r="B32" s="44">
        <v>30</v>
      </c>
      <c r="C32" s="35">
        <v>141.29300000000001</v>
      </c>
      <c r="D32" s="35">
        <v>267.99299999999999</v>
      </c>
      <c r="E32" s="41">
        <v>829.71400000000006</v>
      </c>
      <c r="F32" s="35">
        <v>1239</v>
      </c>
      <c r="G32" s="35">
        <v>100</v>
      </c>
      <c r="H32" s="43"/>
      <c r="I32" s="35">
        <v>695</v>
      </c>
      <c r="J32" s="35">
        <v>50</v>
      </c>
      <c r="K32" s="36"/>
      <c r="L32" s="45"/>
      <c r="M32" s="36"/>
      <c r="N32" s="36"/>
      <c r="O32" s="36"/>
      <c r="P32" s="36"/>
      <c r="Q32" s="36"/>
      <c r="R32" s="36"/>
      <c r="S32" s="36"/>
      <c r="T32" s="36"/>
    </row>
    <row r="33" spans="1:20" ht="15.75">
      <c r="A33" s="13">
        <v>42491</v>
      </c>
      <c r="B33" s="44">
        <v>31</v>
      </c>
      <c r="C33" s="35">
        <v>194.20500000000001</v>
      </c>
      <c r="D33" s="35">
        <v>267.46600000000001</v>
      </c>
      <c r="E33" s="41">
        <v>912.32899999999995</v>
      </c>
      <c r="F33" s="35">
        <v>1374</v>
      </c>
      <c r="G33" s="35">
        <v>75</v>
      </c>
      <c r="H33" s="43"/>
      <c r="I33" s="35">
        <v>695</v>
      </c>
      <c r="J33" s="35">
        <v>50</v>
      </c>
      <c r="K33" s="36"/>
      <c r="L33" s="45"/>
      <c r="M33" s="36"/>
      <c r="N33" s="36"/>
      <c r="O33" s="36"/>
      <c r="P33" s="36"/>
      <c r="Q33" s="36"/>
      <c r="R33" s="36"/>
      <c r="S33" s="36"/>
      <c r="T33" s="36"/>
    </row>
    <row r="34" spans="1:20" ht="15.75">
      <c r="A34" s="13">
        <v>42522</v>
      </c>
      <c r="B34" s="44">
        <v>30</v>
      </c>
      <c r="C34" s="35">
        <v>194.20500000000001</v>
      </c>
      <c r="D34" s="35">
        <v>267.46600000000001</v>
      </c>
      <c r="E34" s="41">
        <v>912.32899999999995</v>
      </c>
      <c r="F34" s="35">
        <v>1374</v>
      </c>
      <c r="G34" s="35">
        <v>50</v>
      </c>
      <c r="H34" s="43"/>
      <c r="I34" s="35">
        <v>695</v>
      </c>
      <c r="J34" s="35">
        <v>50</v>
      </c>
      <c r="K34" s="36"/>
      <c r="L34" s="45"/>
      <c r="M34" s="36"/>
      <c r="N34" s="36"/>
      <c r="O34" s="36"/>
      <c r="P34" s="36"/>
      <c r="Q34" s="36"/>
      <c r="R34" s="36"/>
      <c r="S34" s="36"/>
      <c r="T34" s="36"/>
    </row>
    <row r="35" spans="1:20" ht="15.75">
      <c r="A35" s="13">
        <v>42552</v>
      </c>
      <c r="B35" s="44">
        <v>31</v>
      </c>
      <c r="C35" s="35">
        <v>194.20500000000001</v>
      </c>
      <c r="D35" s="35">
        <v>267.46600000000001</v>
      </c>
      <c r="E35" s="41">
        <v>912.32899999999995</v>
      </c>
      <c r="F35" s="35">
        <v>1374</v>
      </c>
      <c r="G35" s="35">
        <v>50</v>
      </c>
      <c r="H35" s="43"/>
      <c r="I35" s="35">
        <v>695</v>
      </c>
      <c r="J35" s="35">
        <v>0</v>
      </c>
      <c r="K35" s="36"/>
      <c r="L35" s="45"/>
      <c r="M35" s="36"/>
      <c r="N35" s="36"/>
      <c r="O35" s="36"/>
      <c r="P35" s="36"/>
      <c r="Q35" s="36"/>
      <c r="R35" s="36"/>
      <c r="S35" s="36"/>
      <c r="T35" s="36"/>
    </row>
    <row r="36" spans="1:20" ht="15.75">
      <c r="A36" s="13">
        <v>42583</v>
      </c>
      <c r="B36" s="44">
        <v>31</v>
      </c>
      <c r="C36" s="35">
        <v>194.20500000000001</v>
      </c>
      <c r="D36" s="35">
        <v>267.46600000000001</v>
      </c>
      <c r="E36" s="41">
        <v>912.32899999999995</v>
      </c>
      <c r="F36" s="35">
        <v>1374</v>
      </c>
      <c r="G36" s="35">
        <v>50</v>
      </c>
      <c r="H36" s="43"/>
      <c r="I36" s="35">
        <v>695</v>
      </c>
      <c r="J36" s="35">
        <v>0</v>
      </c>
      <c r="K36" s="36"/>
      <c r="L36" s="45"/>
      <c r="M36" s="36"/>
      <c r="N36" s="36"/>
      <c r="O36" s="36"/>
      <c r="P36" s="36"/>
      <c r="Q36" s="36"/>
      <c r="R36" s="36"/>
      <c r="S36" s="36"/>
      <c r="T36" s="36"/>
    </row>
    <row r="37" spans="1:20" ht="15.75">
      <c r="A37" s="13">
        <v>42614</v>
      </c>
      <c r="B37" s="44">
        <v>30</v>
      </c>
      <c r="C37" s="35">
        <v>194.20500000000001</v>
      </c>
      <c r="D37" s="35">
        <v>267.46600000000001</v>
      </c>
      <c r="E37" s="41">
        <v>912.32899999999995</v>
      </c>
      <c r="F37" s="35">
        <v>1374</v>
      </c>
      <c r="G37" s="35">
        <v>50</v>
      </c>
      <c r="H37" s="43"/>
      <c r="I37" s="35">
        <v>695</v>
      </c>
      <c r="J37" s="35">
        <v>0</v>
      </c>
      <c r="K37" s="36"/>
      <c r="L37" s="45"/>
      <c r="M37" s="36"/>
      <c r="N37" s="36"/>
      <c r="O37" s="36"/>
      <c r="P37" s="36"/>
      <c r="Q37" s="36"/>
      <c r="R37" s="36"/>
      <c r="S37" s="36"/>
      <c r="T37" s="36"/>
    </row>
    <row r="38" spans="1:20" ht="15.75">
      <c r="A38" s="13">
        <v>42644</v>
      </c>
      <c r="B38" s="44">
        <v>31</v>
      </c>
      <c r="C38" s="35">
        <v>131.881</v>
      </c>
      <c r="D38" s="35">
        <v>277.16699999999997</v>
      </c>
      <c r="E38" s="41">
        <v>829.952</v>
      </c>
      <c r="F38" s="35">
        <v>1239</v>
      </c>
      <c r="G38" s="35">
        <v>75</v>
      </c>
      <c r="H38" s="43"/>
      <c r="I38" s="35">
        <v>695</v>
      </c>
      <c r="J38" s="35">
        <v>0</v>
      </c>
      <c r="K38" s="36"/>
      <c r="L38" s="45"/>
      <c r="M38" s="36"/>
      <c r="N38" s="36"/>
      <c r="O38" s="36"/>
      <c r="P38" s="36"/>
      <c r="Q38" s="36"/>
      <c r="R38" s="36"/>
      <c r="S38" s="36"/>
      <c r="T38" s="36"/>
    </row>
    <row r="39" spans="1:20" ht="15.75">
      <c r="A39" s="13">
        <v>42675</v>
      </c>
      <c r="B39" s="44">
        <v>30</v>
      </c>
      <c r="C39" s="35">
        <v>122.58</v>
      </c>
      <c r="D39" s="35">
        <v>297.94099999999997</v>
      </c>
      <c r="E39" s="41">
        <v>729.47900000000004</v>
      </c>
      <c r="F39" s="35">
        <v>1150</v>
      </c>
      <c r="G39" s="35">
        <v>100</v>
      </c>
      <c r="H39" s="43"/>
      <c r="I39" s="35">
        <v>695</v>
      </c>
      <c r="J39" s="35">
        <v>50</v>
      </c>
      <c r="K39" s="36"/>
      <c r="L39" s="45"/>
      <c r="M39" s="36"/>
      <c r="N39" s="36"/>
      <c r="O39" s="36"/>
      <c r="P39" s="36"/>
      <c r="Q39" s="36"/>
      <c r="R39" s="36"/>
      <c r="S39" s="36"/>
      <c r="T39" s="36"/>
    </row>
    <row r="40" spans="1:20" ht="15.75">
      <c r="A40" s="13">
        <v>42705</v>
      </c>
      <c r="B40" s="44">
        <v>31</v>
      </c>
      <c r="C40" s="35">
        <v>122.58</v>
      </c>
      <c r="D40" s="35">
        <v>297.94099999999997</v>
      </c>
      <c r="E40" s="41">
        <v>729.47900000000004</v>
      </c>
      <c r="F40" s="35">
        <v>1150</v>
      </c>
      <c r="G40" s="35">
        <v>100</v>
      </c>
      <c r="H40" s="43"/>
      <c r="I40" s="35">
        <v>695</v>
      </c>
      <c r="J40" s="35">
        <v>50</v>
      </c>
      <c r="K40" s="36"/>
      <c r="L40" s="45"/>
      <c r="M40" s="36"/>
      <c r="N40" s="36"/>
      <c r="O40" s="36"/>
      <c r="P40" s="36"/>
      <c r="Q40" s="36"/>
      <c r="R40" s="36"/>
      <c r="S40" s="36"/>
      <c r="T40" s="36"/>
    </row>
    <row r="41" spans="1:20" ht="15.75">
      <c r="A41" s="13">
        <v>42736</v>
      </c>
      <c r="B41" s="44">
        <v>31</v>
      </c>
      <c r="C41" s="35">
        <v>122.58</v>
      </c>
      <c r="D41" s="35">
        <v>297.94099999999997</v>
      </c>
      <c r="E41" s="41">
        <v>729.47900000000004</v>
      </c>
      <c r="F41" s="35">
        <v>1150</v>
      </c>
      <c r="G41" s="35">
        <v>100</v>
      </c>
      <c r="H41" s="43"/>
      <c r="I41" s="35">
        <v>695</v>
      </c>
      <c r="J41" s="35">
        <v>50</v>
      </c>
      <c r="K41" s="36"/>
      <c r="L41" s="45"/>
      <c r="M41" s="36"/>
      <c r="N41" s="36"/>
      <c r="O41" s="36"/>
      <c r="P41" s="36"/>
      <c r="Q41" s="36"/>
      <c r="R41" s="36"/>
      <c r="S41" s="36"/>
      <c r="T41" s="36"/>
    </row>
    <row r="42" spans="1:20" ht="15.75">
      <c r="A42" s="13">
        <v>42767</v>
      </c>
      <c r="B42" s="44">
        <v>28</v>
      </c>
      <c r="C42" s="35">
        <v>122.58</v>
      </c>
      <c r="D42" s="35">
        <v>297.94099999999997</v>
      </c>
      <c r="E42" s="41">
        <v>729.47900000000004</v>
      </c>
      <c r="F42" s="35">
        <v>1150</v>
      </c>
      <c r="G42" s="35">
        <v>100</v>
      </c>
      <c r="H42" s="43"/>
      <c r="I42" s="35">
        <v>695</v>
      </c>
      <c r="J42" s="35">
        <v>50</v>
      </c>
      <c r="K42" s="36"/>
      <c r="L42" s="45"/>
      <c r="M42" s="36"/>
      <c r="N42" s="36"/>
      <c r="O42" s="36"/>
      <c r="P42" s="36"/>
      <c r="Q42" s="36"/>
      <c r="R42" s="36"/>
      <c r="S42" s="36"/>
      <c r="T42" s="36"/>
    </row>
    <row r="43" spans="1:20" ht="15.75">
      <c r="A43" s="13">
        <v>42795</v>
      </c>
      <c r="B43" s="44">
        <v>31</v>
      </c>
      <c r="C43" s="35">
        <v>122.58</v>
      </c>
      <c r="D43" s="35">
        <v>297.94099999999997</v>
      </c>
      <c r="E43" s="41">
        <v>729.47900000000004</v>
      </c>
      <c r="F43" s="35">
        <v>1150</v>
      </c>
      <c r="G43" s="35">
        <v>100</v>
      </c>
      <c r="H43" s="43"/>
      <c r="I43" s="35">
        <v>695</v>
      </c>
      <c r="J43" s="35">
        <v>50</v>
      </c>
      <c r="K43" s="36"/>
      <c r="L43" s="45"/>
      <c r="M43" s="36"/>
      <c r="N43" s="36"/>
      <c r="O43" s="36"/>
      <c r="P43" s="36"/>
      <c r="Q43" s="36"/>
      <c r="R43" s="36"/>
      <c r="S43" s="36"/>
      <c r="T43" s="36"/>
    </row>
    <row r="44" spans="1:20" ht="15.75">
      <c r="A44" s="13">
        <v>42826</v>
      </c>
      <c r="B44" s="44">
        <v>30</v>
      </c>
      <c r="C44" s="35">
        <v>141.29300000000001</v>
      </c>
      <c r="D44" s="35">
        <v>267.99299999999999</v>
      </c>
      <c r="E44" s="41">
        <v>829.71400000000006</v>
      </c>
      <c r="F44" s="35">
        <v>1239</v>
      </c>
      <c r="G44" s="35">
        <v>100</v>
      </c>
      <c r="H44" s="43"/>
      <c r="I44" s="35">
        <v>695</v>
      </c>
      <c r="J44" s="35">
        <v>50</v>
      </c>
      <c r="K44" s="36"/>
      <c r="L44" s="45"/>
      <c r="M44" s="36"/>
      <c r="N44" s="36"/>
      <c r="O44" s="36"/>
      <c r="P44" s="36"/>
      <c r="Q44" s="36"/>
      <c r="R44" s="36"/>
      <c r="S44" s="36"/>
      <c r="T44" s="36"/>
    </row>
    <row r="45" spans="1:20" ht="15.75">
      <c r="A45" s="13">
        <v>42856</v>
      </c>
      <c r="B45" s="44">
        <v>31</v>
      </c>
      <c r="C45" s="35">
        <v>194.20500000000001</v>
      </c>
      <c r="D45" s="35">
        <v>267.46600000000001</v>
      </c>
      <c r="E45" s="41">
        <v>812.32899999999995</v>
      </c>
      <c r="F45" s="35">
        <v>1274</v>
      </c>
      <c r="G45" s="35">
        <v>75</v>
      </c>
      <c r="H45" s="43">
        <v>400</v>
      </c>
      <c r="I45" s="35">
        <v>695</v>
      </c>
      <c r="J45" s="35">
        <v>50</v>
      </c>
      <c r="K45" s="36"/>
      <c r="L45" s="45"/>
      <c r="M45" s="36"/>
      <c r="N45" s="36"/>
      <c r="O45" s="36"/>
      <c r="P45" s="36"/>
      <c r="Q45" s="36"/>
      <c r="R45" s="36"/>
      <c r="S45" s="36"/>
      <c r="T45" s="36"/>
    </row>
    <row r="46" spans="1:20" ht="15.75">
      <c r="A46" s="13">
        <v>42887</v>
      </c>
      <c r="B46" s="44">
        <v>30</v>
      </c>
      <c r="C46" s="35">
        <v>194.20500000000001</v>
      </c>
      <c r="D46" s="35">
        <v>267.46600000000001</v>
      </c>
      <c r="E46" s="41">
        <v>812.32899999999995</v>
      </c>
      <c r="F46" s="35">
        <v>1274</v>
      </c>
      <c r="G46" s="35">
        <v>50</v>
      </c>
      <c r="H46" s="43">
        <v>400</v>
      </c>
      <c r="I46" s="35">
        <v>695</v>
      </c>
      <c r="J46" s="35">
        <v>50</v>
      </c>
      <c r="K46" s="36"/>
      <c r="L46" s="45"/>
      <c r="M46" s="36"/>
      <c r="N46" s="36"/>
      <c r="O46" s="36"/>
      <c r="P46" s="36"/>
      <c r="Q46" s="36"/>
      <c r="R46" s="36"/>
      <c r="S46" s="36"/>
      <c r="T46" s="36"/>
    </row>
    <row r="47" spans="1:20" ht="15.75">
      <c r="A47" s="13">
        <v>42917</v>
      </c>
      <c r="B47" s="44">
        <v>31</v>
      </c>
      <c r="C47" s="35">
        <v>194.20500000000001</v>
      </c>
      <c r="D47" s="35">
        <v>267.46600000000001</v>
      </c>
      <c r="E47" s="41">
        <v>812.32899999999995</v>
      </c>
      <c r="F47" s="35">
        <v>1274</v>
      </c>
      <c r="G47" s="35">
        <v>50</v>
      </c>
      <c r="H47" s="43">
        <v>400</v>
      </c>
      <c r="I47" s="35">
        <v>695</v>
      </c>
      <c r="J47" s="35">
        <v>0</v>
      </c>
      <c r="K47" s="36"/>
      <c r="L47" s="45"/>
      <c r="M47" s="36"/>
      <c r="N47" s="36"/>
      <c r="O47" s="36"/>
      <c r="P47" s="36"/>
      <c r="Q47" s="36"/>
      <c r="R47" s="36"/>
      <c r="S47" s="36"/>
      <c r="T47" s="36"/>
    </row>
    <row r="48" spans="1:20" ht="15.75">
      <c r="A48" s="13">
        <v>42948</v>
      </c>
      <c r="B48" s="44">
        <v>31</v>
      </c>
      <c r="C48" s="35">
        <v>194.20500000000001</v>
      </c>
      <c r="D48" s="35">
        <v>267.46600000000001</v>
      </c>
      <c r="E48" s="41">
        <v>812.32899999999995</v>
      </c>
      <c r="F48" s="35">
        <v>1274</v>
      </c>
      <c r="G48" s="35">
        <v>50</v>
      </c>
      <c r="H48" s="43">
        <v>400</v>
      </c>
      <c r="I48" s="35">
        <v>695</v>
      </c>
      <c r="J48" s="35">
        <v>0</v>
      </c>
      <c r="K48" s="36"/>
      <c r="L48" s="45"/>
      <c r="M48" s="36"/>
      <c r="N48" s="36"/>
      <c r="O48" s="36"/>
      <c r="P48" s="36"/>
      <c r="Q48" s="36"/>
      <c r="R48" s="36"/>
      <c r="S48" s="36"/>
      <c r="T48" s="36"/>
    </row>
    <row r="49" spans="1:20" ht="15.75">
      <c r="A49" s="13">
        <v>42979</v>
      </c>
      <c r="B49" s="44">
        <v>30</v>
      </c>
      <c r="C49" s="35">
        <v>194.20500000000001</v>
      </c>
      <c r="D49" s="35">
        <v>267.46600000000001</v>
      </c>
      <c r="E49" s="41">
        <v>812.32899999999995</v>
      </c>
      <c r="F49" s="35">
        <v>1274</v>
      </c>
      <c r="G49" s="35">
        <v>50</v>
      </c>
      <c r="H49" s="43">
        <v>400</v>
      </c>
      <c r="I49" s="35">
        <v>695</v>
      </c>
      <c r="J49" s="35">
        <v>0</v>
      </c>
      <c r="K49" s="36"/>
      <c r="L49" s="45"/>
      <c r="M49" s="36"/>
      <c r="N49" s="36"/>
      <c r="O49" s="36"/>
      <c r="P49" s="36"/>
      <c r="Q49" s="36"/>
      <c r="R49" s="36"/>
      <c r="S49" s="36"/>
      <c r="T49" s="36"/>
    </row>
    <row r="50" spans="1:20" ht="15.75">
      <c r="A50" s="13">
        <v>43009</v>
      </c>
      <c r="B50" s="44">
        <v>31</v>
      </c>
      <c r="C50" s="35">
        <v>131.881</v>
      </c>
      <c r="D50" s="35">
        <v>277.16699999999997</v>
      </c>
      <c r="E50" s="41">
        <v>829.952</v>
      </c>
      <c r="F50" s="35">
        <v>1239</v>
      </c>
      <c r="G50" s="35">
        <v>75</v>
      </c>
      <c r="H50" s="43">
        <v>400</v>
      </c>
      <c r="I50" s="35">
        <v>695</v>
      </c>
      <c r="J50" s="35">
        <v>0</v>
      </c>
      <c r="K50" s="36"/>
      <c r="L50" s="45"/>
      <c r="M50" s="36"/>
      <c r="N50" s="36"/>
      <c r="O50" s="36"/>
      <c r="P50" s="36"/>
      <c r="Q50" s="36"/>
      <c r="R50" s="36"/>
      <c r="S50" s="36"/>
      <c r="T50" s="36"/>
    </row>
    <row r="51" spans="1:20" ht="15.75">
      <c r="A51" s="13">
        <v>43040</v>
      </c>
      <c r="B51" s="44">
        <v>30</v>
      </c>
      <c r="C51" s="35">
        <v>122.58</v>
      </c>
      <c r="D51" s="35">
        <v>297.94099999999997</v>
      </c>
      <c r="E51" s="41">
        <v>729.47900000000004</v>
      </c>
      <c r="F51" s="35">
        <v>1150</v>
      </c>
      <c r="G51" s="35">
        <v>100</v>
      </c>
      <c r="H51" s="43">
        <v>400</v>
      </c>
      <c r="I51" s="35">
        <v>695</v>
      </c>
      <c r="J51" s="35">
        <v>50</v>
      </c>
      <c r="K51" s="36"/>
      <c r="L51" s="45"/>
      <c r="M51" s="36"/>
      <c r="N51" s="36"/>
      <c r="O51" s="36"/>
      <c r="P51" s="36"/>
      <c r="Q51" s="36"/>
      <c r="R51" s="36"/>
      <c r="S51" s="36"/>
      <c r="T51" s="36"/>
    </row>
    <row r="52" spans="1:20" ht="15.75">
      <c r="A52" s="13">
        <v>43070</v>
      </c>
      <c r="B52" s="44">
        <v>31</v>
      </c>
      <c r="C52" s="35">
        <v>122.58</v>
      </c>
      <c r="D52" s="35">
        <v>297.94099999999997</v>
      </c>
      <c r="E52" s="41">
        <v>729.47900000000004</v>
      </c>
      <c r="F52" s="35">
        <v>1150</v>
      </c>
      <c r="G52" s="35">
        <v>100</v>
      </c>
      <c r="H52" s="43">
        <v>400</v>
      </c>
      <c r="I52" s="35">
        <v>695</v>
      </c>
      <c r="J52" s="35">
        <v>50</v>
      </c>
      <c r="K52" s="36"/>
      <c r="L52" s="45"/>
      <c r="M52" s="36"/>
      <c r="N52" s="36"/>
      <c r="O52" s="36"/>
      <c r="P52" s="36"/>
      <c r="Q52" s="36"/>
      <c r="R52" s="36"/>
      <c r="S52" s="36"/>
      <c r="T52" s="36"/>
    </row>
    <row r="53" spans="1:20" ht="15.75">
      <c r="A53" s="13">
        <v>43101</v>
      </c>
      <c r="B53" s="44">
        <v>31</v>
      </c>
      <c r="C53" s="35">
        <v>122.58</v>
      </c>
      <c r="D53" s="35">
        <v>297.94099999999997</v>
      </c>
      <c r="E53" s="41">
        <v>729.47900000000004</v>
      </c>
      <c r="F53" s="35">
        <v>1150</v>
      </c>
      <c r="G53" s="35">
        <v>100</v>
      </c>
      <c r="H53" s="43">
        <v>400</v>
      </c>
      <c r="I53" s="35">
        <v>695</v>
      </c>
      <c r="J53" s="35">
        <v>50</v>
      </c>
      <c r="K53" s="36"/>
      <c r="L53" s="45"/>
      <c r="M53" s="36"/>
      <c r="N53" s="36"/>
      <c r="O53" s="36"/>
      <c r="P53" s="36"/>
      <c r="Q53" s="36"/>
      <c r="R53" s="36"/>
      <c r="S53" s="36"/>
      <c r="T53" s="36"/>
    </row>
    <row r="54" spans="1:20" ht="15.75">
      <c r="A54" s="13">
        <v>43132</v>
      </c>
      <c r="B54" s="44">
        <v>28</v>
      </c>
      <c r="C54" s="35">
        <v>122.58</v>
      </c>
      <c r="D54" s="35">
        <v>297.94099999999997</v>
      </c>
      <c r="E54" s="41">
        <v>729.47900000000004</v>
      </c>
      <c r="F54" s="35">
        <v>1150</v>
      </c>
      <c r="G54" s="35">
        <v>100</v>
      </c>
      <c r="H54" s="43">
        <v>400</v>
      </c>
      <c r="I54" s="35">
        <v>695</v>
      </c>
      <c r="J54" s="35">
        <v>50</v>
      </c>
      <c r="K54" s="36"/>
      <c r="L54" s="45"/>
      <c r="M54" s="36"/>
      <c r="N54" s="36"/>
      <c r="O54" s="36"/>
      <c r="P54" s="36"/>
      <c r="Q54" s="36"/>
      <c r="R54" s="36"/>
      <c r="S54" s="36"/>
      <c r="T54" s="36"/>
    </row>
    <row r="55" spans="1:20" ht="15.75">
      <c r="A55" s="13">
        <v>43160</v>
      </c>
      <c r="B55" s="44">
        <v>31</v>
      </c>
      <c r="C55" s="35">
        <v>122.58</v>
      </c>
      <c r="D55" s="35">
        <v>297.94099999999997</v>
      </c>
      <c r="E55" s="41">
        <v>729.47900000000004</v>
      </c>
      <c r="F55" s="35">
        <v>1150</v>
      </c>
      <c r="G55" s="35">
        <v>100</v>
      </c>
      <c r="H55" s="43">
        <v>400</v>
      </c>
      <c r="I55" s="35">
        <v>695</v>
      </c>
      <c r="J55" s="35">
        <v>50</v>
      </c>
      <c r="K55" s="36"/>
      <c r="L55" s="45"/>
      <c r="M55" s="36"/>
      <c r="N55" s="36"/>
      <c r="O55" s="36"/>
      <c r="P55" s="36"/>
      <c r="Q55" s="36"/>
      <c r="R55" s="36"/>
      <c r="S55" s="36"/>
      <c r="T55" s="36"/>
    </row>
    <row r="56" spans="1:20" ht="15.75">
      <c r="A56" s="13">
        <v>43191</v>
      </c>
      <c r="B56" s="44">
        <v>30</v>
      </c>
      <c r="C56" s="35">
        <v>141.29300000000001</v>
      </c>
      <c r="D56" s="35">
        <v>267.99299999999999</v>
      </c>
      <c r="E56" s="41">
        <v>829.71400000000006</v>
      </c>
      <c r="F56" s="35">
        <v>1239</v>
      </c>
      <c r="G56" s="35">
        <v>100</v>
      </c>
      <c r="H56" s="43">
        <v>400</v>
      </c>
      <c r="I56" s="35">
        <v>695</v>
      </c>
      <c r="J56" s="35">
        <v>50</v>
      </c>
      <c r="K56" s="36"/>
      <c r="L56" s="45"/>
      <c r="M56" s="36"/>
      <c r="N56" s="36"/>
      <c r="O56" s="36"/>
      <c r="P56" s="36"/>
      <c r="Q56" s="36"/>
      <c r="R56" s="36"/>
      <c r="S56" s="36"/>
      <c r="T56" s="36"/>
    </row>
    <row r="57" spans="1:20" ht="15.75">
      <c r="A57" s="13">
        <v>43221</v>
      </c>
      <c r="B57" s="44">
        <v>31</v>
      </c>
      <c r="C57" s="35">
        <v>194.20500000000001</v>
      </c>
      <c r="D57" s="35">
        <v>267.46600000000001</v>
      </c>
      <c r="E57" s="41">
        <v>812.32899999999995</v>
      </c>
      <c r="F57" s="35">
        <v>1274</v>
      </c>
      <c r="G57" s="35">
        <v>75</v>
      </c>
      <c r="H57" s="43">
        <v>400</v>
      </c>
      <c r="I57" s="35">
        <v>695</v>
      </c>
      <c r="J57" s="35">
        <v>50</v>
      </c>
      <c r="K57" s="36"/>
      <c r="L57" s="45"/>
      <c r="M57" s="36"/>
      <c r="N57" s="36"/>
      <c r="O57" s="36"/>
      <c r="P57" s="36"/>
      <c r="Q57" s="36"/>
      <c r="R57" s="36"/>
      <c r="S57" s="36"/>
      <c r="T57" s="36"/>
    </row>
    <row r="58" spans="1:20" ht="15.75">
      <c r="A58" s="13">
        <v>43252</v>
      </c>
      <c r="B58" s="44">
        <v>30</v>
      </c>
      <c r="C58" s="35">
        <v>194.20500000000001</v>
      </c>
      <c r="D58" s="35">
        <v>267.46600000000001</v>
      </c>
      <c r="E58" s="41">
        <v>812.32899999999995</v>
      </c>
      <c r="F58" s="35">
        <v>1274</v>
      </c>
      <c r="G58" s="35">
        <v>50</v>
      </c>
      <c r="H58" s="43">
        <v>400</v>
      </c>
      <c r="I58" s="35">
        <v>695</v>
      </c>
      <c r="J58" s="35">
        <v>50</v>
      </c>
      <c r="K58" s="36"/>
      <c r="L58" s="45"/>
      <c r="M58" s="36"/>
      <c r="N58" s="36"/>
      <c r="O58" s="36"/>
      <c r="P58" s="36"/>
      <c r="Q58" s="36"/>
      <c r="R58" s="36"/>
      <c r="S58" s="36"/>
      <c r="T58" s="36"/>
    </row>
    <row r="59" spans="1:20" ht="15.75">
      <c r="A59" s="13">
        <v>43282</v>
      </c>
      <c r="B59" s="44">
        <v>31</v>
      </c>
      <c r="C59" s="35">
        <v>194.20500000000001</v>
      </c>
      <c r="D59" s="35">
        <v>267.46600000000001</v>
      </c>
      <c r="E59" s="41">
        <v>812.32899999999995</v>
      </c>
      <c r="F59" s="35">
        <v>1274</v>
      </c>
      <c r="G59" s="35">
        <v>50</v>
      </c>
      <c r="H59" s="43">
        <v>400</v>
      </c>
      <c r="I59" s="35">
        <v>695</v>
      </c>
      <c r="J59" s="35">
        <v>0</v>
      </c>
      <c r="K59" s="36"/>
      <c r="L59" s="45"/>
      <c r="M59" s="36"/>
      <c r="N59" s="36"/>
      <c r="O59" s="36"/>
      <c r="P59" s="36"/>
      <c r="Q59" s="36"/>
      <c r="R59" s="36"/>
      <c r="S59" s="36"/>
      <c r="T59" s="36"/>
    </row>
    <row r="60" spans="1:20" ht="15.75">
      <c r="A60" s="13">
        <v>43313</v>
      </c>
      <c r="B60" s="44">
        <v>31</v>
      </c>
      <c r="C60" s="35">
        <v>194.20500000000001</v>
      </c>
      <c r="D60" s="35">
        <v>267.46600000000001</v>
      </c>
      <c r="E60" s="41">
        <v>812.32899999999995</v>
      </c>
      <c r="F60" s="35">
        <v>1274</v>
      </c>
      <c r="G60" s="35">
        <v>50</v>
      </c>
      <c r="H60" s="43">
        <v>400</v>
      </c>
      <c r="I60" s="35">
        <v>695</v>
      </c>
      <c r="J60" s="35">
        <v>0</v>
      </c>
      <c r="K60" s="36"/>
      <c r="L60" s="45"/>
      <c r="M60" s="36"/>
      <c r="N60" s="36"/>
      <c r="O60" s="36"/>
      <c r="P60" s="36"/>
      <c r="Q60" s="36"/>
      <c r="R60" s="36"/>
      <c r="S60" s="36"/>
      <c r="T60" s="36"/>
    </row>
    <row r="61" spans="1:20" ht="15.75">
      <c r="A61" s="13">
        <v>43344</v>
      </c>
      <c r="B61" s="44">
        <v>30</v>
      </c>
      <c r="C61" s="35">
        <v>194.20500000000001</v>
      </c>
      <c r="D61" s="35">
        <v>267.46600000000001</v>
      </c>
      <c r="E61" s="41">
        <v>812.32899999999995</v>
      </c>
      <c r="F61" s="35">
        <v>1274</v>
      </c>
      <c r="G61" s="35">
        <v>50</v>
      </c>
      <c r="H61" s="43">
        <v>400</v>
      </c>
      <c r="I61" s="35">
        <v>695</v>
      </c>
      <c r="J61" s="35">
        <v>0</v>
      </c>
      <c r="K61" s="36"/>
      <c r="L61" s="45"/>
      <c r="M61" s="36"/>
      <c r="N61" s="36"/>
      <c r="O61" s="36"/>
      <c r="P61" s="36"/>
      <c r="Q61" s="36"/>
      <c r="R61" s="36"/>
      <c r="S61" s="36"/>
      <c r="T61" s="36"/>
    </row>
    <row r="62" spans="1:20" ht="15.75">
      <c r="A62" s="13">
        <v>43374</v>
      </c>
      <c r="B62" s="44">
        <v>31</v>
      </c>
      <c r="C62" s="35">
        <v>131.881</v>
      </c>
      <c r="D62" s="35">
        <v>277.16699999999997</v>
      </c>
      <c r="E62" s="41">
        <v>829.952</v>
      </c>
      <c r="F62" s="35">
        <v>1239</v>
      </c>
      <c r="G62" s="35">
        <v>75</v>
      </c>
      <c r="H62" s="43">
        <v>400</v>
      </c>
      <c r="I62" s="35">
        <v>695</v>
      </c>
      <c r="J62" s="35">
        <v>0</v>
      </c>
      <c r="K62" s="36"/>
      <c r="L62" s="45"/>
      <c r="M62" s="36"/>
      <c r="N62" s="36"/>
      <c r="O62" s="36"/>
      <c r="P62" s="36"/>
      <c r="Q62" s="36"/>
      <c r="R62" s="36"/>
      <c r="S62" s="36"/>
      <c r="T62" s="36"/>
    </row>
    <row r="63" spans="1:20" ht="15.75">
      <c r="A63" s="13">
        <v>43405</v>
      </c>
      <c r="B63" s="44">
        <v>30</v>
      </c>
      <c r="C63" s="35">
        <v>122.58</v>
      </c>
      <c r="D63" s="35">
        <v>297.94099999999997</v>
      </c>
      <c r="E63" s="41">
        <v>729.47900000000004</v>
      </c>
      <c r="F63" s="35">
        <v>1150</v>
      </c>
      <c r="G63" s="35">
        <v>100</v>
      </c>
      <c r="H63" s="43">
        <v>400</v>
      </c>
      <c r="I63" s="35">
        <v>695</v>
      </c>
      <c r="J63" s="35">
        <v>50</v>
      </c>
      <c r="K63" s="36"/>
      <c r="L63" s="45"/>
      <c r="M63" s="36"/>
      <c r="N63" s="36"/>
      <c r="O63" s="36"/>
      <c r="P63" s="36"/>
      <c r="Q63" s="36"/>
      <c r="R63" s="36"/>
      <c r="S63" s="36"/>
      <c r="T63" s="36"/>
    </row>
    <row r="64" spans="1:20" ht="15.75">
      <c r="A64" s="13">
        <v>43435</v>
      </c>
      <c r="B64" s="44">
        <v>31</v>
      </c>
      <c r="C64" s="35">
        <v>122.58</v>
      </c>
      <c r="D64" s="35">
        <v>297.94099999999997</v>
      </c>
      <c r="E64" s="41">
        <v>729.47900000000004</v>
      </c>
      <c r="F64" s="35">
        <v>1150</v>
      </c>
      <c r="G64" s="35">
        <v>100</v>
      </c>
      <c r="H64" s="43">
        <v>400</v>
      </c>
      <c r="I64" s="35">
        <v>695</v>
      </c>
      <c r="J64" s="35">
        <v>50</v>
      </c>
      <c r="K64" s="36"/>
      <c r="L64" s="45"/>
      <c r="M64" s="36"/>
      <c r="N64" s="36"/>
      <c r="O64" s="36"/>
      <c r="P64" s="36"/>
      <c r="Q64" s="36"/>
      <c r="R64" s="36"/>
      <c r="S64" s="36"/>
      <c r="T64" s="36"/>
    </row>
    <row r="65" spans="1:20" ht="15.75">
      <c r="A65" s="13">
        <v>43466</v>
      </c>
      <c r="B65" s="44">
        <v>31</v>
      </c>
      <c r="C65" s="35">
        <v>122.58</v>
      </c>
      <c r="D65" s="35">
        <v>297.94099999999997</v>
      </c>
      <c r="E65" s="41">
        <v>729.47900000000004</v>
      </c>
      <c r="F65" s="35">
        <v>1150</v>
      </c>
      <c r="G65" s="35">
        <v>100</v>
      </c>
      <c r="H65" s="43">
        <v>400</v>
      </c>
      <c r="I65" s="35">
        <v>695</v>
      </c>
      <c r="J65" s="35">
        <v>50</v>
      </c>
      <c r="K65" s="36"/>
      <c r="L65" s="36"/>
      <c r="M65" s="36"/>
      <c r="N65" s="36"/>
      <c r="O65" s="36"/>
      <c r="P65" s="36"/>
      <c r="Q65" s="36"/>
      <c r="R65" s="36"/>
      <c r="S65" s="36"/>
      <c r="T65" s="36"/>
    </row>
    <row r="66" spans="1:20" ht="15.75">
      <c r="A66" s="13">
        <v>43497</v>
      </c>
      <c r="B66" s="44">
        <v>28</v>
      </c>
      <c r="C66" s="35">
        <v>122.58</v>
      </c>
      <c r="D66" s="35">
        <v>297.94099999999997</v>
      </c>
      <c r="E66" s="41">
        <v>729.47900000000004</v>
      </c>
      <c r="F66" s="35">
        <v>1150</v>
      </c>
      <c r="G66" s="35">
        <v>100</v>
      </c>
      <c r="H66" s="43">
        <v>400</v>
      </c>
      <c r="I66" s="35">
        <v>695</v>
      </c>
      <c r="J66" s="35">
        <v>50</v>
      </c>
      <c r="K66" s="36"/>
      <c r="L66" s="36"/>
      <c r="M66" s="36"/>
      <c r="N66" s="36"/>
      <c r="O66" s="36"/>
      <c r="P66" s="36"/>
      <c r="Q66" s="36"/>
      <c r="R66" s="36"/>
      <c r="S66" s="36"/>
      <c r="T66" s="36"/>
    </row>
    <row r="67" spans="1:20" ht="15.75">
      <c r="A67" s="13">
        <v>43525</v>
      </c>
      <c r="B67" s="44">
        <v>31</v>
      </c>
      <c r="C67" s="35">
        <v>122.58</v>
      </c>
      <c r="D67" s="35">
        <v>297.94099999999997</v>
      </c>
      <c r="E67" s="41">
        <v>729.47900000000004</v>
      </c>
      <c r="F67" s="35">
        <v>1150</v>
      </c>
      <c r="G67" s="35">
        <v>100</v>
      </c>
      <c r="H67" s="43">
        <v>400</v>
      </c>
      <c r="I67" s="35">
        <v>695</v>
      </c>
      <c r="J67" s="35">
        <v>50</v>
      </c>
      <c r="K67" s="36"/>
      <c r="L67" s="36"/>
      <c r="M67" s="36"/>
      <c r="N67" s="36"/>
      <c r="O67" s="36"/>
      <c r="P67" s="36"/>
      <c r="Q67" s="36"/>
      <c r="R67" s="36"/>
      <c r="S67" s="36"/>
      <c r="T67" s="36"/>
    </row>
    <row r="68" spans="1:20" ht="15.75">
      <c r="A68" s="13">
        <v>43556</v>
      </c>
      <c r="B68" s="44">
        <v>30</v>
      </c>
      <c r="C68" s="35">
        <v>141.29300000000001</v>
      </c>
      <c r="D68" s="35">
        <v>267.99299999999999</v>
      </c>
      <c r="E68" s="41">
        <v>829.71400000000006</v>
      </c>
      <c r="F68" s="35">
        <v>1239</v>
      </c>
      <c r="G68" s="35">
        <v>100</v>
      </c>
      <c r="H68" s="43">
        <v>400</v>
      </c>
      <c r="I68" s="35">
        <v>695</v>
      </c>
      <c r="J68" s="35">
        <v>50</v>
      </c>
      <c r="K68" s="36"/>
      <c r="L68" s="36"/>
      <c r="M68" s="36"/>
      <c r="N68" s="36"/>
      <c r="O68" s="36"/>
      <c r="P68" s="36"/>
      <c r="Q68" s="36"/>
      <c r="R68" s="36"/>
      <c r="S68" s="36"/>
      <c r="T68" s="36"/>
    </row>
    <row r="69" spans="1:20" ht="15.75">
      <c r="A69" s="13">
        <v>43586</v>
      </c>
      <c r="B69" s="44">
        <v>31</v>
      </c>
      <c r="C69" s="35">
        <v>194.20500000000001</v>
      </c>
      <c r="D69" s="35">
        <v>267.46600000000001</v>
      </c>
      <c r="E69" s="41">
        <v>812.32899999999995</v>
      </c>
      <c r="F69" s="35">
        <v>1274</v>
      </c>
      <c r="G69" s="35">
        <v>75</v>
      </c>
      <c r="H69" s="43">
        <v>400</v>
      </c>
      <c r="I69" s="35">
        <v>695</v>
      </c>
      <c r="J69" s="35">
        <v>50</v>
      </c>
      <c r="K69" s="36"/>
      <c r="L69" s="36"/>
      <c r="M69" s="36"/>
      <c r="N69" s="36"/>
      <c r="O69" s="36"/>
      <c r="P69" s="36"/>
      <c r="Q69" s="36"/>
      <c r="R69" s="36"/>
      <c r="S69" s="36"/>
      <c r="T69" s="36"/>
    </row>
    <row r="70" spans="1:20" ht="15.75">
      <c r="A70" s="13">
        <v>43617</v>
      </c>
      <c r="B70" s="44">
        <v>30</v>
      </c>
      <c r="C70" s="35">
        <v>194.20500000000001</v>
      </c>
      <c r="D70" s="35">
        <v>267.46600000000001</v>
      </c>
      <c r="E70" s="41">
        <v>812.32899999999995</v>
      </c>
      <c r="F70" s="35">
        <v>1274</v>
      </c>
      <c r="G70" s="35">
        <v>50</v>
      </c>
      <c r="H70" s="43">
        <v>400</v>
      </c>
      <c r="I70" s="35">
        <v>695</v>
      </c>
      <c r="J70" s="35">
        <v>50</v>
      </c>
      <c r="K70" s="36"/>
      <c r="L70" s="36"/>
      <c r="M70" s="36"/>
      <c r="N70" s="36"/>
      <c r="O70" s="36"/>
      <c r="P70" s="36"/>
      <c r="Q70" s="36"/>
      <c r="R70" s="36"/>
      <c r="S70" s="36"/>
      <c r="T70" s="36"/>
    </row>
    <row r="71" spans="1:20" ht="15.75">
      <c r="A71" s="13">
        <v>43647</v>
      </c>
      <c r="B71" s="44">
        <v>31</v>
      </c>
      <c r="C71" s="35">
        <v>194.20500000000001</v>
      </c>
      <c r="D71" s="35">
        <v>267.46600000000001</v>
      </c>
      <c r="E71" s="41">
        <v>812.32899999999995</v>
      </c>
      <c r="F71" s="35">
        <v>1274</v>
      </c>
      <c r="G71" s="35">
        <v>50</v>
      </c>
      <c r="H71" s="43">
        <v>400</v>
      </c>
      <c r="I71" s="35">
        <v>695</v>
      </c>
      <c r="J71" s="35">
        <v>0</v>
      </c>
      <c r="K71" s="36"/>
      <c r="L71" s="36"/>
      <c r="M71" s="36"/>
      <c r="N71" s="36"/>
      <c r="O71" s="36"/>
      <c r="P71" s="36"/>
      <c r="Q71" s="36"/>
      <c r="R71" s="36"/>
      <c r="S71" s="36"/>
      <c r="T71" s="36"/>
    </row>
    <row r="72" spans="1:20" ht="15.75">
      <c r="A72" s="13">
        <v>43678</v>
      </c>
      <c r="B72" s="44">
        <v>31</v>
      </c>
      <c r="C72" s="35">
        <v>194.20500000000001</v>
      </c>
      <c r="D72" s="35">
        <v>267.46600000000001</v>
      </c>
      <c r="E72" s="41">
        <v>812.32899999999995</v>
      </c>
      <c r="F72" s="35">
        <v>1274</v>
      </c>
      <c r="G72" s="35">
        <v>50</v>
      </c>
      <c r="H72" s="43">
        <v>400</v>
      </c>
      <c r="I72" s="35">
        <v>695</v>
      </c>
      <c r="J72" s="35">
        <v>0</v>
      </c>
      <c r="K72" s="36"/>
      <c r="L72" s="36"/>
      <c r="M72" s="36"/>
      <c r="N72" s="36"/>
      <c r="O72" s="36"/>
      <c r="P72" s="36"/>
      <c r="Q72" s="36"/>
      <c r="R72" s="36"/>
      <c r="S72" s="36"/>
      <c r="T72" s="36"/>
    </row>
    <row r="73" spans="1:20" ht="15.75">
      <c r="A73" s="13">
        <v>43709</v>
      </c>
      <c r="B73" s="44">
        <v>30</v>
      </c>
      <c r="C73" s="35">
        <v>194.20500000000001</v>
      </c>
      <c r="D73" s="35">
        <v>267.46600000000001</v>
      </c>
      <c r="E73" s="41">
        <v>812.32899999999995</v>
      </c>
      <c r="F73" s="35">
        <v>1274</v>
      </c>
      <c r="G73" s="35">
        <v>50</v>
      </c>
      <c r="H73" s="43">
        <v>400</v>
      </c>
      <c r="I73" s="35">
        <v>695</v>
      </c>
      <c r="J73" s="35">
        <v>0</v>
      </c>
      <c r="K73" s="36"/>
      <c r="L73" s="36"/>
      <c r="M73" s="36"/>
      <c r="N73" s="36"/>
      <c r="O73" s="36"/>
      <c r="P73" s="36"/>
      <c r="Q73" s="36"/>
      <c r="R73" s="36"/>
      <c r="S73" s="36"/>
      <c r="T73" s="36"/>
    </row>
    <row r="74" spans="1:20" ht="15.75">
      <c r="A74" s="13">
        <v>43739</v>
      </c>
      <c r="B74" s="44">
        <v>31</v>
      </c>
      <c r="C74" s="35">
        <v>131.881</v>
      </c>
      <c r="D74" s="35">
        <v>277.16699999999997</v>
      </c>
      <c r="E74" s="41">
        <v>829.952</v>
      </c>
      <c r="F74" s="35">
        <v>1239</v>
      </c>
      <c r="G74" s="35">
        <v>75</v>
      </c>
      <c r="H74" s="43">
        <v>400</v>
      </c>
      <c r="I74" s="35">
        <v>695</v>
      </c>
      <c r="J74" s="35">
        <v>0</v>
      </c>
      <c r="K74" s="36"/>
      <c r="L74" s="36"/>
      <c r="M74" s="36"/>
      <c r="N74" s="36"/>
      <c r="O74" s="36"/>
      <c r="P74" s="36"/>
      <c r="Q74" s="36"/>
      <c r="R74" s="36"/>
      <c r="S74" s="36"/>
      <c r="T74" s="36"/>
    </row>
    <row r="75" spans="1:20" ht="15.75">
      <c r="A75" s="13">
        <v>43770</v>
      </c>
      <c r="B75" s="44">
        <v>30</v>
      </c>
      <c r="C75" s="35">
        <v>122.58</v>
      </c>
      <c r="D75" s="35">
        <v>297.94099999999997</v>
      </c>
      <c r="E75" s="41">
        <v>729.47900000000004</v>
      </c>
      <c r="F75" s="35">
        <v>1150</v>
      </c>
      <c r="G75" s="35">
        <v>100</v>
      </c>
      <c r="H75" s="43">
        <v>400</v>
      </c>
      <c r="I75" s="35">
        <v>695</v>
      </c>
      <c r="J75" s="35">
        <v>50</v>
      </c>
      <c r="K75" s="36"/>
      <c r="L75" s="36"/>
      <c r="M75" s="36"/>
      <c r="N75" s="36"/>
      <c r="O75" s="36"/>
      <c r="P75" s="36"/>
      <c r="Q75" s="36"/>
      <c r="R75" s="36"/>
      <c r="S75" s="36"/>
      <c r="T75" s="36"/>
    </row>
    <row r="76" spans="1:20" ht="15.75">
      <c r="A76" s="13">
        <v>43800</v>
      </c>
      <c r="B76" s="44">
        <v>31</v>
      </c>
      <c r="C76" s="35">
        <v>122.58</v>
      </c>
      <c r="D76" s="35">
        <v>297.94099999999997</v>
      </c>
      <c r="E76" s="41">
        <v>729.47900000000004</v>
      </c>
      <c r="F76" s="35">
        <v>1150</v>
      </c>
      <c r="G76" s="35">
        <v>100</v>
      </c>
      <c r="H76" s="43">
        <v>400</v>
      </c>
      <c r="I76" s="35">
        <v>695</v>
      </c>
      <c r="J76" s="35">
        <v>50</v>
      </c>
      <c r="K76" s="36"/>
      <c r="L76" s="36"/>
      <c r="M76" s="36"/>
      <c r="N76" s="36"/>
      <c r="O76" s="36"/>
      <c r="P76" s="36"/>
      <c r="Q76" s="36"/>
      <c r="R76" s="36"/>
      <c r="S76" s="36"/>
      <c r="T76" s="36"/>
    </row>
    <row r="77" spans="1:20" ht="15.75">
      <c r="A77" s="13">
        <v>43831</v>
      </c>
      <c r="B77" s="44">
        <v>31</v>
      </c>
      <c r="C77" s="35">
        <v>122.58</v>
      </c>
      <c r="D77" s="35">
        <v>297.94099999999997</v>
      </c>
      <c r="E77" s="41">
        <v>729.47900000000004</v>
      </c>
      <c r="F77" s="35">
        <v>1150</v>
      </c>
      <c r="G77" s="35">
        <v>100</v>
      </c>
      <c r="H77" s="43">
        <v>400</v>
      </c>
      <c r="I77" s="35">
        <v>695</v>
      </c>
      <c r="J77" s="35">
        <v>50</v>
      </c>
      <c r="K77" s="36"/>
      <c r="L77" s="36"/>
      <c r="M77" s="36"/>
      <c r="N77" s="36"/>
      <c r="O77" s="36"/>
      <c r="P77" s="36"/>
      <c r="Q77" s="36"/>
      <c r="R77" s="36"/>
      <c r="S77" s="36"/>
      <c r="T77" s="36"/>
    </row>
    <row r="78" spans="1:20" ht="15.75">
      <c r="A78" s="13">
        <v>43862</v>
      </c>
      <c r="B78" s="44">
        <v>29</v>
      </c>
      <c r="C78" s="35">
        <v>122.58</v>
      </c>
      <c r="D78" s="35">
        <v>297.94099999999997</v>
      </c>
      <c r="E78" s="41">
        <v>729.47900000000004</v>
      </c>
      <c r="F78" s="35">
        <v>1150</v>
      </c>
      <c r="G78" s="35">
        <v>100</v>
      </c>
      <c r="H78" s="43">
        <v>400</v>
      </c>
      <c r="I78" s="35">
        <v>695</v>
      </c>
      <c r="J78" s="35">
        <v>50</v>
      </c>
      <c r="K78" s="36"/>
      <c r="L78" s="36"/>
      <c r="M78" s="36"/>
      <c r="N78" s="36"/>
      <c r="O78" s="36"/>
      <c r="P78" s="36"/>
      <c r="Q78" s="36"/>
      <c r="R78" s="36"/>
      <c r="S78" s="36"/>
      <c r="T78" s="36"/>
    </row>
    <row r="79" spans="1:20" ht="15.75">
      <c r="A79" s="13">
        <v>43891</v>
      </c>
      <c r="B79" s="44">
        <v>31</v>
      </c>
      <c r="C79" s="35">
        <v>122.58</v>
      </c>
      <c r="D79" s="35">
        <v>297.94099999999997</v>
      </c>
      <c r="E79" s="41">
        <v>729.47900000000004</v>
      </c>
      <c r="F79" s="35">
        <v>1150</v>
      </c>
      <c r="G79" s="35">
        <v>100</v>
      </c>
      <c r="H79" s="43">
        <v>400</v>
      </c>
      <c r="I79" s="35">
        <v>695</v>
      </c>
      <c r="J79" s="35">
        <v>50</v>
      </c>
      <c r="K79" s="36"/>
      <c r="L79" s="36"/>
      <c r="M79" s="36"/>
      <c r="N79" s="36"/>
      <c r="O79" s="36"/>
      <c r="P79" s="36"/>
      <c r="Q79" s="36"/>
      <c r="R79" s="36"/>
      <c r="S79" s="36"/>
      <c r="T79" s="36"/>
    </row>
    <row r="80" spans="1:20" ht="15.75">
      <c r="A80" s="13">
        <v>43922</v>
      </c>
      <c r="B80" s="44">
        <v>30</v>
      </c>
      <c r="C80" s="35">
        <v>141.29300000000001</v>
      </c>
      <c r="D80" s="35">
        <v>267.99299999999999</v>
      </c>
      <c r="E80" s="41">
        <v>829.71400000000006</v>
      </c>
      <c r="F80" s="35">
        <v>1239</v>
      </c>
      <c r="G80" s="35">
        <v>100</v>
      </c>
      <c r="H80" s="43">
        <v>400</v>
      </c>
      <c r="I80" s="35">
        <v>695</v>
      </c>
      <c r="J80" s="35">
        <v>50</v>
      </c>
      <c r="K80" s="36"/>
      <c r="L80" s="36"/>
      <c r="M80" s="36"/>
      <c r="N80" s="36"/>
      <c r="O80" s="36"/>
      <c r="P80" s="36"/>
      <c r="Q80" s="36"/>
      <c r="R80" s="36"/>
      <c r="S80" s="36"/>
      <c r="T80" s="36"/>
    </row>
    <row r="81" spans="1:20" ht="15.75">
      <c r="A81" s="13">
        <v>43952</v>
      </c>
      <c r="B81" s="44">
        <v>31</v>
      </c>
      <c r="C81" s="35">
        <v>194.20500000000001</v>
      </c>
      <c r="D81" s="35">
        <v>267.46600000000001</v>
      </c>
      <c r="E81" s="41">
        <v>812.32899999999995</v>
      </c>
      <c r="F81" s="35">
        <v>1274</v>
      </c>
      <c r="G81" s="35">
        <v>75</v>
      </c>
      <c r="H81" s="43">
        <v>600</v>
      </c>
      <c r="I81" s="35">
        <v>695</v>
      </c>
      <c r="J81" s="35">
        <v>50</v>
      </c>
      <c r="K81" s="36"/>
      <c r="L81" s="36"/>
      <c r="M81" s="36"/>
      <c r="N81" s="36"/>
      <c r="O81" s="36"/>
      <c r="P81" s="36"/>
      <c r="Q81" s="36"/>
      <c r="R81" s="36"/>
      <c r="S81" s="36"/>
      <c r="T81" s="36"/>
    </row>
    <row r="82" spans="1:20" ht="15.75">
      <c r="A82" s="13">
        <v>43983</v>
      </c>
      <c r="B82" s="44">
        <v>30</v>
      </c>
      <c r="C82" s="35">
        <v>194.20500000000001</v>
      </c>
      <c r="D82" s="35">
        <v>267.46600000000001</v>
      </c>
      <c r="E82" s="41">
        <v>812.32899999999995</v>
      </c>
      <c r="F82" s="35">
        <v>1274</v>
      </c>
      <c r="G82" s="35">
        <v>50</v>
      </c>
      <c r="H82" s="43">
        <v>600</v>
      </c>
      <c r="I82" s="35">
        <v>695</v>
      </c>
      <c r="J82" s="35">
        <v>50</v>
      </c>
      <c r="K82" s="36"/>
      <c r="L82" s="36"/>
      <c r="M82" s="36"/>
      <c r="N82" s="36"/>
      <c r="O82" s="36"/>
      <c r="P82" s="36"/>
      <c r="Q82" s="36"/>
      <c r="R82" s="36"/>
      <c r="S82" s="36"/>
      <c r="T82" s="36"/>
    </row>
    <row r="83" spans="1:20" ht="15.75">
      <c r="A83" s="13">
        <v>44013</v>
      </c>
      <c r="B83" s="44">
        <v>31</v>
      </c>
      <c r="C83" s="35">
        <v>194.20500000000001</v>
      </c>
      <c r="D83" s="35">
        <v>267.46600000000001</v>
      </c>
      <c r="E83" s="41">
        <v>812.32899999999995</v>
      </c>
      <c r="F83" s="35">
        <v>1274</v>
      </c>
      <c r="G83" s="35">
        <v>50</v>
      </c>
      <c r="H83" s="43">
        <v>600</v>
      </c>
      <c r="I83" s="35">
        <v>695</v>
      </c>
      <c r="J83" s="35">
        <v>0</v>
      </c>
      <c r="K83" s="36"/>
      <c r="L83" s="36"/>
      <c r="M83" s="36"/>
      <c r="N83" s="36"/>
      <c r="O83" s="36"/>
      <c r="P83" s="36"/>
      <c r="Q83" s="36"/>
      <c r="R83" s="36"/>
      <c r="S83" s="36"/>
      <c r="T83" s="36"/>
    </row>
    <row r="84" spans="1:20" ht="15.75">
      <c r="A84" s="13">
        <v>44044</v>
      </c>
      <c r="B84" s="44">
        <v>31</v>
      </c>
      <c r="C84" s="35">
        <v>194.20500000000001</v>
      </c>
      <c r="D84" s="35">
        <v>267.46600000000001</v>
      </c>
      <c r="E84" s="41">
        <v>812.32899999999995</v>
      </c>
      <c r="F84" s="35">
        <v>1274</v>
      </c>
      <c r="G84" s="35">
        <v>50</v>
      </c>
      <c r="H84" s="43">
        <v>600</v>
      </c>
      <c r="I84" s="35">
        <v>695</v>
      </c>
      <c r="J84" s="35">
        <v>0</v>
      </c>
      <c r="K84" s="36"/>
      <c r="L84" s="36"/>
      <c r="M84" s="36"/>
      <c r="N84" s="36"/>
      <c r="O84" s="36"/>
      <c r="P84" s="36"/>
      <c r="Q84" s="36"/>
      <c r="R84" s="36"/>
      <c r="S84" s="36"/>
      <c r="T84" s="36"/>
    </row>
    <row r="85" spans="1:20" ht="15.75">
      <c r="A85" s="13">
        <v>44075</v>
      </c>
      <c r="B85" s="44">
        <v>30</v>
      </c>
      <c r="C85" s="35">
        <v>194.20500000000001</v>
      </c>
      <c r="D85" s="35">
        <v>267.46600000000001</v>
      </c>
      <c r="E85" s="41">
        <v>812.32899999999995</v>
      </c>
      <c r="F85" s="35">
        <v>1274</v>
      </c>
      <c r="G85" s="35">
        <v>50</v>
      </c>
      <c r="H85" s="43">
        <v>600</v>
      </c>
      <c r="I85" s="35">
        <v>695</v>
      </c>
      <c r="J85" s="35">
        <v>0</v>
      </c>
      <c r="K85" s="36"/>
      <c r="L85" s="36"/>
      <c r="M85" s="36"/>
      <c r="N85" s="36"/>
      <c r="O85" s="36"/>
      <c r="P85" s="36"/>
      <c r="Q85" s="36"/>
      <c r="R85" s="36"/>
      <c r="S85" s="36"/>
      <c r="T85" s="36"/>
    </row>
    <row r="86" spans="1:20" ht="15.75">
      <c r="A86" s="13">
        <v>44105</v>
      </c>
      <c r="B86" s="44">
        <v>31</v>
      </c>
      <c r="C86" s="35">
        <v>131.881</v>
      </c>
      <c r="D86" s="35">
        <v>277.16699999999997</v>
      </c>
      <c r="E86" s="41">
        <v>829.952</v>
      </c>
      <c r="F86" s="35">
        <v>1239</v>
      </c>
      <c r="G86" s="35">
        <v>75</v>
      </c>
      <c r="H86" s="43">
        <v>600</v>
      </c>
      <c r="I86" s="35">
        <v>695</v>
      </c>
      <c r="J86" s="35">
        <v>0</v>
      </c>
      <c r="K86" s="36"/>
      <c r="L86" s="36"/>
      <c r="M86" s="36"/>
      <c r="N86" s="36"/>
      <c r="O86" s="36"/>
      <c r="P86" s="36"/>
      <c r="Q86" s="36"/>
      <c r="R86" s="36"/>
      <c r="S86" s="36"/>
      <c r="T86" s="36"/>
    </row>
    <row r="87" spans="1:20" ht="15.75">
      <c r="A87" s="13">
        <v>44136</v>
      </c>
      <c r="B87" s="44">
        <v>30</v>
      </c>
      <c r="C87" s="35">
        <v>122.58</v>
      </c>
      <c r="D87" s="35">
        <v>297.94099999999997</v>
      </c>
      <c r="E87" s="41">
        <v>729.47900000000004</v>
      </c>
      <c r="F87" s="35">
        <v>1150</v>
      </c>
      <c r="G87" s="35">
        <v>100</v>
      </c>
      <c r="H87" s="43">
        <v>600</v>
      </c>
      <c r="I87" s="35">
        <v>695</v>
      </c>
      <c r="J87" s="35">
        <v>50</v>
      </c>
      <c r="K87" s="36"/>
      <c r="L87" s="36"/>
      <c r="M87" s="36"/>
      <c r="N87" s="36"/>
      <c r="O87" s="36"/>
      <c r="P87" s="36"/>
      <c r="Q87" s="36"/>
      <c r="R87" s="36"/>
      <c r="S87" s="36"/>
      <c r="T87" s="36"/>
    </row>
    <row r="88" spans="1:20" ht="15.75">
      <c r="A88" s="13">
        <v>44166</v>
      </c>
      <c r="B88" s="44">
        <v>31</v>
      </c>
      <c r="C88" s="35">
        <v>122.58</v>
      </c>
      <c r="D88" s="35">
        <v>297.94099999999997</v>
      </c>
      <c r="E88" s="41">
        <v>729.47900000000004</v>
      </c>
      <c r="F88" s="35">
        <v>1150</v>
      </c>
      <c r="G88" s="35">
        <v>100</v>
      </c>
      <c r="H88" s="43">
        <v>600</v>
      </c>
      <c r="I88" s="35">
        <v>695</v>
      </c>
      <c r="J88" s="35">
        <v>50</v>
      </c>
      <c r="K88" s="36"/>
      <c r="L88" s="36"/>
      <c r="M88" s="36"/>
      <c r="N88" s="36"/>
      <c r="O88" s="36"/>
      <c r="P88" s="36"/>
      <c r="Q88" s="36"/>
      <c r="R88" s="36"/>
      <c r="S88" s="36"/>
      <c r="T88" s="36"/>
    </row>
    <row r="89" spans="1:20" ht="15.75">
      <c r="A89" s="13">
        <v>44197</v>
      </c>
      <c r="B89" s="44">
        <v>31</v>
      </c>
      <c r="C89" s="35">
        <v>122.58</v>
      </c>
      <c r="D89" s="35">
        <v>297.94099999999997</v>
      </c>
      <c r="E89" s="41">
        <v>729.47900000000004</v>
      </c>
      <c r="F89" s="35">
        <v>1150</v>
      </c>
      <c r="G89" s="35">
        <v>100</v>
      </c>
      <c r="H89" s="43">
        <v>600</v>
      </c>
      <c r="I89" s="35">
        <v>695</v>
      </c>
      <c r="J89" s="35">
        <v>50</v>
      </c>
      <c r="K89" s="36"/>
      <c r="L89" s="36"/>
      <c r="M89" s="36"/>
      <c r="N89" s="36"/>
      <c r="O89" s="36"/>
      <c r="P89" s="36"/>
      <c r="Q89" s="36"/>
      <c r="R89" s="36"/>
      <c r="S89" s="36"/>
      <c r="T89" s="36"/>
    </row>
    <row r="90" spans="1:20" ht="15.75">
      <c r="A90" s="13">
        <v>44228</v>
      </c>
      <c r="B90" s="44">
        <v>28</v>
      </c>
      <c r="C90" s="35">
        <v>122.58</v>
      </c>
      <c r="D90" s="35">
        <v>297.94099999999997</v>
      </c>
      <c r="E90" s="41">
        <v>729.47900000000004</v>
      </c>
      <c r="F90" s="35">
        <v>1150</v>
      </c>
      <c r="G90" s="35">
        <v>100</v>
      </c>
      <c r="H90" s="43">
        <v>600</v>
      </c>
      <c r="I90" s="35">
        <v>695</v>
      </c>
      <c r="J90" s="35">
        <v>50</v>
      </c>
      <c r="K90" s="36"/>
      <c r="L90" s="36"/>
      <c r="M90" s="36"/>
      <c r="N90" s="36"/>
      <c r="O90" s="36"/>
      <c r="P90" s="36"/>
      <c r="Q90" s="36"/>
      <c r="R90" s="36"/>
      <c r="S90" s="36"/>
      <c r="T90" s="36"/>
    </row>
    <row r="91" spans="1:20" ht="15.75">
      <c r="A91" s="13">
        <v>44256</v>
      </c>
      <c r="B91" s="44">
        <v>31</v>
      </c>
      <c r="C91" s="35">
        <v>122.58</v>
      </c>
      <c r="D91" s="35">
        <v>297.94099999999997</v>
      </c>
      <c r="E91" s="41">
        <v>729.47900000000004</v>
      </c>
      <c r="F91" s="35">
        <v>1150</v>
      </c>
      <c r="G91" s="35">
        <v>100</v>
      </c>
      <c r="H91" s="43">
        <v>600</v>
      </c>
      <c r="I91" s="35">
        <v>695</v>
      </c>
      <c r="J91" s="35">
        <v>50</v>
      </c>
      <c r="K91" s="36"/>
      <c r="L91" s="36"/>
      <c r="M91" s="36"/>
      <c r="N91" s="36"/>
      <c r="O91" s="36"/>
      <c r="P91" s="36"/>
      <c r="Q91" s="36"/>
      <c r="R91" s="36"/>
      <c r="S91" s="36"/>
      <c r="T91" s="36"/>
    </row>
    <row r="92" spans="1:20" ht="15.75">
      <c r="A92" s="13">
        <v>44287</v>
      </c>
      <c r="B92" s="44">
        <v>30</v>
      </c>
      <c r="C92" s="35">
        <v>141.29300000000001</v>
      </c>
      <c r="D92" s="35">
        <v>267.99299999999999</v>
      </c>
      <c r="E92" s="41">
        <v>829.71400000000006</v>
      </c>
      <c r="F92" s="35">
        <v>1239</v>
      </c>
      <c r="G92" s="35">
        <v>100</v>
      </c>
      <c r="H92" s="43">
        <v>600</v>
      </c>
      <c r="I92" s="35">
        <v>695</v>
      </c>
      <c r="J92" s="35">
        <v>50</v>
      </c>
      <c r="K92" s="36"/>
      <c r="L92" s="36"/>
      <c r="M92" s="36"/>
      <c r="N92" s="36"/>
      <c r="O92" s="36"/>
      <c r="P92" s="36"/>
      <c r="Q92" s="36"/>
      <c r="R92" s="36"/>
      <c r="S92" s="36"/>
      <c r="T92" s="36"/>
    </row>
    <row r="93" spans="1:20" ht="15.75">
      <c r="A93" s="13">
        <v>44317</v>
      </c>
      <c r="B93" s="44">
        <v>31</v>
      </c>
      <c r="C93" s="35">
        <v>194.20500000000001</v>
      </c>
      <c r="D93" s="35">
        <v>267.46600000000001</v>
      </c>
      <c r="E93" s="41">
        <v>812.32899999999995</v>
      </c>
      <c r="F93" s="35">
        <v>1274</v>
      </c>
      <c r="G93" s="35">
        <v>75</v>
      </c>
      <c r="H93" s="43">
        <v>600</v>
      </c>
      <c r="I93" s="35">
        <v>695</v>
      </c>
      <c r="J93" s="35">
        <v>50</v>
      </c>
      <c r="K93" s="36"/>
      <c r="L93" s="36"/>
      <c r="M93" s="36"/>
      <c r="N93" s="36"/>
      <c r="O93" s="36"/>
      <c r="P93" s="36"/>
      <c r="Q93" s="36"/>
      <c r="R93" s="36"/>
      <c r="S93" s="36"/>
      <c r="T93" s="36"/>
    </row>
    <row r="94" spans="1:20" ht="15.75">
      <c r="A94" s="13">
        <v>44348</v>
      </c>
      <c r="B94" s="44">
        <v>30</v>
      </c>
      <c r="C94" s="35">
        <v>194.20500000000001</v>
      </c>
      <c r="D94" s="35">
        <v>267.46600000000001</v>
      </c>
      <c r="E94" s="41">
        <v>812.32899999999995</v>
      </c>
      <c r="F94" s="35">
        <v>1274</v>
      </c>
      <c r="G94" s="35">
        <v>50</v>
      </c>
      <c r="H94" s="43">
        <v>600</v>
      </c>
      <c r="I94" s="35">
        <v>695</v>
      </c>
      <c r="J94" s="35">
        <v>50</v>
      </c>
      <c r="K94" s="36"/>
      <c r="L94" s="36"/>
      <c r="M94" s="36"/>
      <c r="N94" s="36"/>
      <c r="O94" s="36"/>
      <c r="P94" s="36"/>
      <c r="Q94" s="36"/>
      <c r="R94" s="36"/>
      <c r="S94" s="36"/>
      <c r="T94" s="36"/>
    </row>
    <row r="95" spans="1:20" ht="15.75">
      <c r="A95" s="13">
        <v>44378</v>
      </c>
      <c r="B95" s="44">
        <v>31</v>
      </c>
      <c r="C95" s="35">
        <v>194.20500000000001</v>
      </c>
      <c r="D95" s="35">
        <v>267.46600000000001</v>
      </c>
      <c r="E95" s="41">
        <v>812.32899999999995</v>
      </c>
      <c r="F95" s="35">
        <v>1274</v>
      </c>
      <c r="G95" s="35">
        <v>50</v>
      </c>
      <c r="H95" s="43">
        <v>600</v>
      </c>
      <c r="I95" s="35">
        <v>695</v>
      </c>
      <c r="J95" s="35">
        <v>0</v>
      </c>
      <c r="K95" s="36"/>
      <c r="L95" s="36"/>
      <c r="M95" s="36"/>
      <c r="N95" s="36"/>
      <c r="O95" s="36"/>
      <c r="P95" s="36"/>
      <c r="Q95" s="36"/>
      <c r="R95" s="36"/>
      <c r="S95" s="36"/>
      <c r="T95" s="36"/>
    </row>
    <row r="96" spans="1:20" ht="15.75">
      <c r="A96" s="13">
        <v>44409</v>
      </c>
      <c r="B96" s="44">
        <v>31</v>
      </c>
      <c r="C96" s="35">
        <v>194.20500000000001</v>
      </c>
      <c r="D96" s="35">
        <v>267.46600000000001</v>
      </c>
      <c r="E96" s="41">
        <v>812.32899999999995</v>
      </c>
      <c r="F96" s="35">
        <v>1274</v>
      </c>
      <c r="G96" s="35">
        <v>50</v>
      </c>
      <c r="H96" s="43">
        <v>600</v>
      </c>
      <c r="I96" s="35">
        <v>695</v>
      </c>
      <c r="J96" s="35">
        <v>0</v>
      </c>
      <c r="K96" s="36"/>
      <c r="L96" s="36"/>
      <c r="M96" s="36"/>
      <c r="N96" s="36"/>
      <c r="O96" s="36"/>
      <c r="P96" s="36"/>
      <c r="Q96" s="36"/>
      <c r="R96" s="36"/>
      <c r="S96" s="36"/>
      <c r="T96" s="36"/>
    </row>
    <row r="97" spans="1:20" ht="15.75">
      <c r="A97" s="13">
        <v>44440</v>
      </c>
      <c r="B97" s="44">
        <v>30</v>
      </c>
      <c r="C97" s="35">
        <v>194.20500000000001</v>
      </c>
      <c r="D97" s="35">
        <v>267.46600000000001</v>
      </c>
      <c r="E97" s="41">
        <v>812.32899999999995</v>
      </c>
      <c r="F97" s="35">
        <v>1274</v>
      </c>
      <c r="G97" s="35">
        <v>50</v>
      </c>
      <c r="H97" s="43">
        <v>600</v>
      </c>
      <c r="I97" s="35">
        <v>695</v>
      </c>
      <c r="J97" s="35">
        <v>0</v>
      </c>
      <c r="K97" s="36"/>
      <c r="L97" s="36"/>
      <c r="M97" s="36"/>
      <c r="N97" s="36"/>
      <c r="O97" s="36"/>
      <c r="P97" s="36"/>
      <c r="Q97" s="36"/>
      <c r="R97" s="36"/>
      <c r="S97" s="36"/>
      <c r="T97" s="36"/>
    </row>
    <row r="98" spans="1:20" ht="15.75">
      <c r="A98" s="13">
        <v>44470</v>
      </c>
      <c r="B98" s="44">
        <v>31</v>
      </c>
      <c r="C98" s="35">
        <v>131.881</v>
      </c>
      <c r="D98" s="35">
        <v>277.16699999999997</v>
      </c>
      <c r="E98" s="41">
        <v>829.952</v>
      </c>
      <c r="F98" s="35">
        <v>1239</v>
      </c>
      <c r="G98" s="35">
        <v>75</v>
      </c>
      <c r="H98" s="43">
        <v>600</v>
      </c>
      <c r="I98" s="35">
        <v>695</v>
      </c>
      <c r="J98" s="35">
        <v>0</v>
      </c>
      <c r="K98" s="36"/>
      <c r="L98" s="36"/>
      <c r="M98" s="36"/>
      <c r="N98" s="36"/>
      <c r="O98" s="36"/>
      <c r="P98" s="36"/>
      <c r="Q98" s="36"/>
      <c r="R98" s="36"/>
      <c r="S98" s="36"/>
      <c r="T98" s="36"/>
    </row>
    <row r="99" spans="1:20" ht="15.75">
      <c r="A99" s="13">
        <v>44501</v>
      </c>
      <c r="B99" s="44">
        <v>30</v>
      </c>
      <c r="C99" s="35">
        <v>122.58</v>
      </c>
      <c r="D99" s="35">
        <v>297.94099999999997</v>
      </c>
      <c r="E99" s="41">
        <v>729.47900000000004</v>
      </c>
      <c r="F99" s="35">
        <v>1150</v>
      </c>
      <c r="G99" s="35">
        <v>100</v>
      </c>
      <c r="H99" s="43">
        <v>600</v>
      </c>
      <c r="I99" s="35">
        <v>695</v>
      </c>
      <c r="J99" s="35">
        <v>50</v>
      </c>
      <c r="K99" s="36"/>
      <c r="L99" s="36"/>
      <c r="M99" s="36"/>
      <c r="N99" s="36"/>
      <c r="O99" s="36"/>
      <c r="P99" s="36"/>
      <c r="Q99" s="36"/>
      <c r="R99" s="36"/>
      <c r="S99" s="36"/>
      <c r="T99" s="36"/>
    </row>
    <row r="100" spans="1:20" ht="15.75">
      <c r="A100" s="13">
        <v>44531</v>
      </c>
      <c r="B100" s="44">
        <v>31</v>
      </c>
      <c r="C100" s="35">
        <v>122.58</v>
      </c>
      <c r="D100" s="35">
        <v>297.94099999999997</v>
      </c>
      <c r="E100" s="41">
        <v>729.47900000000004</v>
      </c>
      <c r="F100" s="35">
        <v>1150</v>
      </c>
      <c r="G100" s="35">
        <v>100</v>
      </c>
      <c r="H100" s="43">
        <v>600</v>
      </c>
      <c r="I100" s="35">
        <v>695</v>
      </c>
      <c r="J100" s="35">
        <v>50</v>
      </c>
      <c r="K100" s="36"/>
      <c r="L100" s="36"/>
      <c r="M100" s="36"/>
      <c r="N100" s="36"/>
      <c r="O100" s="36"/>
      <c r="P100" s="36"/>
      <c r="Q100" s="36"/>
      <c r="R100" s="36"/>
      <c r="S100" s="36"/>
      <c r="T100" s="36"/>
    </row>
    <row r="101" spans="1:20" ht="15.75">
      <c r="A101" s="13">
        <v>44562</v>
      </c>
      <c r="B101" s="44">
        <v>31</v>
      </c>
      <c r="C101" s="35">
        <v>122.58</v>
      </c>
      <c r="D101" s="35">
        <v>297.94099999999997</v>
      </c>
      <c r="E101" s="41">
        <v>729.47900000000004</v>
      </c>
      <c r="F101" s="35">
        <v>1150</v>
      </c>
      <c r="G101" s="35">
        <v>100</v>
      </c>
      <c r="H101" s="43">
        <v>600</v>
      </c>
      <c r="I101" s="35">
        <v>695</v>
      </c>
      <c r="J101" s="35">
        <v>50</v>
      </c>
      <c r="K101" s="36"/>
      <c r="L101" s="36"/>
      <c r="M101" s="36"/>
      <c r="N101" s="36"/>
      <c r="O101" s="36"/>
      <c r="P101" s="36"/>
      <c r="Q101" s="36"/>
      <c r="R101" s="36"/>
      <c r="S101" s="36"/>
      <c r="T101" s="36"/>
    </row>
    <row r="102" spans="1:20" ht="15.75">
      <c r="A102" s="13">
        <v>44593</v>
      </c>
      <c r="B102" s="44">
        <v>28</v>
      </c>
      <c r="C102" s="35">
        <v>122.58</v>
      </c>
      <c r="D102" s="35">
        <v>297.94099999999997</v>
      </c>
      <c r="E102" s="41">
        <v>729.47900000000004</v>
      </c>
      <c r="F102" s="35">
        <v>1150</v>
      </c>
      <c r="G102" s="35">
        <v>100</v>
      </c>
      <c r="H102" s="43">
        <v>600</v>
      </c>
      <c r="I102" s="35">
        <v>695</v>
      </c>
      <c r="J102" s="35">
        <v>50</v>
      </c>
      <c r="K102" s="36"/>
      <c r="L102" s="36"/>
      <c r="M102" s="36"/>
      <c r="N102" s="36"/>
      <c r="O102" s="36"/>
      <c r="P102" s="36"/>
      <c r="Q102" s="36"/>
      <c r="R102" s="36"/>
      <c r="S102" s="36"/>
      <c r="T102" s="36"/>
    </row>
    <row r="103" spans="1:20" ht="15.75">
      <c r="A103" s="13">
        <v>44621</v>
      </c>
      <c r="B103" s="44">
        <v>31</v>
      </c>
      <c r="C103" s="35">
        <v>122.58</v>
      </c>
      <c r="D103" s="35">
        <v>297.94099999999997</v>
      </c>
      <c r="E103" s="41">
        <v>729.47900000000004</v>
      </c>
      <c r="F103" s="35">
        <v>1150</v>
      </c>
      <c r="G103" s="35">
        <v>100</v>
      </c>
      <c r="H103" s="43">
        <v>600</v>
      </c>
      <c r="I103" s="35">
        <v>695</v>
      </c>
      <c r="J103" s="35">
        <v>50</v>
      </c>
      <c r="K103" s="36"/>
      <c r="L103" s="36"/>
      <c r="M103" s="36"/>
      <c r="N103" s="36"/>
      <c r="O103" s="36"/>
      <c r="P103" s="36"/>
      <c r="Q103" s="36"/>
      <c r="R103" s="36"/>
      <c r="S103" s="36"/>
      <c r="T103" s="36"/>
    </row>
    <row r="104" spans="1:20" ht="15.75">
      <c r="A104" s="13">
        <v>44652</v>
      </c>
      <c r="B104" s="44">
        <v>30</v>
      </c>
      <c r="C104" s="35">
        <v>141.29300000000001</v>
      </c>
      <c r="D104" s="35">
        <v>267.99299999999999</v>
      </c>
      <c r="E104" s="41">
        <v>829.71400000000006</v>
      </c>
      <c r="F104" s="35">
        <v>1239</v>
      </c>
      <c r="G104" s="35">
        <v>100</v>
      </c>
      <c r="H104" s="43">
        <v>600</v>
      </c>
      <c r="I104" s="35">
        <v>695</v>
      </c>
      <c r="J104" s="35">
        <v>50</v>
      </c>
      <c r="K104" s="36"/>
      <c r="L104" s="36"/>
      <c r="M104" s="36"/>
      <c r="N104" s="36"/>
      <c r="O104" s="36"/>
      <c r="P104" s="36"/>
      <c r="Q104" s="36"/>
      <c r="R104" s="36"/>
      <c r="S104" s="36"/>
      <c r="T104" s="36"/>
    </row>
    <row r="105" spans="1:20" ht="15.75">
      <c r="A105" s="13">
        <v>44682</v>
      </c>
      <c r="B105" s="44">
        <v>31</v>
      </c>
      <c r="C105" s="35">
        <v>194.20500000000001</v>
      </c>
      <c r="D105" s="35">
        <v>267.46600000000001</v>
      </c>
      <c r="E105" s="41">
        <v>812.32899999999995</v>
      </c>
      <c r="F105" s="35">
        <v>1274</v>
      </c>
      <c r="G105" s="35">
        <v>75</v>
      </c>
      <c r="H105" s="43">
        <v>600</v>
      </c>
      <c r="I105" s="35">
        <v>695</v>
      </c>
      <c r="J105" s="35">
        <v>50</v>
      </c>
      <c r="K105" s="36"/>
      <c r="L105" s="36"/>
      <c r="M105" s="36"/>
      <c r="N105" s="36"/>
      <c r="O105" s="36"/>
      <c r="P105" s="36"/>
      <c r="Q105" s="36"/>
      <c r="R105" s="36"/>
      <c r="S105" s="36"/>
      <c r="T105" s="36"/>
    </row>
    <row r="106" spans="1:20" ht="15.75">
      <c r="A106" s="13">
        <v>44713</v>
      </c>
      <c r="B106" s="44">
        <v>30</v>
      </c>
      <c r="C106" s="35">
        <v>194.20500000000001</v>
      </c>
      <c r="D106" s="35">
        <v>267.46600000000001</v>
      </c>
      <c r="E106" s="41">
        <v>812.32899999999995</v>
      </c>
      <c r="F106" s="35">
        <v>1274</v>
      </c>
      <c r="G106" s="35">
        <v>50</v>
      </c>
      <c r="H106" s="43">
        <v>600</v>
      </c>
      <c r="I106" s="35">
        <v>695</v>
      </c>
      <c r="J106" s="35">
        <v>50</v>
      </c>
      <c r="K106" s="36"/>
      <c r="L106" s="36"/>
      <c r="M106" s="36"/>
      <c r="N106" s="36"/>
      <c r="O106" s="36"/>
      <c r="P106" s="36"/>
      <c r="Q106" s="36"/>
      <c r="R106" s="36"/>
      <c r="S106" s="36"/>
      <c r="T106" s="36"/>
    </row>
    <row r="107" spans="1:20" ht="15.75">
      <c r="A107" s="13">
        <v>44743</v>
      </c>
      <c r="B107" s="44">
        <v>31</v>
      </c>
      <c r="C107" s="35">
        <v>194.20500000000001</v>
      </c>
      <c r="D107" s="35">
        <v>267.46600000000001</v>
      </c>
      <c r="E107" s="41">
        <v>812.32899999999995</v>
      </c>
      <c r="F107" s="35">
        <v>1274</v>
      </c>
      <c r="G107" s="35">
        <v>50</v>
      </c>
      <c r="H107" s="43">
        <v>600</v>
      </c>
      <c r="I107" s="35">
        <v>695</v>
      </c>
      <c r="J107" s="35">
        <v>0</v>
      </c>
      <c r="K107" s="36"/>
      <c r="L107" s="36"/>
      <c r="M107" s="36"/>
      <c r="N107" s="36"/>
      <c r="O107" s="36"/>
      <c r="P107" s="36"/>
      <c r="Q107" s="36"/>
      <c r="R107" s="36"/>
      <c r="S107" s="36"/>
      <c r="T107" s="36"/>
    </row>
    <row r="108" spans="1:20" ht="15.75">
      <c r="A108" s="13">
        <v>44774</v>
      </c>
      <c r="B108" s="44">
        <v>31</v>
      </c>
      <c r="C108" s="35">
        <v>194.20500000000001</v>
      </c>
      <c r="D108" s="35">
        <v>267.46600000000001</v>
      </c>
      <c r="E108" s="41">
        <v>812.32899999999995</v>
      </c>
      <c r="F108" s="35">
        <v>1274</v>
      </c>
      <c r="G108" s="35">
        <v>50</v>
      </c>
      <c r="H108" s="43">
        <v>600</v>
      </c>
      <c r="I108" s="35">
        <v>695</v>
      </c>
      <c r="J108" s="35">
        <v>0</v>
      </c>
      <c r="K108" s="36"/>
      <c r="L108" s="36"/>
      <c r="M108" s="36"/>
      <c r="N108" s="36"/>
      <c r="O108" s="36"/>
      <c r="P108" s="36"/>
      <c r="Q108" s="36"/>
      <c r="R108" s="36"/>
      <c r="S108" s="36"/>
      <c r="T108" s="36"/>
    </row>
    <row r="109" spans="1:20" ht="15.75">
      <c r="A109" s="13">
        <v>44805</v>
      </c>
      <c r="B109" s="44">
        <v>30</v>
      </c>
      <c r="C109" s="35">
        <v>194.20500000000001</v>
      </c>
      <c r="D109" s="35">
        <v>267.46600000000001</v>
      </c>
      <c r="E109" s="41">
        <v>812.32899999999995</v>
      </c>
      <c r="F109" s="35">
        <v>1274</v>
      </c>
      <c r="G109" s="35">
        <v>50</v>
      </c>
      <c r="H109" s="43">
        <v>600</v>
      </c>
      <c r="I109" s="35">
        <v>695</v>
      </c>
      <c r="J109" s="35">
        <v>0</v>
      </c>
      <c r="K109" s="36"/>
      <c r="L109" s="36"/>
      <c r="M109" s="36"/>
      <c r="N109" s="36"/>
      <c r="O109" s="36"/>
      <c r="P109" s="36"/>
      <c r="Q109" s="36"/>
      <c r="R109" s="36"/>
      <c r="S109" s="36"/>
      <c r="T109" s="36"/>
    </row>
    <row r="110" spans="1:20" ht="15.75">
      <c r="A110" s="13">
        <v>44835</v>
      </c>
      <c r="B110" s="44">
        <v>31</v>
      </c>
      <c r="C110" s="35">
        <v>131.881</v>
      </c>
      <c r="D110" s="35">
        <v>277.16699999999997</v>
      </c>
      <c r="E110" s="41">
        <v>829.952</v>
      </c>
      <c r="F110" s="35">
        <v>1239</v>
      </c>
      <c r="G110" s="35">
        <v>75</v>
      </c>
      <c r="H110" s="43">
        <v>600</v>
      </c>
      <c r="I110" s="35">
        <v>695</v>
      </c>
      <c r="J110" s="35">
        <v>0</v>
      </c>
      <c r="K110" s="36"/>
      <c r="L110" s="36"/>
      <c r="M110" s="36"/>
      <c r="N110" s="36"/>
      <c r="O110" s="36"/>
      <c r="P110" s="36"/>
      <c r="Q110" s="36"/>
      <c r="R110" s="36"/>
      <c r="S110" s="36"/>
      <c r="T110" s="36"/>
    </row>
    <row r="111" spans="1:20" ht="15.75">
      <c r="A111" s="13">
        <v>44866</v>
      </c>
      <c r="B111" s="44">
        <v>30</v>
      </c>
      <c r="C111" s="35">
        <v>122.58</v>
      </c>
      <c r="D111" s="35">
        <v>297.94099999999997</v>
      </c>
      <c r="E111" s="41">
        <v>729.47900000000004</v>
      </c>
      <c r="F111" s="35">
        <v>1150</v>
      </c>
      <c r="G111" s="35">
        <v>100</v>
      </c>
      <c r="H111" s="43">
        <v>600</v>
      </c>
      <c r="I111" s="35">
        <v>695</v>
      </c>
      <c r="J111" s="35">
        <v>50</v>
      </c>
      <c r="K111" s="36"/>
      <c r="L111" s="36"/>
      <c r="M111" s="36"/>
      <c r="N111" s="36"/>
      <c r="O111" s="36"/>
      <c r="P111" s="36"/>
      <c r="Q111" s="36"/>
      <c r="R111" s="36"/>
      <c r="S111" s="36"/>
      <c r="T111" s="36"/>
    </row>
    <row r="112" spans="1:20" ht="15.75">
      <c r="A112" s="13">
        <v>44896</v>
      </c>
      <c r="B112" s="44">
        <v>31</v>
      </c>
      <c r="C112" s="35">
        <v>122.58</v>
      </c>
      <c r="D112" s="35">
        <v>297.94099999999997</v>
      </c>
      <c r="E112" s="41">
        <v>729.47900000000004</v>
      </c>
      <c r="F112" s="35">
        <v>1150</v>
      </c>
      <c r="G112" s="35">
        <v>100</v>
      </c>
      <c r="H112" s="43">
        <v>600</v>
      </c>
      <c r="I112" s="35">
        <v>695</v>
      </c>
      <c r="J112" s="35">
        <v>50</v>
      </c>
      <c r="K112" s="36"/>
      <c r="L112" s="36"/>
      <c r="M112" s="36"/>
      <c r="N112" s="36"/>
      <c r="O112" s="36"/>
      <c r="P112" s="36"/>
      <c r="Q112" s="36"/>
      <c r="R112" s="36"/>
      <c r="S112" s="36"/>
      <c r="T112" s="36"/>
    </row>
    <row r="113" spans="1:20" ht="15.75">
      <c r="A113" s="13">
        <v>44927</v>
      </c>
      <c r="B113" s="44">
        <v>31</v>
      </c>
      <c r="C113" s="35">
        <v>122.58</v>
      </c>
      <c r="D113" s="35">
        <v>297.94099999999997</v>
      </c>
      <c r="E113" s="41">
        <v>729.47900000000004</v>
      </c>
      <c r="F113" s="35">
        <v>1150</v>
      </c>
      <c r="G113" s="35">
        <v>100</v>
      </c>
      <c r="H113" s="43">
        <v>600</v>
      </c>
      <c r="I113" s="35">
        <v>695</v>
      </c>
      <c r="J113" s="35">
        <v>50</v>
      </c>
      <c r="K113" s="36"/>
      <c r="L113" s="36"/>
      <c r="M113" s="36"/>
      <c r="N113" s="36"/>
      <c r="O113" s="36"/>
      <c r="P113" s="36"/>
      <c r="Q113" s="36"/>
      <c r="R113" s="36"/>
      <c r="S113" s="36"/>
      <c r="T113" s="36"/>
    </row>
    <row r="114" spans="1:20" ht="15.75">
      <c r="A114" s="13">
        <v>44958</v>
      </c>
      <c r="B114" s="44">
        <v>28</v>
      </c>
      <c r="C114" s="35">
        <v>122.58</v>
      </c>
      <c r="D114" s="35">
        <v>297.94099999999997</v>
      </c>
      <c r="E114" s="41">
        <v>729.47900000000004</v>
      </c>
      <c r="F114" s="35">
        <v>1150</v>
      </c>
      <c r="G114" s="35">
        <v>100</v>
      </c>
      <c r="H114" s="43">
        <v>600</v>
      </c>
      <c r="I114" s="35">
        <v>695</v>
      </c>
      <c r="J114" s="35">
        <v>50</v>
      </c>
      <c r="K114" s="36"/>
      <c r="L114" s="36"/>
      <c r="M114" s="36"/>
      <c r="N114" s="36"/>
      <c r="O114" s="36"/>
      <c r="P114" s="36"/>
      <c r="Q114" s="36"/>
      <c r="R114" s="36"/>
      <c r="S114" s="36"/>
      <c r="T114" s="36"/>
    </row>
    <row r="115" spans="1:20" ht="15.75">
      <c r="A115" s="13">
        <v>44986</v>
      </c>
      <c r="B115" s="44">
        <v>31</v>
      </c>
      <c r="C115" s="35">
        <v>122.58</v>
      </c>
      <c r="D115" s="35">
        <v>297.94099999999997</v>
      </c>
      <c r="E115" s="41">
        <v>729.47900000000004</v>
      </c>
      <c r="F115" s="35">
        <v>1150</v>
      </c>
      <c r="G115" s="35">
        <v>100</v>
      </c>
      <c r="H115" s="43">
        <v>600</v>
      </c>
      <c r="I115" s="35">
        <v>695</v>
      </c>
      <c r="J115" s="35">
        <v>50</v>
      </c>
      <c r="K115" s="36"/>
      <c r="L115" s="36"/>
      <c r="M115" s="36"/>
      <c r="N115" s="36"/>
      <c r="O115" s="36"/>
      <c r="P115" s="36"/>
      <c r="Q115" s="36"/>
      <c r="R115" s="36"/>
      <c r="S115" s="36"/>
      <c r="T115" s="36"/>
    </row>
    <row r="116" spans="1:20" ht="15.75">
      <c r="A116" s="13">
        <v>45017</v>
      </c>
      <c r="B116" s="44">
        <v>30</v>
      </c>
      <c r="C116" s="35">
        <v>141.29300000000001</v>
      </c>
      <c r="D116" s="35">
        <v>267.99299999999999</v>
      </c>
      <c r="E116" s="41">
        <v>829.71400000000006</v>
      </c>
      <c r="F116" s="35">
        <v>1239</v>
      </c>
      <c r="G116" s="35">
        <v>100</v>
      </c>
      <c r="H116" s="43">
        <v>600</v>
      </c>
      <c r="I116" s="35">
        <v>695</v>
      </c>
      <c r="J116" s="35">
        <v>50</v>
      </c>
      <c r="K116" s="36"/>
      <c r="L116" s="36"/>
      <c r="M116" s="36"/>
      <c r="N116" s="36"/>
      <c r="O116" s="36"/>
      <c r="P116" s="36"/>
      <c r="Q116" s="36"/>
      <c r="R116" s="36"/>
      <c r="S116" s="36"/>
      <c r="T116" s="36"/>
    </row>
    <row r="117" spans="1:20" ht="15.75">
      <c r="A117" s="13">
        <v>45047</v>
      </c>
      <c r="B117" s="44">
        <v>31</v>
      </c>
      <c r="C117" s="35">
        <v>194.20500000000001</v>
      </c>
      <c r="D117" s="35">
        <v>267.46600000000001</v>
      </c>
      <c r="E117" s="41">
        <v>812.32899999999995</v>
      </c>
      <c r="F117" s="35">
        <v>1274</v>
      </c>
      <c r="G117" s="35">
        <v>75</v>
      </c>
      <c r="H117" s="43">
        <v>600</v>
      </c>
      <c r="I117" s="35">
        <v>695</v>
      </c>
      <c r="J117" s="35">
        <v>50</v>
      </c>
      <c r="K117" s="36"/>
      <c r="L117" s="36"/>
      <c r="M117" s="36"/>
      <c r="N117" s="36"/>
      <c r="O117" s="36"/>
      <c r="P117" s="36"/>
      <c r="Q117" s="36"/>
      <c r="R117" s="36"/>
      <c r="S117" s="36"/>
      <c r="T117" s="36"/>
    </row>
    <row r="118" spans="1:20" ht="15.75">
      <c r="A118" s="13">
        <v>45078</v>
      </c>
      <c r="B118" s="44">
        <v>30</v>
      </c>
      <c r="C118" s="35">
        <v>194.20500000000001</v>
      </c>
      <c r="D118" s="35">
        <v>267.46600000000001</v>
      </c>
      <c r="E118" s="41">
        <v>812.32899999999995</v>
      </c>
      <c r="F118" s="35">
        <v>1274</v>
      </c>
      <c r="G118" s="35">
        <v>50</v>
      </c>
      <c r="H118" s="43">
        <v>600</v>
      </c>
      <c r="I118" s="35">
        <v>695</v>
      </c>
      <c r="J118" s="35">
        <v>50</v>
      </c>
      <c r="K118" s="36"/>
      <c r="L118" s="36"/>
      <c r="M118" s="36"/>
      <c r="N118" s="36"/>
      <c r="O118" s="36"/>
      <c r="P118" s="36"/>
      <c r="Q118" s="36"/>
      <c r="R118" s="36"/>
      <c r="S118" s="36"/>
      <c r="T118" s="36"/>
    </row>
    <row r="119" spans="1:20" ht="15.75">
      <c r="A119" s="13">
        <v>45108</v>
      </c>
      <c r="B119" s="44">
        <v>31</v>
      </c>
      <c r="C119" s="35">
        <v>194.20500000000001</v>
      </c>
      <c r="D119" s="35">
        <v>267.46600000000001</v>
      </c>
      <c r="E119" s="41">
        <v>812.32899999999995</v>
      </c>
      <c r="F119" s="35">
        <v>1274</v>
      </c>
      <c r="G119" s="35">
        <v>50</v>
      </c>
      <c r="H119" s="43">
        <v>600</v>
      </c>
      <c r="I119" s="35">
        <v>695</v>
      </c>
      <c r="J119" s="35">
        <v>0</v>
      </c>
      <c r="K119" s="36"/>
      <c r="L119" s="36"/>
      <c r="M119" s="36"/>
      <c r="N119" s="36"/>
      <c r="O119" s="36"/>
      <c r="P119" s="36"/>
      <c r="Q119" s="36"/>
      <c r="R119" s="36"/>
      <c r="S119" s="36"/>
      <c r="T119" s="36"/>
    </row>
    <row r="120" spans="1:20" ht="15.75">
      <c r="A120" s="13">
        <v>45139</v>
      </c>
      <c r="B120" s="44">
        <v>31</v>
      </c>
      <c r="C120" s="35">
        <v>194.20500000000001</v>
      </c>
      <c r="D120" s="35">
        <v>267.46600000000001</v>
      </c>
      <c r="E120" s="41">
        <v>812.32899999999995</v>
      </c>
      <c r="F120" s="35">
        <v>1274</v>
      </c>
      <c r="G120" s="35">
        <v>50</v>
      </c>
      <c r="H120" s="43">
        <v>600</v>
      </c>
      <c r="I120" s="35">
        <v>695</v>
      </c>
      <c r="J120" s="35">
        <v>0</v>
      </c>
      <c r="K120" s="36"/>
      <c r="L120" s="36"/>
      <c r="M120" s="36"/>
      <c r="N120" s="36"/>
      <c r="O120" s="36"/>
      <c r="P120" s="36"/>
      <c r="Q120" s="36"/>
      <c r="R120" s="36"/>
      <c r="S120" s="36"/>
      <c r="T120" s="36"/>
    </row>
    <row r="121" spans="1:20" ht="15.75">
      <c r="A121" s="13">
        <v>45170</v>
      </c>
      <c r="B121" s="44">
        <v>30</v>
      </c>
      <c r="C121" s="35">
        <v>194.20500000000001</v>
      </c>
      <c r="D121" s="35">
        <v>267.46600000000001</v>
      </c>
      <c r="E121" s="41">
        <v>812.32899999999995</v>
      </c>
      <c r="F121" s="35">
        <v>1274</v>
      </c>
      <c r="G121" s="35">
        <v>50</v>
      </c>
      <c r="H121" s="43">
        <v>600</v>
      </c>
      <c r="I121" s="35">
        <v>695</v>
      </c>
      <c r="J121" s="35">
        <v>0</v>
      </c>
      <c r="K121" s="36"/>
      <c r="L121" s="36"/>
      <c r="M121" s="36"/>
      <c r="N121" s="36"/>
      <c r="O121" s="36"/>
      <c r="P121" s="36"/>
      <c r="Q121" s="36"/>
      <c r="R121" s="36"/>
      <c r="S121" s="36"/>
      <c r="T121" s="36"/>
    </row>
    <row r="122" spans="1:20" ht="15.75">
      <c r="A122" s="13">
        <v>45200</v>
      </c>
      <c r="B122" s="44">
        <v>31</v>
      </c>
      <c r="C122" s="35">
        <v>131.881</v>
      </c>
      <c r="D122" s="35">
        <v>277.16699999999997</v>
      </c>
      <c r="E122" s="41">
        <v>829.952</v>
      </c>
      <c r="F122" s="35">
        <v>1239</v>
      </c>
      <c r="G122" s="35">
        <v>75</v>
      </c>
      <c r="H122" s="43">
        <v>600</v>
      </c>
      <c r="I122" s="35">
        <v>695</v>
      </c>
      <c r="J122" s="35">
        <v>0</v>
      </c>
      <c r="K122" s="36"/>
      <c r="L122" s="36"/>
      <c r="M122" s="36"/>
      <c r="N122" s="36"/>
      <c r="O122" s="36"/>
      <c r="P122" s="36"/>
      <c r="Q122" s="36"/>
      <c r="R122" s="36"/>
      <c r="S122" s="36"/>
      <c r="T122" s="36"/>
    </row>
    <row r="123" spans="1:20" ht="15.75">
      <c r="A123" s="13">
        <v>45231</v>
      </c>
      <c r="B123" s="44">
        <v>30</v>
      </c>
      <c r="C123" s="35">
        <v>122.58</v>
      </c>
      <c r="D123" s="35">
        <v>297.94099999999997</v>
      </c>
      <c r="E123" s="41">
        <v>729.47900000000004</v>
      </c>
      <c r="F123" s="35">
        <v>1150</v>
      </c>
      <c r="G123" s="35">
        <v>100</v>
      </c>
      <c r="H123" s="43">
        <v>600</v>
      </c>
      <c r="I123" s="35">
        <v>695</v>
      </c>
      <c r="J123" s="35">
        <v>50</v>
      </c>
      <c r="K123" s="36"/>
      <c r="L123" s="36"/>
      <c r="M123" s="36"/>
      <c r="N123" s="36"/>
      <c r="O123" s="36"/>
      <c r="P123" s="36"/>
      <c r="Q123" s="36"/>
      <c r="R123" s="36"/>
      <c r="S123" s="36"/>
      <c r="T123" s="36"/>
    </row>
    <row r="124" spans="1:20" ht="15.75">
      <c r="A124" s="13">
        <v>45261</v>
      </c>
      <c r="B124" s="44">
        <v>31</v>
      </c>
      <c r="C124" s="35">
        <v>122.58</v>
      </c>
      <c r="D124" s="35">
        <v>297.94099999999997</v>
      </c>
      <c r="E124" s="41">
        <v>729.47900000000004</v>
      </c>
      <c r="F124" s="35">
        <v>1150</v>
      </c>
      <c r="G124" s="35">
        <v>100</v>
      </c>
      <c r="H124" s="43">
        <v>600</v>
      </c>
      <c r="I124" s="35">
        <v>695</v>
      </c>
      <c r="J124" s="35">
        <v>50</v>
      </c>
      <c r="K124" s="36"/>
      <c r="L124" s="36"/>
      <c r="M124" s="36"/>
      <c r="N124" s="36"/>
      <c r="O124" s="36"/>
      <c r="P124" s="36"/>
      <c r="Q124" s="36"/>
      <c r="R124" s="36"/>
      <c r="S124" s="36"/>
      <c r="T124" s="36"/>
    </row>
    <row r="125" spans="1:20" ht="15.75">
      <c r="A125" s="13">
        <v>45292</v>
      </c>
      <c r="B125" s="44">
        <v>31</v>
      </c>
      <c r="C125" s="35">
        <v>122.58</v>
      </c>
      <c r="D125" s="35">
        <v>297.94099999999997</v>
      </c>
      <c r="E125" s="41">
        <v>729.47900000000004</v>
      </c>
      <c r="F125" s="35">
        <v>1150</v>
      </c>
      <c r="G125" s="35">
        <v>100</v>
      </c>
      <c r="H125" s="43">
        <v>600</v>
      </c>
      <c r="I125" s="35">
        <v>695</v>
      </c>
      <c r="J125" s="35">
        <v>50</v>
      </c>
      <c r="K125" s="36"/>
      <c r="L125" s="36"/>
      <c r="M125" s="36"/>
      <c r="N125" s="36"/>
      <c r="O125" s="36"/>
      <c r="P125" s="36"/>
      <c r="Q125" s="36"/>
      <c r="R125" s="36"/>
      <c r="S125" s="36"/>
      <c r="T125" s="36"/>
    </row>
    <row r="126" spans="1:20" ht="15.75">
      <c r="A126" s="13">
        <v>45323</v>
      </c>
      <c r="B126" s="44">
        <v>29</v>
      </c>
      <c r="C126" s="35">
        <v>122.58</v>
      </c>
      <c r="D126" s="35">
        <v>297.94099999999997</v>
      </c>
      <c r="E126" s="41">
        <v>729.47900000000004</v>
      </c>
      <c r="F126" s="35">
        <v>1150</v>
      </c>
      <c r="G126" s="35">
        <v>100</v>
      </c>
      <c r="H126" s="43">
        <v>600</v>
      </c>
      <c r="I126" s="35">
        <v>695</v>
      </c>
      <c r="J126" s="35">
        <v>50</v>
      </c>
      <c r="K126" s="36"/>
      <c r="L126" s="36"/>
      <c r="M126" s="36"/>
      <c r="N126" s="36"/>
      <c r="O126" s="36"/>
      <c r="P126" s="36"/>
      <c r="Q126" s="36"/>
      <c r="R126" s="36"/>
      <c r="S126" s="36"/>
      <c r="T126" s="36"/>
    </row>
    <row r="127" spans="1:20" ht="15.75">
      <c r="A127" s="13">
        <v>45352</v>
      </c>
      <c r="B127" s="44">
        <v>31</v>
      </c>
      <c r="C127" s="35">
        <v>122.58</v>
      </c>
      <c r="D127" s="35">
        <v>297.94099999999997</v>
      </c>
      <c r="E127" s="41">
        <v>729.47900000000004</v>
      </c>
      <c r="F127" s="35">
        <v>1150</v>
      </c>
      <c r="G127" s="35">
        <v>100</v>
      </c>
      <c r="H127" s="43">
        <v>600</v>
      </c>
      <c r="I127" s="35">
        <v>695</v>
      </c>
      <c r="J127" s="35">
        <v>50</v>
      </c>
      <c r="K127" s="36"/>
      <c r="L127" s="36"/>
      <c r="M127" s="36"/>
      <c r="N127" s="36"/>
      <c r="O127" s="36"/>
      <c r="P127" s="36"/>
      <c r="Q127" s="36"/>
      <c r="R127" s="36"/>
      <c r="S127" s="36"/>
      <c r="T127" s="36"/>
    </row>
    <row r="128" spans="1:20" ht="15.75">
      <c r="A128" s="13">
        <v>45383</v>
      </c>
      <c r="B128" s="44">
        <v>30</v>
      </c>
      <c r="C128" s="35">
        <v>141.29300000000001</v>
      </c>
      <c r="D128" s="35">
        <v>267.99299999999999</v>
      </c>
      <c r="E128" s="41">
        <v>829.71400000000006</v>
      </c>
      <c r="F128" s="35">
        <v>1239</v>
      </c>
      <c r="G128" s="35">
        <v>100</v>
      </c>
      <c r="H128" s="43">
        <v>600</v>
      </c>
      <c r="I128" s="35">
        <v>695</v>
      </c>
      <c r="J128" s="35">
        <v>50</v>
      </c>
      <c r="K128" s="36"/>
      <c r="L128" s="36"/>
      <c r="M128" s="36"/>
      <c r="N128" s="36"/>
      <c r="O128" s="36"/>
      <c r="P128" s="36"/>
      <c r="Q128" s="36"/>
      <c r="R128" s="36"/>
      <c r="S128" s="36"/>
      <c r="T128" s="36"/>
    </row>
    <row r="129" spans="1:20" ht="15.75">
      <c r="A129" s="13">
        <v>45413</v>
      </c>
      <c r="B129" s="44">
        <v>31</v>
      </c>
      <c r="C129" s="35">
        <v>194.20500000000001</v>
      </c>
      <c r="D129" s="35">
        <v>267.46600000000001</v>
      </c>
      <c r="E129" s="41">
        <v>812.32899999999995</v>
      </c>
      <c r="F129" s="35">
        <v>1274</v>
      </c>
      <c r="G129" s="35">
        <v>75</v>
      </c>
      <c r="H129" s="43">
        <v>600</v>
      </c>
      <c r="I129" s="35">
        <v>695</v>
      </c>
      <c r="J129" s="35">
        <v>50</v>
      </c>
      <c r="K129" s="36"/>
      <c r="L129" s="36"/>
      <c r="M129" s="36"/>
      <c r="N129" s="36"/>
      <c r="O129" s="36"/>
      <c r="P129" s="36"/>
      <c r="Q129" s="36"/>
      <c r="R129" s="36"/>
      <c r="S129" s="36"/>
      <c r="T129" s="36"/>
    </row>
    <row r="130" spans="1:20" ht="15.75">
      <c r="A130" s="13">
        <v>45444</v>
      </c>
      <c r="B130" s="44">
        <v>30</v>
      </c>
      <c r="C130" s="35">
        <v>194.20500000000001</v>
      </c>
      <c r="D130" s="35">
        <v>267.46600000000001</v>
      </c>
      <c r="E130" s="41">
        <v>812.32899999999995</v>
      </c>
      <c r="F130" s="35">
        <v>1274</v>
      </c>
      <c r="G130" s="35">
        <v>50</v>
      </c>
      <c r="H130" s="43">
        <v>600</v>
      </c>
      <c r="I130" s="35">
        <v>695</v>
      </c>
      <c r="J130" s="35">
        <v>50</v>
      </c>
      <c r="K130" s="36"/>
      <c r="L130" s="36"/>
      <c r="M130" s="36"/>
      <c r="N130" s="36"/>
      <c r="O130" s="36"/>
      <c r="P130" s="36"/>
      <c r="Q130" s="36"/>
      <c r="R130" s="36"/>
      <c r="S130" s="36"/>
      <c r="T130" s="36"/>
    </row>
    <row r="131" spans="1:20" ht="15.75">
      <c r="A131" s="13">
        <v>45474</v>
      </c>
      <c r="B131" s="44">
        <v>31</v>
      </c>
      <c r="C131" s="35">
        <v>194.20500000000001</v>
      </c>
      <c r="D131" s="35">
        <v>267.46600000000001</v>
      </c>
      <c r="E131" s="41">
        <v>812.32899999999995</v>
      </c>
      <c r="F131" s="35">
        <v>1274</v>
      </c>
      <c r="G131" s="35">
        <v>50</v>
      </c>
      <c r="H131" s="43">
        <v>600</v>
      </c>
      <c r="I131" s="35">
        <v>695</v>
      </c>
      <c r="J131" s="35">
        <v>0</v>
      </c>
      <c r="K131" s="36"/>
      <c r="L131" s="36"/>
      <c r="M131" s="36"/>
      <c r="N131" s="36"/>
      <c r="O131" s="36"/>
      <c r="P131" s="36"/>
      <c r="Q131" s="36"/>
      <c r="R131" s="36"/>
      <c r="S131" s="36"/>
      <c r="T131" s="36"/>
    </row>
    <row r="132" spans="1:20" ht="15.75">
      <c r="A132" s="13">
        <v>45505</v>
      </c>
      <c r="B132" s="44">
        <v>31</v>
      </c>
      <c r="C132" s="35">
        <v>194.20500000000001</v>
      </c>
      <c r="D132" s="35">
        <v>267.46600000000001</v>
      </c>
      <c r="E132" s="41">
        <v>812.32899999999995</v>
      </c>
      <c r="F132" s="35">
        <v>1274</v>
      </c>
      <c r="G132" s="35">
        <v>50</v>
      </c>
      <c r="H132" s="43">
        <v>600</v>
      </c>
      <c r="I132" s="35">
        <v>695</v>
      </c>
      <c r="J132" s="35">
        <v>0</v>
      </c>
      <c r="K132" s="36"/>
      <c r="L132" s="36"/>
      <c r="M132" s="36"/>
      <c r="N132" s="36"/>
      <c r="O132" s="36"/>
      <c r="P132" s="36"/>
      <c r="Q132" s="36"/>
      <c r="R132" s="36"/>
      <c r="S132" s="36"/>
      <c r="T132" s="36"/>
    </row>
    <row r="133" spans="1:20" ht="15.75">
      <c r="A133" s="13">
        <v>45536</v>
      </c>
      <c r="B133" s="44">
        <v>30</v>
      </c>
      <c r="C133" s="35">
        <v>194.20500000000001</v>
      </c>
      <c r="D133" s="35">
        <v>267.46600000000001</v>
      </c>
      <c r="E133" s="41">
        <v>812.32899999999995</v>
      </c>
      <c r="F133" s="35">
        <v>1274</v>
      </c>
      <c r="G133" s="35">
        <v>50</v>
      </c>
      <c r="H133" s="43">
        <v>600</v>
      </c>
      <c r="I133" s="35">
        <v>695</v>
      </c>
      <c r="J133" s="35">
        <v>0</v>
      </c>
      <c r="K133" s="36"/>
      <c r="L133" s="36"/>
      <c r="M133" s="36"/>
      <c r="N133" s="36"/>
      <c r="O133" s="36"/>
      <c r="P133" s="36"/>
      <c r="Q133" s="36"/>
      <c r="R133" s="36"/>
      <c r="S133" s="36"/>
      <c r="T133" s="36"/>
    </row>
    <row r="134" spans="1:20" ht="15.75">
      <c r="A134" s="13">
        <v>45566</v>
      </c>
      <c r="B134" s="44">
        <v>31</v>
      </c>
      <c r="C134" s="35">
        <v>131.881</v>
      </c>
      <c r="D134" s="35">
        <v>277.16699999999997</v>
      </c>
      <c r="E134" s="41">
        <v>829.952</v>
      </c>
      <c r="F134" s="35">
        <v>1239</v>
      </c>
      <c r="G134" s="35">
        <v>75</v>
      </c>
      <c r="H134" s="43">
        <v>600</v>
      </c>
      <c r="I134" s="35">
        <v>695</v>
      </c>
      <c r="J134" s="35">
        <v>0</v>
      </c>
      <c r="K134" s="36"/>
      <c r="L134" s="36"/>
      <c r="M134" s="36"/>
      <c r="N134" s="36"/>
      <c r="O134" s="36"/>
      <c r="P134" s="36"/>
      <c r="Q134" s="36"/>
      <c r="R134" s="36"/>
      <c r="S134" s="36"/>
      <c r="T134" s="36"/>
    </row>
    <row r="135" spans="1:20" ht="15.75">
      <c r="A135" s="13">
        <v>45597</v>
      </c>
      <c r="B135" s="44">
        <v>30</v>
      </c>
      <c r="C135" s="35">
        <v>122.58</v>
      </c>
      <c r="D135" s="35">
        <v>297.94099999999997</v>
      </c>
      <c r="E135" s="41">
        <v>729.47900000000004</v>
      </c>
      <c r="F135" s="35">
        <v>1150</v>
      </c>
      <c r="G135" s="35">
        <v>100</v>
      </c>
      <c r="H135" s="43">
        <v>600</v>
      </c>
      <c r="I135" s="35">
        <v>695</v>
      </c>
      <c r="J135" s="35">
        <v>50</v>
      </c>
      <c r="K135" s="36"/>
      <c r="L135" s="36"/>
      <c r="M135" s="36"/>
      <c r="N135" s="36"/>
      <c r="O135" s="36"/>
      <c r="P135" s="36"/>
      <c r="Q135" s="36"/>
      <c r="R135" s="36"/>
      <c r="S135" s="36"/>
      <c r="T135" s="36"/>
    </row>
    <row r="136" spans="1:20" ht="15.75">
      <c r="A136" s="13">
        <v>45627</v>
      </c>
      <c r="B136" s="44">
        <v>31</v>
      </c>
      <c r="C136" s="35">
        <v>122.58</v>
      </c>
      <c r="D136" s="35">
        <v>297.94099999999997</v>
      </c>
      <c r="E136" s="41">
        <v>729.47900000000004</v>
      </c>
      <c r="F136" s="35">
        <v>1150</v>
      </c>
      <c r="G136" s="35">
        <v>100</v>
      </c>
      <c r="H136" s="43">
        <v>600</v>
      </c>
      <c r="I136" s="35">
        <v>695</v>
      </c>
      <c r="J136" s="35">
        <v>50</v>
      </c>
      <c r="K136" s="36"/>
      <c r="L136" s="36"/>
      <c r="M136" s="36"/>
      <c r="N136" s="36"/>
      <c r="O136" s="36"/>
      <c r="P136" s="36"/>
      <c r="Q136" s="36"/>
      <c r="R136" s="36"/>
      <c r="S136" s="36"/>
      <c r="T136" s="36"/>
    </row>
    <row r="137" spans="1:20" ht="15.75">
      <c r="A137" s="13">
        <v>45658</v>
      </c>
      <c r="B137" s="44">
        <v>31</v>
      </c>
      <c r="C137" s="35">
        <v>122.58</v>
      </c>
      <c r="D137" s="35">
        <v>297.94099999999997</v>
      </c>
      <c r="E137" s="41">
        <v>729.47900000000004</v>
      </c>
      <c r="F137" s="35">
        <v>1150</v>
      </c>
      <c r="G137" s="35">
        <v>100</v>
      </c>
      <c r="H137" s="43">
        <v>600</v>
      </c>
      <c r="I137" s="35">
        <v>695</v>
      </c>
      <c r="J137" s="35">
        <v>50</v>
      </c>
      <c r="K137" s="36"/>
      <c r="L137" s="36"/>
      <c r="M137" s="36"/>
      <c r="N137" s="36"/>
      <c r="O137" s="36"/>
      <c r="P137" s="36"/>
      <c r="Q137" s="36"/>
      <c r="R137" s="36"/>
      <c r="S137" s="36"/>
      <c r="T137" s="36"/>
    </row>
    <row r="138" spans="1:20" ht="15.75">
      <c r="A138" s="13">
        <v>45689</v>
      </c>
      <c r="B138" s="44">
        <v>28</v>
      </c>
      <c r="C138" s="35">
        <v>122.58</v>
      </c>
      <c r="D138" s="35">
        <v>297.94099999999997</v>
      </c>
      <c r="E138" s="41">
        <v>729.47900000000004</v>
      </c>
      <c r="F138" s="35">
        <v>1150</v>
      </c>
      <c r="G138" s="35">
        <v>100</v>
      </c>
      <c r="H138" s="43">
        <v>600</v>
      </c>
      <c r="I138" s="35">
        <v>695</v>
      </c>
      <c r="J138" s="35">
        <v>50</v>
      </c>
      <c r="K138" s="36"/>
      <c r="L138" s="36"/>
      <c r="M138" s="36"/>
      <c r="N138" s="36"/>
      <c r="O138" s="36"/>
      <c r="P138" s="36"/>
      <c r="Q138" s="36"/>
      <c r="R138" s="36"/>
      <c r="S138" s="36"/>
      <c r="T138" s="36"/>
    </row>
    <row r="139" spans="1:20" ht="15.75">
      <c r="A139" s="13">
        <v>45717</v>
      </c>
      <c r="B139" s="44">
        <v>31</v>
      </c>
      <c r="C139" s="35">
        <v>122.58</v>
      </c>
      <c r="D139" s="35">
        <v>297.94099999999997</v>
      </c>
      <c r="E139" s="41">
        <v>729.47900000000004</v>
      </c>
      <c r="F139" s="35">
        <v>1150</v>
      </c>
      <c r="G139" s="35">
        <v>100</v>
      </c>
      <c r="H139" s="43">
        <v>600</v>
      </c>
      <c r="I139" s="35">
        <v>695</v>
      </c>
      <c r="J139" s="35">
        <v>50</v>
      </c>
      <c r="K139" s="36"/>
      <c r="L139" s="36"/>
      <c r="M139" s="36"/>
      <c r="N139" s="36"/>
      <c r="O139" s="36"/>
      <c r="P139" s="36"/>
      <c r="Q139" s="36"/>
      <c r="R139" s="36"/>
      <c r="S139" s="36"/>
      <c r="T139" s="36"/>
    </row>
    <row r="140" spans="1:20" ht="15.75">
      <c r="A140" s="13">
        <v>45748</v>
      </c>
      <c r="B140" s="44">
        <v>30</v>
      </c>
      <c r="C140" s="35">
        <v>141.29300000000001</v>
      </c>
      <c r="D140" s="35">
        <v>267.99299999999999</v>
      </c>
      <c r="E140" s="41">
        <v>829.71400000000006</v>
      </c>
      <c r="F140" s="35">
        <v>1239</v>
      </c>
      <c r="G140" s="35">
        <v>100</v>
      </c>
      <c r="H140" s="43">
        <v>600</v>
      </c>
      <c r="I140" s="35">
        <v>695</v>
      </c>
      <c r="J140" s="35">
        <v>50</v>
      </c>
      <c r="K140" s="36"/>
      <c r="L140" s="36"/>
      <c r="M140" s="36"/>
      <c r="N140" s="36"/>
      <c r="O140" s="36"/>
      <c r="P140" s="36"/>
      <c r="Q140" s="36"/>
      <c r="R140" s="36"/>
      <c r="S140" s="36"/>
      <c r="T140" s="36"/>
    </row>
    <row r="141" spans="1:20" ht="15.75">
      <c r="A141" s="13">
        <v>45778</v>
      </c>
      <c r="B141" s="44">
        <v>31</v>
      </c>
      <c r="C141" s="35">
        <v>194.20500000000001</v>
      </c>
      <c r="D141" s="35">
        <v>267.46600000000001</v>
      </c>
      <c r="E141" s="41">
        <v>812.32899999999995</v>
      </c>
      <c r="F141" s="35">
        <v>1274</v>
      </c>
      <c r="G141" s="35">
        <v>75</v>
      </c>
      <c r="H141" s="43">
        <v>600</v>
      </c>
      <c r="I141" s="35">
        <v>695</v>
      </c>
      <c r="J141" s="35">
        <v>50</v>
      </c>
      <c r="K141" s="36"/>
      <c r="L141" s="36"/>
      <c r="M141" s="36"/>
      <c r="N141" s="36"/>
      <c r="O141" s="36"/>
      <c r="P141" s="36"/>
      <c r="Q141" s="36"/>
      <c r="R141" s="36"/>
      <c r="S141" s="36"/>
      <c r="T141" s="36"/>
    </row>
    <row r="142" spans="1:20" ht="15.75">
      <c r="A142" s="13">
        <v>45809</v>
      </c>
      <c r="B142" s="44">
        <v>30</v>
      </c>
      <c r="C142" s="35">
        <v>194.20500000000001</v>
      </c>
      <c r="D142" s="35">
        <v>267.46600000000001</v>
      </c>
      <c r="E142" s="41">
        <v>812.32899999999995</v>
      </c>
      <c r="F142" s="35">
        <v>1274</v>
      </c>
      <c r="G142" s="35">
        <v>50</v>
      </c>
      <c r="H142" s="43">
        <v>600</v>
      </c>
      <c r="I142" s="35">
        <v>695</v>
      </c>
      <c r="J142" s="35">
        <v>50</v>
      </c>
      <c r="K142" s="36"/>
      <c r="L142" s="36"/>
      <c r="M142" s="36"/>
      <c r="N142" s="36"/>
      <c r="O142" s="36"/>
      <c r="P142" s="36"/>
      <c r="Q142" s="36"/>
      <c r="R142" s="36"/>
      <c r="S142" s="36"/>
      <c r="T142" s="36"/>
    </row>
    <row r="143" spans="1:20" ht="15.75">
      <c r="A143" s="13">
        <v>45839</v>
      </c>
      <c r="B143" s="44">
        <v>31</v>
      </c>
      <c r="C143" s="35">
        <v>194.20500000000001</v>
      </c>
      <c r="D143" s="35">
        <v>267.46600000000001</v>
      </c>
      <c r="E143" s="41">
        <v>812.32899999999995</v>
      </c>
      <c r="F143" s="35">
        <v>1274</v>
      </c>
      <c r="G143" s="35">
        <v>50</v>
      </c>
      <c r="H143" s="43">
        <v>600</v>
      </c>
      <c r="I143" s="35">
        <v>695</v>
      </c>
      <c r="J143" s="35">
        <v>0</v>
      </c>
      <c r="K143" s="36"/>
      <c r="L143" s="36"/>
      <c r="M143" s="36"/>
      <c r="N143" s="36"/>
      <c r="O143" s="36"/>
      <c r="P143" s="36"/>
      <c r="Q143" s="36"/>
      <c r="R143" s="36"/>
      <c r="S143" s="36"/>
      <c r="T143" s="36"/>
    </row>
    <row r="144" spans="1:20" ht="15.75">
      <c r="A144" s="13">
        <v>45870</v>
      </c>
      <c r="B144" s="44">
        <v>31</v>
      </c>
      <c r="C144" s="35">
        <v>194.20500000000001</v>
      </c>
      <c r="D144" s="35">
        <v>267.46600000000001</v>
      </c>
      <c r="E144" s="41">
        <v>812.32899999999995</v>
      </c>
      <c r="F144" s="35">
        <v>1274</v>
      </c>
      <c r="G144" s="35">
        <v>50</v>
      </c>
      <c r="H144" s="43">
        <v>600</v>
      </c>
      <c r="I144" s="35">
        <v>695</v>
      </c>
      <c r="J144" s="35">
        <v>0</v>
      </c>
      <c r="K144" s="36"/>
      <c r="L144" s="36"/>
      <c r="M144" s="36"/>
      <c r="N144" s="36"/>
      <c r="O144" s="36"/>
      <c r="P144" s="36"/>
      <c r="Q144" s="36"/>
      <c r="R144" s="36"/>
      <c r="S144" s="36"/>
      <c r="T144" s="36"/>
    </row>
    <row r="145" spans="1:20" ht="15.75">
      <c r="A145" s="13">
        <v>45901</v>
      </c>
      <c r="B145" s="44">
        <v>30</v>
      </c>
      <c r="C145" s="35">
        <v>194.20500000000001</v>
      </c>
      <c r="D145" s="35">
        <v>267.46600000000001</v>
      </c>
      <c r="E145" s="41">
        <v>812.32899999999995</v>
      </c>
      <c r="F145" s="35">
        <v>1274</v>
      </c>
      <c r="G145" s="35">
        <v>50</v>
      </c>
      <c r="H145" s="43">
        <v>600</v>
      </c>
      <c r="I145" s="35">
        <v>695</v>
      </c>
      <c r="J145" s="35">
        <v>0</v>
      </c>
      <c r="K145" s="36"/>
      <c r="L145" s="36"/>
      <c r="M145" s="36"/>
      <c r="N145" s="36"/>
      <c r="O145" s="36"/>
      <c r="P145" s="36"/>
      <c r="Q145" s="36"/>
      <c r="R145" s="36"/>
      <c r="S145" s="36"/>
      <c r="T145" s="36"/>
    </row>
    <row r="146" spans="1:20" ht="15.75">
      <c r="A146" s="13">
        <v>45931</v>
      </c>
      <c r="B146" s="44">
        <v>31</v>
      </c>
      <c r="C146" s="35">
        <v>131.881</v>
      </c>
      <c r="D146" s="35">
        <v>277.16699999999997</v>
      </c>
      <c r="E146" s="41">
        <v>829.952</v>
      </c>
      <c r="F146" s="35">
        <v>1239</v>
      </c>
      <c r="G146" s="35">
        <v>75</v>
      </c>
      <c r="H146" s="43">
        <v>600</v>
      </c>
      <c r="I146" s="35">
        <v>695</v>
      </c>
      <c r="J146" s="35">
        <v>0</v>
      </c>
      <c r="K146" s="36"/>
      <c r="L146" s="36"/>
      <c r="M146" s="36"/>
      <c r="N146" s="36"/>
      <c r="O146" s="36"/>
      <c r="P146" s="36"/>
      <c r="Q146" s="36"/>
      <c r="R146" s="36"/>
      <c r="S146" s="36"/>
      <c r="T146" s="36"/>
    </row>
    <row r="147" spans="1:20" ht="15.75">
      <c r="A147" s="13">
        <v>45962</v>
      </c>
      <c r="B147" s="44">
        <v>30</v>
      </c>
      <c r="C147" s="35">
        <v>122.58</v>
      </c>
      <c r="D147" s="35">
        <v>297.94099999999997</v>
      </c>
      <c r="E147" s="41">
        <v>729.47900000000004</v>
      </c>
      <c r="F147" s="35">
        <v>1150</v>
      </c>
      <c r="G147" s="35">
        <v>100</v>
      </c>
      <c r="H147" s="43">
        <v>600</v>
      </c>
      <c r="I147" s="35">
        <v>695</v>
      </c>
      <c r="J147" s="35">
        <v>50</v>
      </c>
      <c r="K147" s="36"/>
      <c r="L147" s="36"/>
      <c r="M147" s="36"/>
      <c r="N147" s="36"/>
      <c r="O147" s="36"/>
      <c r="P147" s="36"/>
      <c r="Q147" s="36"/>
      <c r="R147" s="36"/>
      <c r="S147" s="36"/>
      <c r="T147" s="36"/>
    </row>
    <row r="148" spans="1:20" ht="15.75">
      <c r="A148" s="13">
        <v>45992</v>
      </c>
      <c r="B148" s="44">
        <v>31</v>
      </c>
      <c r="C148" s="35">
        <v>122.58</v>
      </c>
      <c r="D148" s="35">
        <v>297.94099999999997</v>
      </c>
      <c r="E148" s="41">
        <v>729.47900000000004</v>
      </c>
      <c r="F148" s="35">
        <v>1150</v>
      </c>
      <c r="G148" s="35">
        <v>100</v>
      </c>
      <c r="H148" s="43">
        <v>600</v>
      </c>
      <c r="I148" s="35">
        <v>695</v>
      </c>
      <c r="J148" s="35">
        <v>50</v>
      </c>
      <c r="K148" s="36"/>
      <c r="L148" s="36"/>
      <c r="M148" s="36"/>
      <c r="N148" s="36"/>
      <c r="O148" s="36"/>
      <c r="P148" s="36"/>
      <c r="Q148" s="36"/>
      <c r="R148" s="36"/>
      <c r="S148" s="36"/>
      <c r="T148" s="36"/>
    </row>
    <row r="149" spans="1:20" ht="15.75">
      <c r="A149" s="13">
        <v>46023</v>
      </c>
      <c r="B149" s="44">
        <v>31</v>
      </c>
      <c r="C149" s="35">
        <v>122.58</v>
      </c>
      <c r="D149" s="35">
        <v>297.94099999999997</v>
      </c>
      <c r="E149" s="41">
        <v>729.47900000000004</v>
      </c>
      <c r="F149" s="35">
        <v>1150</v>
      </c>
      <c r="G149" s="35">
        <v>100</v>
      </c>
      <c r="H149" s="43">
        <v>600</v>
      </c>
      <c r="I149" s="35">
        <v>695</v>
      </c>
      <c r="J149" s="35">
        <v>50</v>
      </c>
      <c r="K149" s="36"/>
      <c r="L149" s="36"/>
      <c r="M149" s="36"/>
      <c r="N149" s="36"/>
      <c r="O149" s="36"/>
      <c r="P149" s="36"/>
      <c r="Q149" s="36"/>
      <c r="R149" s="36"/>
      <c r="S149" s="36"/>
      <c r="T149" s="36"/>
    </row>
    <row r="150" spans="1:20" ht="15.75">
      <c r="A150" s="13">
        <v>46054</v>
      </c>
      <c r="B150" s="44">
        <v>28</v>
      </c>
      <c r="C150" s="35">
        <v>122.58</v>
      </c>
      <c r="D150" s="35">
        <v>297.94099999999997</v>
      </c>
      <c r="E150" s="41">
        <v>729.47900000000004</v>
      </c>
      <c r="F150" s="35">
        <v>1150</v>
      </c>
      <c r="G150" s="35">
        <v>100</v>
      </c>
      <c r="H150" s="43">
        <v>600</v>
      </c>
      <c r="I150" s="35">
        <v>695</v>
      </c>
      <c r="J150" s="35">
        <v>50</v>
      </c>
      <c r="K150" s="36"/>
      <c r="L150" s="36"/>
      <c r="M150" s="36"/>
      <c r="N150" s="36"/>
      <c r="O150" s="36"/>
      <c r="P150" s="36"/>
      <c r="Q150" s="36"/>
      <c r="R150" s="36"/>
      <c r="S150" s="36"/>
      <c r="T150" s="36"/>
    </row>
    <row r="151" spans="1:20" ht="15.75">
      <c r="A151" s="13">
        <v>46082</v>
      </c>
      <c r="B151" s="44">
        <v>31</v>
      </c>
      <c r="C151" s="35">
        <v>122.58</v>
      </c>
      <c r="D151" s="35">
        <v>297.94099999999997</v>
      </c>
      <c r="E151" s="41">
        <v>729.47900000000004</v>
      </c>
      <c r="F151" s="35">
        <v>1150</v>
      </c>
      <c r="G151" s="35">
        <v>100</v>
      </c>
      <c r="H151" s="43">
        <v>600</v>
      </c>
      <c r="I151" s="35">
        <v>695</v>
      </c>
      <c r="J151" s="35">
        <v>50</v>
      </c>
      <c r="K151" s="36"/>
      <c r="L151" s="36"/>
      <c r="M151" s="36"/>
      <c r="N151" s="36"/>
      <c r="O151" s="36"/>
      <c r="P151" s="36"/>
      <c r="Q151" s="36"/>
      <c r="R151" s="36"/>
      <c r="S151" s="36"/>
      <c r="T151" s="36"/>
    </row>
    <row r="152" spans="1:20" ht="15.75">
      <c r="A152" s="13">
        <v>46113</v>
      </c>
      <c r="B152" s="44">
        <v>30</v>
      </c>
      <c r="C152" s="35">
        <v>141.29300000000001</v>
      </c>
      <c r="D152" s="35">
        <v>267.99299999999999</v>
      </c>
      <c r="E152" s="41">
        <v>829.71400000000006</v>
      </c>
      <c r="F152" s="35">
        <v>1239</v>
      </c>
      <c r="G152" s="35">
        <v>100</v>
      </c>
      <c r="H152" s="43">
        <v>600</v>
      </c>
      <c r="I152" s="35">
        <v>695</v>
      </c>
      <c r="J152" s="35">
        <v>50</v>
      </c>
      <c r="K152" s="36"/>
      <c r="L152" s="36"/>
      <c r="M152" s="36"/>
      <c r="N152" s="36"/>
      <c r="O152" s="36"/>
      <c r="P152" s="36"/>
      <c r="Q152" s="36"/>
      <c r="R152" s="36"/>
      <c r="S152" s="36"/>
      <c r="T152" s="36"/>
    </row>
    <row r="153" spans="1:20" ht="15.75">
      <c r="A153" s="13">
        <v>46143</v>
      </c>
      <c r="B153" s="44">
        <v>31</v>
      </c>
      <c r="C153" s="35">
        <v>194.20500000000001</v>
      </c>
      <c r="D153" s="35">
        <v>267.46600000000001</v>
      </c>
      <c r="E153" s="41">
        <v>812.32899999999995</v>
      </c>
      <c r="F153" s="35">
        <v>1274</v>
      </c>
      <c r="G153" s="35">
        <v>75</v>
      </c>
      <c r="H153" s="43">
        <v>600</v>
      </c>
      <c r="I153" s="35">
        <v>695</v>
      </c>
      <c r="J153" s="35">
        <v>50</v>
      </c>
      <c r="K153" s="36"/>
      <c r="L153" s="36"/>
      <c r="M153" s="36"/>
      <c r="N153" s="36"/>
      <c r="O153" s="36"/>
      <c r="P153" s="36"/>
      <c r="Q153" s="36"/>
      <c r="R153" s="36"/>
      <c r="S153" s="36"/>
      <c r="T153" s="36"/>
    </row>
    <row r="154" spans="1:20" ht="15.75">
      <c r="A154" s="13">
        <v>46174</v>
      </c>
      <c r="B154" s="44">
        <v>30</v>
      </c>
      <c r="C154" s="35">
        <v>194.20500000000001</v>
      </c>
      <c r="D154" s="35">
        <v>267.46600000000001</v>
      </c>
      <c r="E154" s="41">
        <v>812.32899999999995</v>
      </c>
      <c r="F154" s="35">
        <v>1274</v>
      </c>
      <c r="G154" s="35">
        <v>50</v>
      </c>
      <c r="H154" s="43">
        <v>600</v>
      </c>
      <c r="I154" s="35">
        <v>695</v>
      </c>
      <c r="J154" s="35">
        <v>50</v>
      </c>
      <c r="K154" s="36"/>
      <c r="L154" s="36"/>
      <c r="M154" s="36"/>
      <c r="N154" s="36"/>
      <c r="O154" s="36"/>
      <c r="P154" s="36"/>
      <c r="Q154" s="36"/>
      <c r="R154" s="36"/>
      <c r="S154" s="36"/>
      <c r="T154" s="36"/>
    </row>
    <row r="155" spans="1:20" ht="15.75">
      <c r="A155" s="13">
        <v>46204</v>
      </c>
      <c r="B155" s="44">
        <v>31</v>
      </c>
      <c r="C155" s="35">
        <v>194.20500000000001</v>
      </c>
      <c r="D155" s="35">
        <v>267.46600000000001</v>
      </c>
      <c r="E155" s="41">
        <v>812.32899999999995</v>
      </c>
      <c r="F155" s="35">
        <v>1274</v>
      </c>
      <c r="G155" s="35">
        <v>50</v>
      </c>
      <c r="H155" s="43">
        <v>600</v>
      </c>
      <c r="I155" s="35">
        <v>695</v>
      </c>
      <c r="J155" s="35">
        <v>0</v>
      </c>
      <c r="K155" s="36"/>
      <c r="L155" s="36"/>
      <c r="M155" s="36"/>
      <c r="N155" s="36"/>
      <c r="O155" s="36"/>
      <c r="P155" s="36"/>
      <c r="Q155" s="36"/>
      <c r="R155" s="36"/>
      <c r="S155" s="36"/>
      <c r="T155" s="36"/>
    </row>
    <row r="156" spans="1:20" ht="15.75">
      <c r="A156" s="13">
        <v>46235</v>
      </c>
      <c r="B156" s="44">
        <v>31</v>
      </c>
      <c r="C156" s="35">
        <v>194.20500000000001</v>
      </c>
      <c r="D156" s="35">
        <v>267.46600000000001</v>
      </c>
      <c r="E156" s="41">
        <v>812.32899999999995</v>
      </c>
      <c r="F156" s="35">
        <v>1274</v>
      </c>
      <c r="G156" s="35">
        <v>50</v>
      </c>
      <c r="H156" s="43">
        <v>600</v>
      </c>
      <c r="I156" s="35">
        <v>695</v>
      </c>
      <c r="J156" s="35">
        <v>0</v>
      </c>
      <c r="K156" s="36"/>
      <c r="L156" s="36"/>
      <c r="M156" s="36"/>
      <c r="N156" s="36"/>
      <c r="O156" s="36"/>
      <c r="P156" s="36"/>
      <c r="Q156" s="36"/>
      <c r="R156" s="36"/>
      <c r="S156" s="36"/>
      <c r="T156" s="36"/>
    </row>
    <row r="157" spans="1:20" ht="15.75">
      <c r="A157" s="13">
        <v>46266</v>
      </c>
      <c r="B157" s="44">
        <v>30</v>
      </c>
      <c r="C157" s="35">
        <v>194.20500000000001</v>
      </c>
      <c r="D157" s="35">
        <v>267.46600000000001</v>
      </c>
      <c r="E157" s="41">
        <v>812.32899999999995</v>
      </c>
      <c r="F157" s="35">
        <v>1274</v>
      </c>
      <c r="G157" s="35">
        <v>50</v>
      </c>
      <c r="H157" s="43">
        <v>600</v>
      </c>
      <c r="I157" s="35">
        <v>695</v>
      </c>
      <c r="J157" s="35">
        <v>0</v>
      </c>
      <c r="K157" s="36"/>
      <c r="L157" s="36"/>
      <c r="M157" s="36"/>
      <c r="N157" s="36"/>
      <c r="O157" s="36"/>
      <c r="P157" s="36"/>
      <c r="Q157" s="36"/>
      <c r="R157" s="36"/>
      <c r="S157" s="36"/>
      <c r="T157" s="36"/>
    </row>
    <row r="158" spans="1:20" ht="15.75">
      <c r="A158" s="13">
        <v>46296</v>
      </c>
      <c r="B158" s="44">
        <v>31</v>
      </c>
      <c r="C158" s="35">
        <v>131.881</v>
      </c>
      <c r="D158" s="35">
        <v>277.16699999999997</v>
      </c>
      <c r="E158" s="41">
        <v>829.952</v>
      </c>
      <c r="F158" s="35">
        <v>1239</v>
      </c>
      <c r="G158" s="35">
        <v>75</v>
      </c>
      <c r="H158" s="43">
        <v>600</v>
      </c>
      <c r="I158" s="35">
        <v>695</v>
      </c>
      <c r="J158" s="35">
        <v>0</v>
      </c>
      <c r="K158" s="36"/>
      <c r="L158" s="36"/>
      <c r="M158" s="36"/>
      <c r="N158" s="36"/>
      <c r="O158" s="36"/>
      <c r="P158" s="36"/>
      <c r="Q158" s="36"/>
      <c r="R158" s="36"/>
      <c r="S158" s="36"/>
      <c r="T158" s="36"/>
    </row>
    <row r="159" spans="1:20" ht="15.75">
      <c r="A159" s="13">
        <v>46327</v>
      </c>
      <c r="B159" s="44">
        <v>30</v>
      </c>
      <c r="C159" s="35">
        <v>122.58</v>
      </c>
      <c r="D159" s="35">
        <v>297.94099999999997</v>
      </c>
      <c r="E159" s="41">
        <v>729.47900000000004</v>
      </c>
      <c r="F159" s="35">
        <v>1150</v>
      </c>
      <c r="G159" s="35">
        <v>100</v>
      </c>
      <c r="H159" s="43">
        <v>600</v>
      </c>
      <c r="I159" s="35">
        <v>695</v>
      </c>
      <c r="J159" s="35">
        <v>50</v>
      </c>
      <c r="K159" s="36"/>
      <c r="L159" s="36"/>
      <c r="M159" s="36"/>
      <c r="N159" s="36"/>
      <c r="O159" s="36"/>
      <c r="P159" s="36"/>
      <c r="Q159" s="36"/>
      <c r="R159" s="36"/>
      <c r="S159" s="36"/>
      <c r="T159" s="36"/>
    </row>
    <row r="160" spans="1:20" ht="15.75">
      <c r="A160" s="13">
        <v>46357</v>
      </c>
      <c r="B160" s="44">
        <v>31</v>
      </c>
      <c r="C160" s="35">
        <v>122.58</v>
      </c>
      <c r="D160" s="35">
        <v>297.94099999999997</v>
      </c>
      <c r="E160" s="41">
        <v>729.47900000000004</v>
      </c>
      <c r="F160" s="35">
        <v>1150</v>
      </c>
      <c r="G160" s="35">
        <v>100</v>
      </c>
      <c r="H160" s="43">
        <v>600</v>
      </c>
      <c r="I160" s="35">
        <v>695</v>
      </c>
      <c r="J160" s="35">
        <v>50</v>
      </c>
      <c r="K160" s="36"/>
      <c r="L160" s="36"/>
      <c r="M160" s="36"/>
      <c r="N160" s="36"/>
      <c r="O160" s="36"/>
      <c r="P160" s="36"/>
      <c r="Q160" s="36"/>
      <c r="R160" s="36"/>
      <c r="S160" s="36"/>
      <c r="T160" s="36"/>
    </row>
    <row r="161" spans="1:20" ht="15.75">
      <c r="A161" s="13">
        <v>46388</v>
      </c>
      <c r="B161" s="44">
        <v>31</v>
      </c>
      <c r="C161" s="35">
        <v>122.58</v>
      </c>
      <c r="D161" s="35">
        <v>297.94099999999997</v>
      </c>
      <c r="E161" s="41">
        <v>729.47900000000004</v>
      </c>
      <c r="F161" s="35">
        <v>1150</v>
      </c>
      <c r="G161" s="35">
        <v>100</v>
      </c>
      <c r="H161" s="43">
        <v>600</v>
      </c>
      <c r="I161" s="35">
        <v>695</v>
      </c>
      <c r="J161" s="35">
        <v>50</v>
      </c>
      <c r="K161" s="36"/>
      <c r="L161" s="36"/>
      <c r="M161" s="36"/>
      <c r="N161" s="36"/>
      <c r="O161" s="36"/>
      <c r="P161" s="36"/>
      <c r="Q161" s="36"/>
      <c r="R161" s="36"/>
      <c r="S161" s="36"/>
      <c r="T161" s="36"/>
    </row>
    <row r="162" spans="1:20" ht="15.75">
      <c r="A162" s="13">
        <v>46419</v>
      </c>
      <c r="B162" s="44">
        <v>28</v>
      </c>
      <c r="C162" s="35">
        <v>122.58</v>
      </c>
      <c r="D162" s="35">
        <v>297.94099999999997</v>
      </c>
      <c r="E162" s="41">
        <v>729.47900000000004</v>
      </c>
      <c r="F162" s="35">
        <v>1150</v>
      </c>
      <c r="G162" s="35">
        <v>100</v>
      </c>
      <c r="H162" s="43">
        <v>600</v>
      </c>
      <c r="I162" s="35">
        <v>695</v>
      </c>
      <c r="J162" s="35">
        <v>50</v>
      </c>
      <c r="K162" s="36"/>
      <c r="L162" s="36"/>
      <c r="M162" s="36"/>
      <c r="N162" s="36"/>
      <c r="O162" s="36"/>
      <c r="P162" s="36"/>
      <c r="Q162" s="36"/>
      <c r="R162" s="36"/>
      <c r="S162" s="36"/>
      <c r="T162" s="36"/>
    </row>
    <row r="163" spans="1:20" ht="15.75">
      <c r="A163" s="13">
        <v>46447</v>
      </c>
      <c r="B163" s="44">
        <v>31</v>
      </c>
      <c r="C163" s="35">
        <v>122.58</v>
      </c>
      <c r="D163" s="35">
        <v>297.94099999999997</v>
      </c>
      <c r="E163" s="41">
        <v>729.47900000000004</v>
      </c>
      <c r="F163" s="35">
        <v>1150</v>
      </c>
      <c r="G163" s="35">
        <v>100</v>
      </c>
      <c r="H163" s="43">
        <v>600</v>
      </c>
      <c r="I163" s="35">
        <v>695</v>
      </c>
      <c r="J163" s="35">
        <v>50</v>
      </c>
      <c r="K163" s="36"/>
      <c r="L163" s="36"/>
      <c r="M163" s="36"/>
      <c r="N163" s="36"/>
      <c r="O163" s="36"/>
      <c r="P163" s="36"/>
      <c r="Q163" s="36"/>
      <c r="R163" s="36"/>
      <c r="S163" s="36"/>
      <c r="T163" s="36"/>
    </row>
    <row r="164" spans="1:20" ht="15.75">
      <c r="A164" s="13">
        <v>46478</v>
      </c>
      <c r="B164" s="44">
        <v>30</v>
      </c>
      <c r="C164" s="35">
        <v>141.29300000000001</v>
      </c>
      <c r="D164" s="35">
        <v>267.99299999999999</v>
      </c>
      <c r="E164" s="41">
        <v>829.71400000000006</v>
      </c>
      <c r="F164" s="35">
        <v>1239</v>
      </c>
      <c r="G164" s="35">
        <v>100</v>
      </c>
      <c r="H164" s="43">
        <v>600</v>
      </c>
      <c r="I164" s="35">
        <v>695</v>
      </c>
      <c r="J164" s="35">
        <v>50</v>
      </c>
      <c r="K164" s="36"/>
      <c r="L164" s="36"/>
      <c r="M164" s="36"/>
      <c r="N164" s="36"/>
      <c r="O164" s="36"/>
      <c r="P164" s="36"/>
      <c r="Q164" s="36"/>
      <c r="R164" s="36"/>
      <c r="S164" s="36"/>
      <c r="T164" s="36"/>
    </row>
    <row r="165" spans="1:20" ht="15.75">
      <c r="A165" s="13">
        <v>46508</v>
      </c>
      <c r="B165" s="44">
        <v>31</v>
      </c>
      <c r="C165" s="35">
        <v>194.20500000000001</v>
      </c>
      <c r="D165" s="35">
        <v>267.46600000000001</v>
      </c>
      <c r="E165" s="41">
        <v>812.32899999999995</v>
      </c>
      <c r="F165" s="35">
        <v>1274</v>
      </c>
      <c r="G165" s="35">
        <v>75</v>
      </c>
      <c r="H165" s="43">
        <v>600</v>
      </c>
      <c r="I165" s="35">
        <v>695</v>
      </c>
      <c r="J165" s="35">
        <v>50</v>
      </c>
      <c r="K165" s="36"/>
      <c r="L165" s="36"/>
      <c r="M165" s="36"/>
      <c r="N165" s="36"/>
      <c r="O165" s="36"/>
      <c r="P165" s="36"/>
      <c r="Q165" s="36"/>
      <c r="R165" s="36"/>
      <c r="S165" s="36"/>
      <c r="T165" s="36"/>
    </row>
    <row r="166" spans="1:20" ht="15.75">
      <c r="A166" s="13">
        <v>46539</v>
      </c>
      <c r="B166" s="44">
        <v>30</v>
      </c>
      <c r="C166" s="35">
        <v>194.20500000000001</v>
      </c>
      <c r="D166" s="35">
        <v>267.46600000000001</v>
      </c>
      <c r="E166" s="41">
        <v>812.32899999999995</v>
      </c>
      <c r="F166" s="35">
        <v>1274</v>
      </c>
      <c r="G166" s="35">
        <v>50</v>
      </c>
      <c r="H166" s="43">
        <v>600</v>
      </c>
      <c r="I166" s="35">
        <v>695</v>
      </c>
      <c r="J166" s="35">
        <v>50</v>
      </c>
      <c r="K166" s="36"/>
      <c r="L166" s="36"/>
      <c r="M166" s="36"/>
      <c r="N166" s="36"/>
      <c r="O166" s="36"/>
      <c r="P166" s="36"/>
      <c r="Q166" s="36"/>
      <c r="R166" s="36"/>
      <c r="S166" s="36"/>
      <c r="T166" s="36"/>
    </row>
    <row r="167" spans="1:20" ht="15.75">
      <c r="A167" s="13">
        <v>46569</v>
      </c>
      <c r="B167" s="44">
        <v>31</v>
      </c>
      <c r="C167" s="35">
        <v>194.20500000000001</v>
      </c>
      <c r="D167" s="35">
        <v>267.46600000000001</v>
      </c>
      <c r="E167" s="41">
        <v>812.32899999999995</v>
      </c>
      <c r="F167" s="35">
        <v>1274</v>
      </c>
      <c r="G167" s="35">
        <v>50</v>
      </c>
      <c r="H167" s="43">
        <v>600</v>
      </c>
      <c r="I167" s="35">
        <v>695</v>
      </c>
      <c r="J167" s="35">
        <v>0</v>
      </c>
      <c r="K167" s="36"/>
      <c r="L167" s="36"/>
      <c r="M167" s="36"/>
      <c r="N167" s="36"/>
      <c r="O167" s="36"/>
      <c r="P167" s="36"/>
      <c r="Q167" s="36"/>
      <c r="R167" s="36"/>
      <c r="S167" s="36"/>
      <c r="T167" s="36"/>
    </row>
    <row r="168" spans="1:20" ht="15.75">
      <c r="A168" s="13">
        <v>46600</v>
      </c>
      <c r="B168" s="44">
        <v>31</v>
      </c>
      <c r="C168" s="35">
        <v>194.20500000000001</v>
      </c>
      <c r="D168" s="35">
        <v>267.46600000000001</v>
      </c>
      <c r="E168" s="41">
        <v>812.32899999999995</v>
      </c>
      <c r="F168" s="35">
        <v>1274</v>
      </c>
      <c r="G168" s="35">
        <v>50</v>
      </c>
      <c r="H168" s="43">
        <v>600</v>
      </c>
      <c r="I168" s="35">
        <v>695</v>
      </c>
      <c r="J168" s="35">
        <v>0</v>
      </c>
      <c r="K168" s="36"/>
      <c r="L168" s="36"/>
      <c r="M168" s="36"/>
      <c r="N168" s="36"/>
      <c r="O168" s="36"/>
      <c r="P168" s="36"/>
      <c r="Q168" s="36"/>
      <c r="R168" s="36"/>
      <c r="S168" s="36"/>
      <c r="T168" s="36"/>
    </row>
    <row r="169" spans="1:20" ht="15.75">
      <c r="A169" s="13">
        <v>46631</v>
      </c>
      <c r="B169" s="44">
        <v>30</v>
      </c>
      <c r="C169" s="35">
        <v>194.20500000000001</v>
      </c>
      <c r="D169" s="35">
        <v>267.46600000000001</v>
      </c>
      <c r="E169" s="41">
        <v>812.32899999999995</v>
      </c>
      <c r="F169" s="35">
        <v>1274</v>
      </c>
      <c r="G169" s="35">
        <v>50</v>
      </c>
      <c r="H169" s="43">
        <v>600</v>
      </c>
      <c r="I169" s="35">
        <v>695</v>
      </c>
      <c r="J169" s="35">
        <v>0</v>
      </c>
      <c r="K169" s="36"/>
      <c r="L169" s="36"/>
      <c r="M169" s="36"/>
      <c r="N169" s="36"/>
      <c r="O169" s="36"/>
      <c r="P169" s="36"/>
      <c r="Q169" s="36"/>
      <c r="R169" s="36"/>
      <c r="S169" s="36"/>
      <c r="T169" s="36"/>
    </row>
    <row r="170" spans="1:20" ht="15.75">
      <c r="A170" s="13">
        <v>46661</v>
      </c>
      <c r="B170" s="44">
        <v>31</v>
      </c>
      <c r="C170" s="35">
        <v>131.881</v>
      </c>
      <c r="D170" s="35">
        <v>277.16699999999997</v>
      </c>
      <c r="E170" s="41">
        <v>829.952</v>
      </c>
      <c r="F170" s="35">
        <v>1239</v>
      </c>
      <c r="G170" s="35">
        <v>75</v>
      </c>
      <c r="H170" s="43">
        <v>600</v>
      </c>
      <c r="I170" s="35">
        <v>695</v>
      </c>
      <c r="J170" s="35">
        <v>0</v>
      </c>
      <c r="K170" s="36"/>
      <c r="L170" s="36"/>
      <c r="M170" s="36"/>
      <c r="N170" s="36"/>
      <c r="O170" s="36"/>
      <c r="P170" s="36"/>
      <c r="Q170" s="36"/>
      <c r="R170" s="36"/>
      <c r="S170" s="36"/>
      <c r="T170" s="36"/>
    </row>
    <row r="171" spans="1:20" ht="15.75">
      <c r="A171" s="13">
        <v>46692</v>
      </c>
      <c r="B171" s="44">
        <v>30</v>
      </c>
      <c r="C171" s="35">
        <v>122.58</v>
      </c>
      <c r="D171" s="35">
        <v>297.94099999999997</v>
      </c>
      <c r="E171" s="41">
        <v>729.47900000000004</v>
      </c>
      <c r="F171" s="35">
        <v>1150</v>
      </c>
      <c r="G171" s="35">
        <v>100</v>
      </c>
      <c r="H171" s="43">
        <v>600</v>
      </c>
      <c r="I171" s="35">
        <v>695</v>
      </c>
      <c r="J171" s="35">
        <v>50</v>
      </c>
      <c r="K171" s="36"/>
      <c r="L171" s="36"/>
      <c r="M171" s="36"/>
      <c r="N171" s="36"/>
      <c r="O171" s="36"/>
      <c r="P171" s="36"/>
      <c r="Q171" s="36"/>
      <c r="R171" s="36"/>
      <c r="S171" s="36"/>
      <c r="T171" s="36"/>
    </row>
    <row r="172" spans="1:20" ht="15.75">
      <c r="A172" s="13">
        <v>46722</v>
      </c>
      <c r="B172" s="44">
        <v>31</v>
      </c>
      <c r="C172" s="35">
        <v>122.58</v>
      </c>
      <c r="D172" s="35">
        <v>297.94099999999997</v>
      </c>
      <c r="E172" s="41">
        <v>729.47900000000004</v>
      </c>
      <c r="F172" s="35">
        <v>1150</v>
      </c>
      <c r="G172" s="35">
        <v>100</v>
      </c>
      <c r="H172" s="43">
        <v>600</v>
      </c>
      <c r="I172" s="35">
        <v>695</v>
      </c>
      <c r="J172" s="35">
        <v>50</v>
      </c>
      <c r="K172" s="36"/>
      <c r="L172" s="36"/>
      <c r="M172" s="36"/>
      <c r="N172" s="36"/>
      <c r="O172" s="36"/>
      <c r="P172" s="36"/>
      <c r="Q172" s="36"/>
      <c r="R172" s="36"/>
      <c r="S172" s="36"/>
      <c r="T172" s="36"/>
    </row>
    <row r="173" spans="1:20" ht="15.75">
      <c r="A173" s="13">
        <v>46753</v>
      </c>
      <c r="B173" s="44">
        <v>31</v>
      </c>
      <c r="C173" s="35">
        <v>122.58</v>
      </c>
      <c r="D173" s="35">
        <v>297.94099999999997</v>
      </c>
      <c r="E173" s="41">
        <v>729.47900000000004</v>
      </c>
      <c r="F173" s="35">
        <v>1150</v>
      </c>
      <c r="G173" s="35">
        <v>100</v>
      </c>
      <c r="H173" s="43">
        <v>600</v>
      </c>
      <c r="I173" s="35">
        <v>695</v>
      </c>
      <c r="J173" s="35">
        <v>50</v>
      </c>
      <c r="K173" s="36"/>
      <c r="L173" s="36"/>
      <c r="M173" s="36"/>
      <c r="N173" s="36"/>
      <c r="O173" s="36"/>
      <c r="P173" s="36"/>
      <c r="Q173" s="36"/>
      <c r="R173" s="36"/>
      <c r="S173" s="36"/>
      <c r="T173" s="36"/>
    </row>
    <row r="174" spans="1:20" ht="15.75">
      <c r="A174" s="13">
        <v>46784</v>
      </c>
      <c r="B174" s="44">
        <v>29</v>
      </c>
      <c r="C174" s="35">
        <v>122.58</v>
      </c>
      <c r="D174" s="35">
        <v>297.94099999999997</v>
      </c>
      <c r="E174" s="41">
        <v>729.47900000000004</v>
      </c>
      <c r="F174" s="35">
        <v>1150</v>
      </c>
      <c r="G174" s="35">
        <v>100</v>
      </c>
      <c r="H174" s="43">
        <v>600</v>
      </c>
      <c r="I174" s="35">
        <v>695</v>
      </c>
      <c r="J174" s="35">
        <v>50</v>
      </c>
      <c r="K174" s="36"/>
      <c r="L174" s="36"/>
      <c r="M174" s="36"/>
      <c r="N174" s="36"/>
      <c r="O174" s="36"/>
      <c r="P174" s="36"/>
      <c r="Q174" s="36"/>
      <c r="R174" s="36"/>
      <c r="S174" s="36"/>
      <c r="T174" s="36"/>
    </row>
    <row r="175" spans="1:20" ht="15.75">
      <c r="A175" s="13">
        <v>46813</v>
      </c>
      <c r="B175" s="44">
        <v>31</v>
      </c>
      <c r="C175" s="35">
        <v>122.58</v>
      </c>
      <c r="D175" s="35">
        <v>297.94099999999997</v>
      </c>
      <c r="E175" s="41">
        <v>729.47900000000004</v>
      </c>
      <c r="F175" s="35">
        <v>1150</v>
      </c>
      <c r="G175" s="35">
        <v>100</v>
      </c>
      <c r="H175" s="43">
        <v>600</v>
      </c>
      <c r="I175" s="35">
        <v>695</v>
      </c>
      <c r="J175" s="35">
        <v>50</v>
      </c>
      <c r="K175" s="36"/>
      <c r="L175" s="36"/>
      <c r="M175" s="36"/>
      <c r="N175" s="36"/>
      <c r="O175" s="36"/>
      <c r="P175" s="36"/>
      <c r="Q175" s="36"/>
      <c r="R175" s="36"/>
      <c r="S175" s="36"/>
      <c r="T175" s="36"/>
    </row>
    <row r="176" spans="1:20" ht="15.75">
      <c r="A176" s="13">
        <v>46844</v>
      </c>
      <c r="B176" s="44">
        <v>30</v>
      </c>
      <c r="C176" s="35">
        <v>141.29300000000001</v>
      </c>
      <c r="D176" s="35">
        <v>267.99299999999999</v>
      </c>
      <c r="E176" s="41">
        <v>829.71400000000006</v>
      </c>
      <c r="F176" s="35">
        <v>1239</v>
      </c>
      <c r="G176" s="35">
        <v>100</v>
      </c>
      <c r="H176" s="43">
        <v>600</v>
      </c>
      <c r="I176" s="35">
        <v>695</v>
      </c>
      <c r="J176" s="35">
        <v>50</v>
      </c>
      <c r="K176" s="36"/>
      <c r="L176" s="36"/>
      <c r="M176" s="36"/>
      <c r="N176" s="36"/>
      <c r="O176" s="36"/>
      <c r="P176" s="36"/>
      <c r="Q176" s="36"/>
      <c r="R176" s="36"/>
      <c r="S176" s="36"/>
      <c r="T176" s="36"/>
    </row>
    <row r="177" spans="1:20" ht="15.75">
      <c r="A177" s="13">
        <v>46874</v>
      </c>
      <c r="B177" s="44">
        <v>31</v>
      </c>
      <c r="C177" s="35">
        <v>194.20500000000001</v>
      </c>
      <c r="D177" s="35">
        <v>267.46600000000001</v>
      </c>
      <c r="E177" s="41">
        <v>812.32899999999995</v>
      </c>
      <c r="F177" s="35">
        <v>1274</v>
      </c>
      <c r="G177" s="35">
        <v>75</v>
      </c>
      <c r="H177" s="43">
        <v>600</v>
      </c>
      <c r="I177" s="35">
        <v>695</v>
      </c>
      <c r="J177" s="35">
        <v>50</v>
      </c>
      <c r="K177" s="36"/>
      <c r="L177" s="36"/>
      <c r="M177" s="36"/>
      <c r="N177" s="36"/>
      <c r="O177" s="36"/>
      <c r="P177" s="36"/>
      <c r="Q177" s="36"/>
      <c r="R177" s="36"/>
      <c r="S177" s="36"/>
      <c r="T177" s="36"/>
    </row>
    <row r="178" spans="1:20" ht="15.75">
      <c r="A178" s="13">
        <v>46905</v>
      </c>
      <c r="B178" s="44">
        <v>30</v>
      </c>
      <c r="C178" s="35">
        <v>194.20500000000001</v>
      </c>
      <c r="D178" s="35">
        <v>267.46600000000001</v>
      </c>
      <c r="E178" s="41">
        <v>812.32899999999995</v>
      </c>
      <c r="F178" s="35">
        <v>1274</v>
      </c>
      <c r="G178" s="35">
        <v>50</v>
      </c>
      <c r="H178" s="43">
        <v>600</v>
      </c>
      <c r="I178" s="35">
        <v>695</v>
      </c>
      <c r="J178" s="35">
        <v>50</v>
      </c>
      <c r="K178" s="36"/>
      <c r="L178" s="36"/>
      <c r="M178" s="36"/>
      <c r="N178" s="36"/>
      <c r="O178" s="36"/>
      <c r="P178" s="36"/>
      <c r="Q178" s="36"/>
      <c r="R178" s="36"/>
      <c r="S178" s="36"/>
      <c r="T178" s="36"/>
    </row>
    <row r="179" spans="1:20" ht="15.75">
      <c r="A179" s="13">
        <v>46935</v>
      </c>
      <c r="B179" s="44">
        <v>31</v>
      </c>
      <c r="C179" s="35">
        <v>194.20500000000001</v>
      </c>
      <c r="D179" s="35">
        <v>267.46600000000001</v>
      </c>
      <c r="E179" s="41">
        <v>812.32899999999995</v>
      </c>
      <c r="F179" s="35">
        <v>1274</v>
      </c>
      <c r="G179" s="35">
        <v>50</v>
      </c>
      <c r="H179" s="43">
        <v>600</v>
      </c>
      <c r="I179" s="35">
        <v>695</v>
      </c>
      <c r="J179" s="35">
        <v>0</v>
      </c>
      <c r="K179" s="36"/>
      <c r="L179" s="36"/>
      <c r="M179" s="36"/>
      <c r="N179" s="36"/>
      <c r="O179" s="36"/>
      <c r="P179" s="36"/>
      <c r="Q179" s="36"/>
      <c r="R179" s="36"/>
      <c r="S179" s="36"/>
      <c r="T179" s="36"/>
    </row>
    <row r="180" spans="1:20" ht="15.75">
      <c r="A180" s="13">
        <v>46966</v>
      </c>
      <c r="B180" s="44">
        <v>31</v>
      </c>
      <c r="C180" s="35">
        <v>194.20500000000001</v>
      </c>
      <c r="D180" s="35">
        <v>267.46600000000001</v>
      </c>
      <c r="E180" s="41">
        <v>812.32899999999995</v>
      </c>
      <c r="F180" s="35">
        <v>1274</v>
      </c>
      <c r="G180" s="35">
        <v>50</v>
      </c>
      <c r="H180" s="43">
        <v>600</v>
      </c>
      <c r="I180" s="35">
        <v>695</v>
      </c>
      <c r="J180" s="35">
        <v>0</v>
      </c>
      <c r="K180" s="36"/>
      <c r="L180" s="36"/>
      <c r="M180" s="36"/>
      <c r="N180" s="36"/>
      <c r="O180" s="36"/>
      <c r="P180" s="36"/>
      <c r="Q180" s="36"/>
      <c r="R180" s="36"/>
      <c r="S180" s="36"/>
      <c r="T180" s="36"/>
    </row>
    <row r="181" spans="1:20" ht="15.75">
      <c r="A181" s="13">
        <v>46997</v>
      </c>
      <c r="B181" s="44">
        <v>30</v>
      </c>
      <c r="C181" s="35">
        <v>194.20500000000001</v>
      </c>
      <c r="D181" s="35">
        <v>267.46600000000001</v>
      </c>
      <c r="E181" s="41">
        <v>812.32899999999995</v>
      </c>
      <c r="F181" s="35">
        <v>1274</v>
      </c>
      <c r="G181" s="35">
        <v>50</v>
      </c>
      <c r="H181" s="43">
        <v>600</v>
      </c>
      <c r="I181" s="35">
        <v>695</v>
      </c>
      <c r="J181" s="35">
        <v>0</v>
      </c>
      <c r="K181" s="36"/>
      <c r="L181" s="36"/>
      <c r="M181" s="36"/>
      <c r="N181" s="36"/>
      <c r="O181" s="36"/>
      <c r="P181" s="36"/>
      <c r="Q181" s="36"/>
      <c r="R181" s="36"/>
      <c r="S181" s="36"/>
      <c r="T181" s="36"/>
    </row>
    <row r="182" spans="1:20" ht="15.75">
      <c r="A182" s="13">
        <v>47027</v>
      </c>
      <c r="B182" s="44">
        <v>31</v>
      </c>
      <c r="C182" s="35">
        <v>131.881</v>
      </c>
      <c r="D182" s="35">
        <v>277.16699999999997</v>
      </c>
      <c r="E182" s="41">
        <v>829.952</v>
      </c>
      <c r="F182" s="35">
        <v>1239</v>
      </c>
      <c r="G182" s="35">
        <v>75</v>
      </c>
      <c r="H182" s="43">
        <v>600</v>
      </c>
      <c r="I182" s="35">
        <v>695</v>
      </c>
      <c r="J182" s="35">
        <v>0</v>
      </c>
      <c r="K182" s="36"/>
      <c r="L182" s="36"/>
      <c r="M182" s="36"/>
      <c r="N182" s="36"/>
      <c r="O182" s="36"/>
      <c r="P182" s="36"/>
      <c r="Q182" s="36"/>
      <c r="R182" s="36"/>
      <c r="S182" s="36"/>
      <c r="T182" s="36"/>
    </row>
    <row r="183" spans="1:20" ht="15.75">
      <c r="A183" s="13">
        <v>47058</v>
      </c>
      <c r="B183" s="44">
        <v>30</v>
      </c>
      <c r="C183" s="35">
        <v>122.58</v>
      </c>
      <c r="D183" s="35">
        <v>297.94099999999997</v>
      </c>
      <c r="E183" s="41">
        <v>729.47900000000004</v>
      </c>
      <c r="F183" s="35">
        <v>1150</v>
      </c>
      <c r="G183" s="35">
        <v>100</v>
      </c>
      <c r="H183" s="43">
        <v>600</v>
      </c>
      <c r="I183" s="35">
        <v>695</v>
      </c>
      <c r="J183" s="35">
        <v>50</v>
      </c>
      <c r="K183" s="36"/>
      <c r="L183" s="36"/>
      <c r="M183" s="36"/>
      <c r="N183" s="36"/>
      <c r="O183" s="36"/>
      <c r="P183" s="36"/>
      <c r="Q183" s="36"/>
      <c r="R183" s="36"/>
      <c r="S183" s="36"/>
      <c r="T183" s="36"/>
    </row>
    <row r="184" spans="1:20" ht="15.75">
      <c r="A184" s="13">
        <v>47088</v>
      </c>
      <c r="B184" s="44">
        <v>31</v>
      </c>
      <c r="C184" s="35">
        <v>122.58</v>
      </c>
      <c r="D184" s="35">
        <v>297.94099999999997</v>
      </c>
      <c r="E184" s="41">
        <v>729.47900000000004</v>
      </c>
      <c r="F184" s="35">
        <v>1150</v>
      </c>
      <c r="G184" s="35">
        <v>100</v>
      </c>
      <c r="H184" s="43">
        <v>600</v>
      </c>
      <c r="I184" s="35">
        <v>695</v>
      </c>
      <c r="J184" s="35">
        <v>50</v>
      </c>
      <c r="K184" s="36"/>
      <c r="L184" s="36"/>
      <c r="M184" s="36"/>
      <c r="N184" s="36"/>
      <c r="O184" s="36"/>
      <c r="P184" s="36"/>
      <c r="Q184" s="36"/>
      <c r="R184" s="36"/>
      <c r="S184" s="36"/>
      <c r="T184" s="36"/>
    </row>
    <row r="185" spans="1:20" ht="15.75">
      <c r="A185" s="13">
        <v>47119</v>
      </c>
      <c r="B185" s="44">
        <v>31</v>
      </c>
      <c r="C185" s="35">
        <v>122.58</v>
      </c>
      <c r="D185" s="35">
        <v>297.94099999999997</v>
      </c>
      <c r="E185" s="41">
        <v>729.47900000000004</v>
      </c>
      <c r="F185" s="35">
        <v>1150</v>
      </c>
      <c r="G185" s="35">
        <v>100</v>
      </c>
      <c r="H185" s="43">
        <v>600</v>
      </c>
      <c r="I185" s="35">
        <v>695</v>
      </c>
      <c r="J185" s="35">
        <v>50</v>
      </c>
      <c r="K185" s="36"/>
      <c r="L185" s="36"/>
      <c r="M185" s="36"/>
      <c r="N185" s="36"/>
      <c r="O185" s="36"/>
      <c r="P185" s="36"/>
      <c r="Q185" s="36"/>
      <c r="R185" s="36"/>
      <c r="S185" s="36"/>
      <c r="T185" s="36"/>
    </row>
    <row r="186" spans="1:20" ht="15.75">
      <c r="A186" s="13">
        <v>47150</v>
      </c>
      <c r="B186" s="44">
        <v>28</v>
      </c>
      <c r="C186" s="35">
        <v>122.58</v>
      </c>
      <c r="D186" s="35">
        <v>297.94099999999997</v>
      </c>
      <c r="E186" s="41">
        <v>729.47900000000004</v>
      </c>
      <c r="F186" s="35">
        <v>1150</v>
      </c>
      <c r="G186" s="35">
        <v>100</v>
      </c>
      <c r="H186" s="43">
        <v>600</v>
      </c>
      <c r="I186" s="35">
        <v>695</v>
      </c>
      <c r="J186" s="35">
        <v>50</v>
      </c>
      <c r="K186" s="36"/>
      <c r="L186" s="36"/>
      <c r="M186" s="36"/>
      <c r="N186" s="36"/>
      <c r="O186" s="36"/>
      <c r="P186" s="36"/>
      <c r="Q186" s="36"/>
      <c r="R186" s="36"/>
      <c r="S186" s="36"/>
      <c r="T186" s="36"/>
    </row>
    <row r="187" spans="1:20" ht="15.75">
      <c r="A187" s="13">
        <v>47178</v>
      </c>
      <c r="B187" s="44">
        <v>31</v>
      </c>
      <c r="C187" s="35">
        <v>122.58</v>
      </c>
      <c r="D187" s="35">
        <v>297.94099999999997</v>
      </c>
      <c r="E187" s="41">
        <v>729.47900000000004</v>
      </c>
      <c r="F187" s="35">
        <v>1150</v>
      </c>
      <c r="G187" s="35">
        <v>100</v>
      </c>
      <c r="H187" s="43">
        <v>600</v>
      </c>
      <c r="I187" s="35">
        <v>695</v>
      </c>
      <c r="J187" s="35">
        <v>50</v>
      </c>
      <c r="K187" s="36"/>
      <c r="L187" s="36"/>
      <c r="M187" s="36"/>
      <c r="N187" s="36"/>
      <c r="O187" s="36"/>
      <c r="P187" s="36"/>
      <c r="Q187" s="36"/>
      <c r="R187" s="36"/>
      <c r="S187" s="36"/>
      <c r="T187" s="36"/>
    </row>
    <row r="188" spans="1:20" ht="15.75">
      <c r="A188" s="13">
        <v>47209</v>
      </c>
      <c r="B188" s="44">
        <v>30</v>
      </c>
      <c r="C188" s="35">
        <v>141.29300000000001</v>
      </c>
      <c r="D188" s="35">
        <v>267.99299999999999</v>
      </c>
      <c r="E188" s="41">
        <v>829.71400000000006</v>
      </c>
      <c r="F188" s="35">
        <v>1239</v>
      </c>
      <c r="G188" s="35">
        <v>100</v>
      </c>
      <c r="H188" s="43">
        <v>600</v>
      </c>
      <c r="I188" s="35">
        <v>695</v>
      </c>
      <c r="J188" s="35">
        <v>50</v>
      </c>
      <c r="K188" s="36"/>
      <c r="L188" s="36"/>
      <c r="M188" s="36"/>
      <c r="N188" s="36"/>
      <c r="O188" s="36"/>
      <c r="P188" s="36"/>
      <c r="Q188" s="36"/>
      <c r="R188" s="36"/>
      <c r="S188" s="36"/>
      <c r="T188" s="36"/>
    </row>
    <row r="189" spans="1:20" ht="15.75">
      <c r="A189" s="13">
        <v>47239</v>
      </c>
      <c r="B189" s="44">
        <v>31</v>
      </c>
      <c r="C189" s="35">
        <v>194.20500000000001</v>
      </c>
      <c r="D189" s="35">
        <v>267.46600000000001</v>
      </c>
      <c r="E189" s="41">
        <v>812.32899999999995</v>
      </c>
      <c r="F189" s="35">
        <v>1274</v>
      </c>
      <c r="G189" s="35">
        <v>75</v>
      </c>
      <c r="H189" s="43">
        <v>600</v>
      </c>
      <c r="I189" s="35">
        <v>695</v>
      </c>
      <c r="J189" s="35">
        <v>50</v>
      </c>
      <c r="K189" s="36"/>
      <c r="L189" s="36"/>
      <c r="M189" s="36"/>
      <c r="N189" s="36"/>
      <c r="O189" s="36"/>
      <c r="P189" s="36"/>
      <c r="Q189" s="36"/>
      <c r="R189" s="36"/>
      <c r="S189" s="36"/>
      <c r="T189" s="36"/>
    </row>
    <row r="190" spans="1:20" ht="15.75">
      <c r="A190" s="13">
        <v>47270</v>
      </c>
      <c r="B190" s="44">
        <v>30</v>
      </c>
      <c r="C190" s="35">
        <v>194.20500000000001</v>
      </c>
      <c r="D190" s="35">
        <v>267.46600000000001</v>
      </c>
      <c r="E190" s="41">
        <v>812.32899999999995</v>
      </c>
      <c r="F190" s="35">
        <v>1274</v>
      </c>
      <c r="G190" s="35">
        <v>50</v>
      </c>
      <c r="H190" s="43">
        <v>600</v>
      </c>
      <c r="I190" s="35">
        <v>695</v>
      </c>
      <c r="J190" s="35">
        <v>50</v>
      </c>
      <c r="K190" s="36"/>
      <c r="L190" s="36"/>
      <c r="M190" s="36"/>
      <c r="N190" s="36"/>
      <c r="O190" s="36"/>
      <c r="P190" s="36"/>
      <c r="Q190" s="36"/>
      <c r="R190" s="36"/>
      <c r="S190" s="36"/>
      <c r="T190" s="36"/>
    </row>
    <row r="191" spans="1:20" ht="15.75">
      <c r="A191" s="13">
        <v>47300</v>
      </c>
      <c r="B191" s="44">
        <v>31</v>
      </c>
      <c r="C191" s="35">
        <v>194.20500000000001</v>
      </c>
      <c r="D191" s="35">
        <v>267.46600000000001</v>
      </c>
      <c r="E191" s="41">
        <v>812.32899999999995</v>
      </c>
      <c r="F191" s="35">
        <v>1274</v>
      </c>
      <c r="G191" s="35">
        <v>50</v>
      </c>
      <c r="H191" s="43">
        <v>600</v>
      </c>
      <c r="I191" s="35">
        <v>695</v>
      </c>
      <c r="J191" s="35">
        <v>0</v>
      </c>
      <c r="K191" s="36"/>
      <c r="L191" s="36"/>
      <c r="M191" s="36"/>
      <c r="N191" s="36"/>
      <c r="O191" s="36"/>
      <c r="P191" s="36"/>
      <c r="Q191" s="36"/>
      <c r="R191" s="36"/>
      <c r="S191" s="36"/>
      <c r="T191" s="36"/>
    </row>
    <row r="192" spans="1:20" ht="15.75">
      <c r="A192" s="13">
        <v>47331</v>
      </c>
      <c r="B192" s="44">
        <v>31</v>
      </c>
      <c r="C192" s="35">
        <v>194.20500000000001</v>
      </c>
      <c r="D192" s="35">
        <v>267.46600000000001</v>
      </c>
      <c r="E192" s="41">
        <v>812.32899999999995</v>
      </c>
      <c r="F192" s="35">
        <v>1274</v>
      </c>
      <c r="G192" s="35">
        <v>50</v>
      </c>
      <c r="H192" s="43">
        <v>600</v>
      </c>
      <c r="I192" s="35">
        <v>695</v>
      </c>
      <c r="J192" s="35">
        <v>0</v>
      </c>
      <c r="K192" s="36"/>
      <c r="L192" s="36"/>
      <c r="M192" s="36"/>
      <c r="N192" s="36"/>
      <c r="O192" s="36"/>
      <c r="P192" s="36"/>
      <c r="Q192" s="36"/>
      <c r="R192" s="36"/>
      <c r="S192" s="36"/>
      <c r="T192" s="36"/>
    </row>
    <row r="193" spans="1:20" ht="15.75">
      <c r="A193" s="13">
        <v>47362</v>
      </c>
      <c r="B193" s="44">
        <v>30</v>
      </c>
      <c r="C193" s="35">
        <v>194.20500000000001</v>
      </c>
      <c r="D193" s="35">
        <v>267.46600000000001</v>
      </c>
      <c r="E193" s="41">
        <v>812.32899999999995</v>
      </c>
      <c r="F193" s="35">
        <v>1274</v>
      </c>
      <c r="G193" s="35">
        <v>50</v>
      </c>
      <c r="H193" s="43">
        <v>600</v>
      </c>
      <c r="I193" s="35">
        <v>695</v>
      </c>
      <c r="J193" s="35">
        <v>0</v>
      </c>
      <c r="K193" s="36"/>
      <c r="L193" s="36"/>
      <c r="M193" s="36"/>
      <c r="N193" s="36"/>
      <c r="O193" s="36"/>
      <c r="P193" s="36"/>
      <c r="Q193" s="36"/>
      <c r="R193" s="36"/>
      <c r="S193" s="36"/>
      <c r="T193" s="36"/>
    </row>
    <row r="194" spans="1:20" ht="15.75">
      <c r="A194" s="13">
        <v>47392</v>
      </c>
      <c r="B194" s="44">
        <v>31</v>
      </c>
      <c r="C194" s="35">
        <v>131.881</v>
      </c>
      <c r="D194" s="35">
        <v>277.16699999999997</v>
      </c>
      <c r="E194" s="41">
        <v>829.952</v>
      </c>
      <c r="F194" s="35">
        <v>1239</v>
      </c>
      <c r="G194" s="35">
        <v>75</v>
      </c>
      <c r="H194" s="43">
        <v>600</v>
      </c>
      <c r="I194" s="35">
        <v>695</v>
      </c>
      <c r="J194" s="35">
        <v>0</v>
      </c>
      <c r="K194" s="36"/>
      <c r="L194" s="36"/>
      <c r="M194" s="36"/>
      <c r="N194" s="36"/>
      <c r="O194" s="36"/>
      <c r="P194" s="36"/>
      <c r="Q194" s="36"/>
      <c r="R194" s="36"/>
      <c r="S194" s="36"/>
      <c r="T194" s="36"/>
    </row>
    <row r="195" spans="1:20" ht="15.75">
      <c r="A195" s="13">
        <v>47423</v>
      </c>
      <c r="B195" s="44">
        <v>30</v>
      </c>
      <c r="C195" s="35">
        <v>122.58</v>
      </c>
      <c r="D195" s="35">
        <v>297.94099999999997</v>
      </c>
      <c r="E195" s="41">
        <v>729.47900000000004</v>
      </c>
      <c r="F195" s="35">
        <v>1150</v>
      </c>
      <c r="G195" s="35">
        <v>100</v>
      </c>
      <c r="H195" s="43">
        <v>600</v>
      </c>
      <c r="I195" s="35">
        <v>695</v>
      </c>
      <c r="J195" s="35">
        <v>50</v>
      </c>
      <c r="K195" s="36"/>
      <c r="L195" s="36"/>
      <c r="M195" s="36"/>
      <c r="N195" s="36"/>
      <c r="O195" s="36"/>
      <c r="P195" s="36"/>
      <c r="Q195" s="36"/>
      <c r="R195" s="36"/>
      <c r="S195" s="36"/>
      <c r="T195" s="36"/>
    </row>
    <row r="196" spans="1:20" ht="15.75">
      <c r="A196" s="13">
        <v>47453</v>
      </c>
      <c r="B196" s="44">
        <v>31</v>
      </c>
      <c r="C196" s="35">
        <v>122.58</v>
      </c>
      <c r="D196" s="35">
        <v>297.94099999999997</v>
      </c>
      <c r="E196" s="41">
        <v>729.47900000000004</v>
      </c>
      <c r="F196" s="35">
        <v>1150</v>
      </c>
      <c r="G196" s="35">
        <v>100</v>
      </c>
      <c r="H196" s="43">
        <v>600</v>
      </c>
      <c r="I196" s="35">
        <v>695</v>
      </c>
      <c r="J196" s="35">
        <v>50</v>
      </c>
      <c r="K196" s="36"/>
      <c r="L196" s="36"/>
      <c r="M196" s="36"/>
      <c r="N196" s="36"/>
      <c r="O196" s="36"/>
      <c r="P196" s="36"/>
      <c r="Q196" s="36"/>
      <c r="R196" s="36"/>
      <c r="S196" s="36"/>
      <c r="T196" s="36"/>
    </row>
    <row r="197" spans="1:20" ht="15.75">
      <c r="A197" s="13">
        <v>47484</v>
      </c>
      <c r="B197" s="44">
        <v>31</v>
      </c>
      <c r="C197" s="35">
        <v>122.58</v>
      </c>
      <c r="D197" s="35">
        <v>297.94099999999997</v>
      </c>
      <c r="E197" s="41">
        <v>729.47900000000004</v>
      </c>
      <c r="F197" s="35">
        <v>1150</v>
      </c>
      <c r="G197" s="35">
        <v>100</v>
      </c>
      <c r="H197" s="43">
        <v>600</v>
      </c>
      <c r="I197" s="35">
        <v>695</v>
      </c>
      <c r="J197" s="35">
        <v>50</v>
      </c>
      <c r="K197" s="36"/>
      <c r="L197" s="36"/>
      <c r="M197" s="36"/>
      <c r="N197" s="36"/>
      <c r="O197" s="36"/>
      <c r="P197" s="36"/>
      <c r="Q197" s="36"/>
      <c r="R197" s="36"/>
      <c r="S197" s="36"/>
      <c r="T197" s="36"/>
    </row>
    <row r="198" spans="1:20" ht="15.75">
      <c r="A198" s="13">
        <v>47515</v>
      </c>
      <c r="B198" s="44">
        <v>28</v>
      </c>
      <c r="C198" s="35">
        <v>122.58</v>
      </c>
      <c r="D198" s="35">
        <v>297.94099999999997</v>
      </c>
      <c r="E198" s="41">
        <v>729.47900000000004</v>
      </c>
      <c r="F198" s="35">
        <v>1150</v>
      </c>
      <c r="G198" s="35">
        <v>100</v>
      </c>
      <c r="H198" s="43">
        <v>600</v>
      </c>
      <c r="I198" s="35">
        <v>695</v>
      </c>
      <c r="J198" s="35">
        <v>50</v>
      </c>
      <c r="K198" s="36"/>
      <c r="L198" s="36"/>
      <c r="M198" s="36"/>
      <c r="N198" s="36"/>
      <c r="O198" s="36"/>
      <c r="P198" s="36"/>
      <c r="Q198" s="36"/>
      <c r="R198" s="36"/>
      <c r="S198" s="36"/>
      <c r="T198" s="36"/>
    </row>
    <row r="199" spans="1:20" ht="15.75">
      <c r="A199" s="13">
        <v>47543</v>
      </c>
      <c r="B199" s="44">
        <v>31</v>
      </c>
      <c r="C199" s="35">
        <v>122.58</v>
      </c>
      <c r="D199" s="35">
        <v>297.94099999999997</v>
      </c>
      <c r="E199" s="41">
        <v>729.47900000000004</v>
      </c>
      <c r="F199" s="35">
        <v>1150</v>
      </c>
      <c r="G199" s="35">
        <v>100</v>
      </c>
      <c r="H199" s="43">
        <v>600</v>
      </c>
      <c r="I199" s="35">
        <v>695</v>
      </c>
      <c r="J199" s="35">
        <v>50</v>
      </c>
      <c r="K199" s="36"/>
      <c r="L199" s="36"/>
      <c r="M199" s="36"/>
      <c r="N199" s="36"/>
      <c r="O199" s="36"/>
      <c r="P199" s="36"/>
      <c r="Q199" s="36"/>
      <c r="R199" s="36"/>
      <c r="S199" s="36"/>
      <c r="T199" s="36"/>
    </row>
    <row r="200" spans="1:20" ht="15.75">
      <c r="A200" s="13">
        <v>47574</v>
      </c>
      <c r="B200" s="44">
        <v>30</v>
      </c>
      <c r="C200" s="35">
        <v>141.29300000000001</v>
      </c>
      <c r="D200" s="35">
        <v>267.99299999999999</v>
      </c>
      <c r="E200" s="41">
        <v>829.71400000000006</v>
      </c>
      <c r="F200" s="35">
        <v>1239</v>
      </c>
      <c r="G200" s="35">
        <v>100</v>
      </c>
      <c r="H200" s="43">
        <v>600</v>
      </c>
      <c r="I200" s="35">
        <v>695</v>
      </c>
      <c r="J200" s="35">
        <v>50</v>
      </c>
      <c r="K200" s="36"/>
      <c r="L200" s="36"/>
      <c r="M200" s="36"/>
      <c r="N200" s="36"/>
      <c r="O200" s="36"/>
      <c r="P200" s="36"/>
      <c r="Q200" s="36"/>
      <c r="R200" s="36"/>
      <c r="S200" s="36"/>
      <c r="T200" s="36"/>
    </row>
    <row r="201" spans="1:20" ht="15.75">
      <c r="A201" s="13">
        <v>47604</v>
      </c>
      <c r="B201" s="44">
        <v>31</v>
      </c>
      <c r="C201" s="35">
        <v>194.20500000000001</v>
      </c>
      <c r="D201" s="35">
        <v>267.46600000000001</v>
      </c>
      <c r="E201" s="41">
        <v>812.32899999999995</v>
      </c>
      <c r="F201" s="35">
        <v>1274</v>
      </c>
      <c r="G201" s="35">
        <v>75</v>
      </c>
      <c r="H201" s="43">
        <v>600</v>
      </c>
      <c r="I201" s="35">
        <v>695</v>
      </c>
      <c r="J201" s="35">
        <v>50</v>
      </c>
      <c r="K201" s="36"/>
      <c r="L201" s="36"/>
      <c r="M201" s="36"/>
      <c r="N201" s="36"/>
      <c r="O201" s="36"/>
      <c r="P201" s="36"/>
      <c r="Q201" s="36"/>
      <c r="R201" s="36"/>
      <c r="S201" s="36"/>
      <c r="T201" s="36"/>
    </row>
    <row r="202" spans="1:20" ht="15.75">
      <c r="A202" s="13">
        <v>47635</v>
      </c>
      <c r="B202" s="44">
        <v>30</v>
      </c>
      <c r="C202" s="35">
        <v>194.20500000000001</v>
      </c>
      <c r="D202" s="35">
        <v>267.46600000000001</v>
      </c>
      <c r="E202" s="41">
        <v>812.32899999999995</v>
      </c>
      <c r="F202" s="35">
        <v>1274</v>
      </c>
      <c r="G202" s="35">
        <v>50</v>
      </c>
      <c r="H202" s="43">
        <v>600</v>
      </c>
      <c r="I202" s="35">
        <v>695</v>
      </c>
      <c r="J202" s="35">
        <v>50</v>
      </c>
      <c r="K202" s="36"/>
      <c r="L202" s="36"/>
      <c r="M202" s="36"/>
      <c r="N202" s="36"/>
      <c r="O202" s="36"/>
      <c r="P202" s="36"/>
      <c r="Q202" s="36"/>
      <c r="R202" s="36"/>
      <c r="S202" s="36"/>
      <c r="T202" s="36"/>
    </row>
    <row r="203" spans="1:20" ht="15.75">
      <c r="A203" s="13">
        <v>47665</v>
      </c>
      <c r="B203" s="44">
        <v>31</v>
      </c>
      <c r="C203" s="35">
        <v>194.20500000000001</v>
      </c>
      <c r="D203" s="35">
        <v>267.46600000000001</v>
      </c>
      <c r="E203" s="41">
        <v>812.32899999999995</v>
      </c>
      <c r="F203" s="35">
        <v>1274</v>
      </c>
      <c r="G203" s="35">
        <v>50</v>
      </c>
      <c r="H203" s="43">
        <v>600</v>
      </c>
      <c r="I203" s="35">
        <v>695</v>
      </c>
      <c r="J203" s="35">
        <v>0</v>
      </c>
      <c r="K203" s="36"/>
      <c r="L203" s="36"/>
      <c r="M203" s="36"/>
      <c r="N203" s="36"/>
      <c r="O203" s="36"/>
      <c r="P203" s="36"/>
      <c r="Q203" s="36"/>
      <c r="R203" s="36"/>
      <c r="S203" s="36"/>
      <c r="T203" s="36"/>
    </row>
    <row r="204" spans="1:20" ht="15.75">
      <c r="A204" s="13">
        <v>47696</v>
      </c>
      <c r="B204" s="44">
        <v>31</v>
      </c>
      <c r="C204" s="35">
        <v>194.20500000000001</v>
      </c>
      <c r="D204" s="35">
        <v>267.46600000000001</v>
      </c>
      <c r="E204" s="41">
        <v>812.32899999999995</v>
      </c>
      <c r="F204" s="35">
        <v>1274</v>
      </c>
      <c r="G204" s="35">
        <v>50</v>
      </c>
      <c r="H204" s="43">
        <v>600</v>
      </c>
      <c r="I204" s="35">
        <v>695</v>
      </c>
      <c r="J204" s="35">
        <v>0</v>
      </c>
      <c r="K204" s="36"/>
      <c r="L204" s="36"/>
      <c r="M204" s="36"/>
      <c r="N204" s="36"/>
      <c r="O204" s="36"/>
      <c r="P204" s="36"/>
      <c r="Q204" s="36"/>
      <c r="R204" s="36"/>
      <c r="S204" s="36"/>
      <c r="T204" s="36"/>
    </row>
    <row r="205" spans="1:20" ht="15.75">
      <c r="A205" s="13">
        <v>47727</v>
      </c>
      <c r="B205" s="44">
        <v>30</v>
      </c>
      <c r="C205" s="35">
        <v>194.20500000000001</v>
      </c>
      <c r="D205" s="35">
        <v>267.46600000000001</v>
      </c>
      <c r="E205" s="41">
        <v>812.32899999999995</v>
      </c>
      <c r="F205" s="35">
        <v>1274</v>
      </c>
      <c r="G205" s="35">
        <v>50</v>
      </c>
      <c r="H205" s="43">
        <v>600</v>
      </c>
      <c r="I205" s="35">
        <v>695</v>
      </c>
      <c r="J205" s="35">
        <v>0</v>
      </c>
      <c r="K205" s="36"/>
      <c r="L205" s="36"/>
      <c r="M205" s="36"/>
      <c r="N205" s="36"/>
      <c r="O205" s="36"/>
      <c r="P205" s="36"/>
      <c r="Q205" s="36"/>
      <c r="R205" s="36"/>
      <c r="S205" s="36"/>
      <c r="T205" s="36"/>
    </row>
    <row r="206" spans="1:20" ht="15.75">
      <c r="A206" s="13">
        <v>47757</v>
      </c>
      <c r="B206" s="44">
        <v>31</v>
      </c>
      <c r="C206" s="35">
        <v>131.881</v>
      </c>
      <c r="D206" s="35">
        <v>277.16699999999997</v>
      </c>
      <c r="E206" s="41">
        <v>829.952</v>
      </c>
      <c r="F206" s="35">
        <v>1239</v>
      </c>
      <c r="G206" s="35">
        <v>75</v>
      </c>
      <c r="H206" s="43">
        <v>600</v>
      </c>
      <c r="I206" s="35">
        <v>695</v>
      </c>
      <c r="J206" s="35">
        <v>0</v>
      </c>
      <c r="K206" s="36"/>
      <c r="L206" s="36"/>
      <c r="M206" s="36"/>
      <c r="N206" s="36"/>
      <c r="O206" s="36"/>
      <c r="P206" s="36"/>
      <c r="Q206" s="36"/>
      <c r="R206" s="36"/>
      <c r="S206" s="36"/>
      <c r="T206" s="36"/>
    </row>
    <row r="207" spans="1:20" ht="15.75">
      <c r="A207" s="13">
        <v>47788</v>
      </c>
      <c r="B207" s="44">
        <v>30</v>
      </c>
      <c r="C207" s="35">
        <v>122.58</v>
      </c>
      <c r="D207" s="35">
        <v>297.94099999999997</v>
      </c>
      <c r="E207" s="41">
        <v>729.47900000000004</v>
      </c>
      <c r="F207" s="35">
        <v>1150</v>
      </c>
      <c r="G207" s="35">
        <v>100</v>
      </c>
      <c r="H207" s="43">
        <v>600</v>
      </c>
      <c r="I207" s="35">
        <v>695</v>
      </c>
      <c r="J207" s="35">
        <v>50</v>
      </c>
      <c r="K207" s="36"/>
      <c r="L207" s="36"/>
      <c r="M207" s="36"/>
      <c r="N207" s="36"/>
      <c r="O207" s="36"/>
      <c r="P207" s="36"/>
      <c r="Q207" s="36"/>
      <c r="R207" s="36"/>
      <c r="S207" s="36"/>
      <c r="T207" s="36"/>
    </row>
    <row r="208" spans="1:20" ht="15.75">
      <c r="A208" s="13">
        <v>47818</v>
      </c>
      <c r="B208" s="44">
        <v>31</v>
      </c>
      <c r="C208" s="35">
        <v>122.58</v>
      </c>
      <c r="D208" s="35">
        <v>297.94099999999997</v>
      </c>
      <c r="E208" s="41">
        <v>729.47900000000004</v>
      </c>
      <c r="F208" s="35">
        <v>1150</v>
      </c>
      <c r="G208" s="35">
        <v>100</v>
      </c>
      <c r="H208" s="43">
        <v>600</v>
      </c>
      <c r="I208" s="35">
        <v>695</v>
      </c>
      <c r="J208" s="35">
        <v>50</v>
      </c>
      <c r="K208" s="36"/>
      <c r="L208" s="36"/>
      <c r="M208" s="36"/>
      <c r="N208" s="36"/>
      <c r="O208" s="36"/>
      <c r="P208" s="36"/>
      <c r="Q208" s="36"/>
      <c r="R208" s="36"/>
      <c r="S208" s="36"/>
      <c r="T208" s="36"/>
    </row>
    <row r="209" spans="1:20" ht="15.75">
      <c r="A209" s="13">
        <v>47849</v>
      </c>
      <c r="B209" s="44">
        <v>31</v>
      </c>
      <c r="C209" s="35">
        <v>122.58</v>
      </c>
      <c r="D209" s="35">
        <v>297.94099999999997</v>
      </c>
      <c r="E209" s="41">
        <v>729.47900000000004</v>
      </c>
      <c r="F209" s="35">
        <v>1150</v>
      </c>
      <c r="G209" s="35">
        <v>100</v>
      </c>
      <c r="H209" s="43">
        <v>600</v>
      </c>
      <c r="I209" s="35">
        <v>695</v>
      </c>
      <c r="J209" s="35">
        <v>50</v>
      </c>
      <c r="K209" s="36"/>
      <c r="L209" s="36"/>
      <c r="M209" s="36"/>
      <c r="N209" s="36"/>
      <c r="O209" s="36"/>
      <c r="P209" s="36"/>
      <c r="Q209" s="36"/>
      <c r="R209" s="36"/>
      <c r="S209" s="36"/>
      <c r="T209" s="36"/>
    </row>
    <row r="210" spans="1:20" ht="15.75">
      <c r="A210" s="13">
        <v>47880</v>
      </c>
      <c r="B210" s="44">
        <v>28</v>
      </c>
      <c r="C210" s="35">
        <v>122.58</v>
      </c>
      <c r="D210" s="35">
        <v>297.94099999999997</v>
      </c>
      <c r="E210" s="41">
        <v>729.47900000000004</v>
      </c>
      <c r="F210" s="35">
        <v>1150</v>
      </c>
      <c r="G210" s="35">
        <v>100</v>
      </c>
      <c r="H210" s="43">
        <v>600</v>
      </c>
      <c r="I210" s="35">
        <v>695</v>
      </c>
      <c r="J210" s="35">
        <v>50</v>
      </c>
      <c r="K210" s="36"/>
      <c r="L210" s="36"/>
      <c r="M210" s="36"/>
      <c r="N210" s="36"/>
      <c r="O210" s="36"/>
      <c r="P210" s="36"/>
      <c r="Q210" s="36"/>
      <c r="R210" s="36"/>
      <c r="S210" s="36"/>
      <c r="T210" s="36"/>
    </row>
    <row r="211" spans="1:20" ht="15.75">
      <c r="A211" s="13">
        <v>47908</v>
      </c>
      <c r="B211" s="44">
        <v>31</v>
      </c>
      <c r="C211" s="35">
        <v>122.58</v>
      </c>
      <c r="D211" s="35">
        <v>297.94099999999997</v>
      </c>
      <c r="E211" s="41">
        <v>729.47900000000004</v>
      </c>
      <c r="F211" s="35">
        <v>1150</v>
      </c>
      <c r="G211" s="35">
        <v>100</v>
      </c>
      <c r="H211" s="43">
        <v>600</v>
      </c>
      <c r="I211" s="35">
        <v>695</v>
      </c>
      <c r="J211" s="35">
        <v>50</v>
      </c>
      <c r="K211" s="36"/>
      <c r="L211" s="36"/>
      <c r="M211" s="36"/>
      <c r="N211" s="36"/>
      <c r="O211" s="36"/>
      <c r="P211" s="36"/>
      <c r="Q211" s="36"/>
      <c r="R211" s="36"/>
      <c r="S211" s="36"/>
      <c r="T211" s="36"/>
    </row>
    <row r="212" spans="1:20" ht="15.75">
      <c r="A212" s="13">
        <v>47939</v>
      </c>
      <c r="B212" s="44">
        <v>30</v>
      </c>
      <c r="C212" s="35">
        <v>141.29300000000001</v>
      </c>
      <c r="D212" s="35">
        <v>267.99299999999999</v>
      </c>
      <c r="E212" s="41">
        <v>829.71400000000006</v>
      </c>
      <c r="F212" s="35">
        <v>1239</v>
      </c>
      <c r="G212" s="35">
        <v>100</v>
      </c>
      <c r="H212" s="43">
        <v>600</v>
      </c>
      <c r="I212" s="35">
        <v>695</v>
      </c>
      <c r="J212" s="35">
        <v>50</v>
      </c>
      <c r="K212" s="36"/>
      <c r="L212" s="36"/>
      <c r="M212" s="36"/>
      <c r="N212" s="36"/>
      <c r="O212" s="36"/>
      <c r="P212" s="36"/>
      <c r="Q212" s="36"/>
      <c r="R212" s="36"/>
      <c r="S212" s="36"/>
      <c r="T212" s="36"/>
    </row>
    <row r="213" spans="1:20" ht="15.75">
      <c r="A213" s="13">
        <v>47969</v>
      </c>
      <c r="B213" s="44">
        <v>31</v>
      </c>
      <c r="C213" s="35">
        <v>194.20500000000001</v>
      </c>
      <c r="D213" s="35">
        <v>267.46600000000001</v>
      </c>
      <c r="E213" s="41">
        <v>812.32899999999995</v>
      </c>
      <c r="F213" s="35">
        <v>1274</v>
      </c>
      <c r="G213" s="35">
        <v>75</v>
      </c>
      <c r="H213" s="43">
        <v>600</v>
      </c>
      <c r="I213" s="35">
        <v>695</v>
      </c>
      <c r="J213" s="35">
        <v>50</v>
      </c>
      <c r="K213" s="36"/>
      <c r="L213" s="36"/>
      <c r="M213" s="36"/>
      <c r="N213" s="36"/>
      <c r="O213" s="36"/>
      <c r="P213" s="36"/>
      <c r="Q213" s="36"/>
      <c r="R213" s="36"/>
      <c r="S213" s="36"/>
      <c r="T213" s="36"/>
    </row>
    <row r="214" spans="1:20" ht="15.75">
      <c r="A214" s="13">
        <v>48000</v>
      </c>
      <c r="B214" s="44">
        <v>30</v>
      </c>
      <c r="C214" s="35">
        <v>194.20500000000001</v>
      </c>
      <c r="D214" s="35">
        <v>267.46600000000001</v>
      </c>
      <c r="E214" s="41">
        <v>812.32899999999995</v>
      </c>
      <c r="F214" s="35">
        <v>1274</v>
      </c>
      <c r="G214" s="35">
        <v>50</v>
      </c>
      <c r="H214" s="43">
        <v>600</v>
      </c>
      <c r="I214" s="35">
        <v>695</v>
      </c>
      <c r="J214" s="35">
        <v>50</v>
      </c>
      <c r="K214" s="36"/>
      <c r="L214" s="36"/>
      <c r="M214" s="36"/>
      <c r="N214" s="36"/>
      <c r="O214" s="36"/>
      <c r="P214" s="36"/>
      <c r="Q214" s="36"/>
      <c r="R214" s="36"/>
      <c r="S214" s="36"/>
      <c r="T214" s="36"/>
    </row>
    <row r="215" spans="1:20" ht="15.75">
      <c r="A215" s="13">
        <v>48030</v>
      </c>
      <c r="B215" s="44">
        <v>31</v>
      </c>
      <c r="C215" s="35">
        <v>194.20500000000001</v>
      </c>
      <c r="D215" s="35">
        <v>267.46600000000001</v>
      </c>
      <c r="E215" s="41">
        <v>812.32899999999995</v>
      </c>
      <c r="F215" s="35">
        <v>1274</v>
      </c>
      <c r="G215" s="35">
        <v>50</v>
      </c>
      <c r="H215" s="43">
        <v>600</v>
      </c>
      <c r="I215" s="35">
        <v>695</v>
      </c>
      <c r="J215" s="35">
        <v>0</v>
      </c>
      <c r="K215" s="36"/>
      <c r="L215" s="36"/>
      <c r="M215" s="36"/>
      <c r="N215" s="36"/>
      <c r="O215" s="36"/>
      <c r="P215" s="36"/>
      <c r="Q215" s="36"/>
      <c r="R215" s="36"/>
      <c r="S215" s="36"/>
      <c r="T215" s="36"/>
    </row>
    <row r="216" spans="1:20" ht="15.75">
      <c r="A216" s="13">
        <v>48061</v>
      </c>
      <c r="B216" s="44">
        <v>31</v>
      </c>
      <c r="C216" s="35">
        <v>194.20500000000001</v>
      </c>
      <c r="D216" s="35">
        <v>267.46600000000001</v>
      </c>
      <c r="E216" s="41">
        <v>812.32899999999995</v>
      </c>
      <c r="F216" s="35">
        <v>1274</v>
      </c>
      <c r="G216" s="35">
        <v>50</v>
      </c>
      <c r="H216" s="43">
        <v>600</v>
      </c>
      <c r="I216" s="35">
        <v>695</v>
      </c>
      <c r="J216" s="35">
        <v>0</v>
      </c>
      <c r="K216" s="36"/>
      <c r="L216" s="36"/>
      <c r="M216" s="36"/>
      <c r="N216" s="36"/>
      <c r="O216" s="36"/>
      <c r="P216" s="36"/>
      <c r="Q216" s="36"/>
      <c r="R216" s="36"/>
      <c r="S216" s="36"/>
      <c r="T216" s="36"/>
    </row>
    <row r="217" spans="1:20" ht="15.75">
      <c r="A217" s="13">
        <v>48092</v>
      </c>
      <c r="B217" s="44">
        <v>30</v>
      </c>
      <c r="C217" s="35">
        <v>194.20500000000001</v>
      </c>
      <c r="D217" s="35">
        <v>267.46600000000001</v>
      </c>
      <c r="E217" s="41">
        <v>812.32899999999995</v>
      </c>
      <c r="F217" s="35">
        <v>1274</v>
      </c>
      <c r="G217" s="35">
        <v>50</v>
      </c>
      <c r="H217" s="43">
        <v>600</v>
      </c>
      <c r="I217" s="35">
        <v>695</v>
      </c>
      <c r="J217" s="35">
        <v>0</v>
      </c>
      <c r="K217" s="36"/>
      <c r="L217" s="36"/>
      <c r="M217" s="36"/>
      <c r="N217" s="36"/>
      <c r="O217" s="36"/>
      <c r="P217" s="36"/>
      <c r="Q217" s="36"/>
      <c r="R217" s="36"/>
      <c r="S217" s="36"/>
      <c r="T217" s="36"/>
    </row>
    <row r="218" spans="1:20" ht="15.75">
      <c r="A218" s="13">
        <v>48122</v>
      </c>
      <c r="B218" s="44">
        <v>31</v>
      </c>
      <c r="C218" s="35">
        <v>131.881</v>
      </c>
      <c r="D218" s="35">
        <v>277.16699999999997</v>
      </c>
      <c r="E218" s="41">
        <v>829.952</v>
      </c>
      <c r="F218" s="35">
        <v>1239</v>
      </c>
      <c r="G218" s="35">
        <v>75</v>
      </c>
      <c r="H218" s="43">
        <v>600</v>
      </c>
      <c r="I218" s="35">
        <v>695</v>
      </c>
      <c r="J218" s="35">
        <v>0</v>
      </c>
      <c r="K218" s="36"/>
      <c r="L218" s="36"/>
      <c r="M218" s="36"/>
      <c r="N218" s="36"/>
      <c r="O218" s="36"/>
      <c r="P218" s="36"/>
      <c r="Q218" s="36"/>
      <c r="R218" s="36"/>
      <c r="S218" s="36"/>
      <c r="T218" s="36"/>
    </row>
    <row r="219" spans="1:20" ht="15.75">
      <c r="A219" s="13">
        <v>48153</v>
      </c>
      <c r="B219" s="44">
        <v>30</v>
      </c>
      <c r="C219" s="35">
        <v>122.58</v>
      </c>
      <c r="D219" s="35">
        <v>297.94099999999997</v>
      </c>
      <c r="E219" s="41">
        <v>729.47900000000004</v>
      </c>
      <c r="F219" s="35">
        <v>1150</v>
      </c>
      <c r="G219" s="35">
        <v>100</v>
      </c>
      <c r="H219" s="43">
        <v>600</v>
      </c>
      <c r="I219" s="35">
        <v>695</v>
      </c>
      <c r="J219" s="35">
        <v>50</v>
      </c>
      <c r="K219" s="36"/>
      <c r="L219" s="36"/>
      <c r="M219" s="36"/>
      <c r="N219" s="36"/>
      <c r="O219" s="36"/>
      <c r="P219" s="36"/>
      <c r="Q219" s="36"/>
      <c r="R219" s="36"/>
      <c r="S219" s="36"/>
      <c r="T219" s="36"/>
    </row>
    <row r="220" spans="1:20" ht="15.75">
      <c r="A220" s="13">
        <v>48183</v>
      </c>
      <c r="B220" s="44">
        <v>31</v>
      </c>
      <c r="C220" s="35">
        <v>122.58</v>
      </c>
      <c r="D220" s="35">
        <v>297.94099999999997</v>
      </c>
      <c r="E220" s="41">
        <v>729.47900000000004</v>
      </c>
      <c r="F220" s="35">
        <v>1150</v>
      </c>
      <c r="G220" s="35">
        <v>100</v>
      </c>
      <c r="H220" s="43">
        <v>600</v>
      </c>
      <c r="I220" s="35">
        <v>695</v>
      </c>
      <c r="J220" s="35">
        <v>50</v>
      </c>
      <c r="K220" s="36"/>
      <c r="L220" s="36"/>
      <c r="M220" s="36"/>
      <c r="N220" s="36"/>
      <c r="O220" s="36"/>
      <c r="P220" s="36"/>
      <c r="Q220" s="36"/>
      <c r="R220" s="36"/>
      <c r="S220" s="36"/>
      <c r="T220" s="36"/>
    </row>
    <row r="221" spans="1:20" ht="15.75">
      <c r="A221" s="13">
        <v>48214</v>
      </c>
      <c r="B221" s="44">
        <v>31</v>
      </c>
      <c r="C221" s="35">
        <v>122.58</v>
      </c>
      <c r="D221" s="35">
        <v>297.94099999999997</v>
      </c>
      <c r="E221" s="41">
        <v>729.47900000000004</v>
      </c>
      <c r="F221" s="35">
        <v>1150</v>
      </c>
      <c r="G221" s="35">
        <v>100</v>
      </c>
      <c r="H221" s="43">
        <v>600</v>
      </c>
      <c r="I221" s="35">
        <v>695</v>
      </c>
      <c r="J221" s="35">
        <v>50</v>
      </c>
      <c r="K221" s="36"/>
      <c r="L221" s="36"/>
      <c r="M221" s="36"/>
      <c r="N221" s="36"/>
      <c r="O221" s="36"/>
      <c r="P221" s="36"/>
      <c r="Q221" s="36"/>
      <c r="R221" s="36"/>
      <c r="S221" s="36"/>
      <c r="T221" s="36"/>
    </row>
    <row r="222" spans="1:20" ht="15.75">
      <c r="A222" s="13">
        <v>48245</v>
      </c>
      <c r="B222" s="44">
        <v>29</v>
      </c>
      <c r="C222" s="35">
        <v>122.58</v>
      </c>
      <c r="D222" s="35">
        <v>297.94099999999997</v>
      </c>
      <c r="E222" s="41">
        <v>729.47900000000004</v>
      </c>
      <c r="F222" s="35">
        <v>1150</v>
      </c>
      <c r="G222" s="35">
        <v>100</v>
      </c>
      <c r="H222" s="43">
        <v>600</v>
      </c>
      <c r="I222" s="35">
        <v>695</v>
      </c>
      <c r="J222" s="35">
        <v>50</v>
      </c>
      <c r="K222" s="36"/>
      <c r="L222" s="36"/>
      <c r="M222" s="36"/>
      <c r="N222" s="36"/>
      <c r="O222" s="36"/>
      <c r="P222" s="36"/>
      <c r="Q222" s="36"/>
      <c r="R222" s="36"/>
      <c r="S222" s="36"/>
      <c r="T222" s="36"/>
    </row>
    <row r="223" spans="1:20" ht="15.75">
      <c r="A223" s="13">
        <v>48274</v>
      </c>
      <c r="B223" s="44">
        <v>31</v>
      </c>
      <c r="C223" s="35">
        <v>122.58</v>
      </c>
      <c r="D223" s="35">
        <v>297.94099999999997</v>
      </c>
      <c r="E223" s="41">
        <v>729.47900000000004</v>
      </c>
      <c r="F223" s="35">
        <v>1150</v>
      </c>
      <c r="G223" s="35">
        <v>100</v>
      </c>
      <c r="H223" s="43">
        <v>600</v>
      </c>
      <c r="I223" s="35">
        <v>695</v>
      </c>
      <c r="J223" s="35">
        <v>50</v>
      </c>
      <c r="K223" s="36"/>
      <c r="L223" s="36"/>
      <c r="M223" s="36"/>
      <c r="N223" s="36"/>
      <c r="O223" s="36"/>
      <c r="P223" s="36"/>
      <c r="Q223" s="36"/>
      <c r="R223" s="36"/>
      <c r="S223" s="36"/>
      <c r="T223" s="36"/>
    </row>
    <row r="224" spans="1:20" ht="15.75">
      <c r="A224" s="13">
        <v>48305</v>
      </c>
      <c r="B224" s="44">
        <v>30</v>
      </c>
      <c r="C224" s="35">
        <v>141.29300000000001</v>
      </c>
      <c r="D224" s="35">
        <v>267.99299999999999</v>
      </c>
      <c r="E224" s="41">
        <v>829.71400000000006</v>
      </c>
      <c r="F224" s="35">
        <v>1239</v>
      </c>
      <c r="G224" s="35">
        <v>100</v>
      </c>
      <c r="H224" s="43">
        <v>600</v>
      </c>
      <c r="I224" s="35">
        <v>695</v>
      </c>
      <c r="J224" s="35">
        <v>50</v>
      </c>
      <c r="K224" s="36"/>
      <c r="L224" s="36"/>
      <c r="M224" s="36"/>
      <c r="N224" s="36"/>
      <c r="O224" s="36"/>
      <c r="P224" s="36"/>
      <c r="Q224" s="36"/>
      <c r="R224" s="36"/>
      <c r="S224" s="36"/>
      <c r="T224" s="36"/>
    </row>
    <row r="225" spans="1:20" ht="15.75">
      <c r="A225" s="13">
        <v>48335</v>
      </c>
      <c r="B225" s="44">
        <v>31</v>
      </c>
      <c r="C225" s="35">
        <v>194.20500000000001</v>
      </c>
      <c r="D225" s="35">
        <v>267.46600000000001</v>
      </c>
      <c r="E225" s="41">
        <v>812.32899999999995</v>
      </c>
      <c r="F225" s="35">
        <v>1274</v>
      </c>
      <c r="G225" s="35">
        <v>75</v>
      </c>
      <c r="H225" s="43">
        <v>600</v>
      </c>
      <c r="I225" s="35">
        <v>695</v>
      </c>
      <c r="J225" s="35">
        <v>50</v>
      </c>
      <c r="K225" s="36"/>
      <c r="L225" s="36"/>
      <c r="M225" s="36"/>
      <c r="N225" s="36"/>
      <c r="O225" s="36"/>
      <c r="P225" s="36"/>
      <c r="Q225" s="36"/>
      <c r="R225" s="36"/>
      <c r="S225" s="36"/>
      <c r="T225" s="36"/>
    </row>
    <row r="226" spans="1:20" ht="15.75">
      <c r="A226" s="13">
        <v>48366</v>
      </c>
      <c r="B226" s="44">
        <v>30</v>
      </c>
      <c r="C226" s="35">
        <v>194.20500000000001</v>
      </c>
      <c r="D226" s="35">
        <v>267.46600000000001</v>
      </c>
      <c r="E226" s="41">
        <v>812.32899999999995</v>
      </c>
      <c r="F226" s="35">
        <v>1274</v>
      </c>
      <c r="G226" s="35">
        <v>50</v>
      </c>
      <c r="H226" s="43">
        <v>600</v>
      </c>
      <c r="I226" s="35">
        <v>695</v>
      </c>
      <c r="J226" s="35">
        <v>50</v>
      </c>
      <c r="K226" s="36"/>
      <c r="L226" s="36"/>
      <c r="M226" s="36"/>
      <c r="N226" s="36"/>
      <c r="O226" s="36"/>
      <c r="P226" s="36"/>
      <c r="Q226" s="36"/>
      <c r="R226" s="36"/>
      <c r="S226" s="36"/>
      <c r="T226" s="36"/>
    </row>
    <row r="227" spans="1:20" ht="15.75">
      <c r="A227" s="13">
        <v>48396</v>
      </c>
      <c r="B227" s="44">
        <v>31</v>
      </c>
      <c r="C227" s="35">
        <v>194.20500000000001</v>
      </c>
      <c r="D227" s="35">
        <v>267.46600000000001</v>
      </c>
      <c r="E227" s="41">
        <v>812.32899999999995</v>
      </c>
      <c r="F227" s="35">
        <v>1274</v>
      </c>
      <c r="G227" s="35">
        <v>50</v>
      </c>
      <c r="H227" s="43">
        <v>600</v>
      </c>
      <c r="I227" s="35">
        <v>695</v>
      </c>
      <c r="J227" s="35">
        <v>0</v>
      </c>
      <c r="K227" s="36"/>
      <c r="L227" s="36"/>
      <c r="M227" s="36"/>
      <c r="N227" s="36"/>
      <c r="O227" s="36"/>
      <c r="P227" s="36"/>
      <c r="Q227" s="36"/>
      <c r="R227" s="36"/>
      <c r="S227" s="36"/>
      <c r="T227" s="36"/>
    </row>
    <row r="228" spans="1:20" ht="15.75">
      <c r="A228" s="13">
        <v>48427</v>
      </c>
      <c r="B228" s="44">
        <v>31</v>
      </c>
      <c r="C228" s="35">
        <v>194.20500000000001</v>
      </c>
      <c r="D228" s="35">
        <v>267.46600000000001</v>
      </c>
      <c r="E228" s="41">
        <v>812.32899999999995</v>
      </c>
      <c r="F228" s="35">
        <v>1274</v>
      </c>
      <c r="G228" s="35">
        <v>50</v>
      </c>
      <c r="H228" s="43">
        <v>600</v>
      </c>
      <c r="I228" s="35">
        <v>695</v>
      </c>
      <c r="J228" s="35">
        <v>0</v>
      </c>
      <c r="K228" s="36"/>
      <c r="L228" s="36"/>
      <c r="M228" s="36"/>
      <c r="N228" s="36"/>
      <c r="O228" s="36"/>
      <c r="P228" s="36"/>
      <c r="Q228" s="36"/>
      <c r="R228" s="36"/>
      <c r="S228" s="36"/>
      <c r="T228" s="36"/>
    </row>
    <row r="229" spans="1:20" ht="15.75">
      <c r="A229" s="13">
        <v>48458</v>
      </c>
      <c r="B229" s="44">
        <v>30</v>
      </c>
      <c r="C229" s="35">
        <v>194.20500000000001</v>
      </c>
      <c r="D229" s="35">
        <v>267.46600000000001</v>
      </c>
      <c r="E229" s="41">
        <v>812.32899999999995</v>
      </c>
      <c r="F229" s="35">
        <v>1274</v>
      </c>
      <c r="G229" s="35">
        <v>50</v>
      </c>
      <c r="H229" s="43">
        <v>600</v>
      </c>
      <c r="I229" s="35">
        <v>695</v>
      </c>
      <c r="J229" s="35">
        <v>0</v>
      </c>
      <c r="K229" s="36"/>
      <c r="L229" s="36"/>
      <c r="M229" s="36"/>
      <c r="N229" s="36"/>
      <c r="O229" s="36"/>
      <c r="P229" s="36"/>
      <c r="Q229" s="36"/>
      <c r="R229" s="36"/>
      <c r="S229" s="36"/>
      <c r="T229" s="36"/>
    </row>
    <row r="230" spans="1:20" ht="15.75">
      <c r="A230" s="13">
        <v>48488</v>
      </c>
      <c r="B230" s="44">
        <v>31</v>
      </c>
      <c r="C230" s="35">
        <v>131.881</v>
      </c>
      <c r="D230" s="35">
        <v>277.16699999999997</v>
      </c>
      <c r="E230" s="41">
        <v>829.952</v>
      </c>
      <c r="F230" s="35">
        <v>1239</v>
      </c>
      <c r="G230" s="35">
        <v>75</v>
      </c>
      <c r="H230" s="43">
        <v>600</v>
      </c>
      <c r="I230" s="35">
        <v>695</v>
      </c>
      <c r="J230" s="35">
        <v>0</v>
      </c>
      <c r="K230" s="36"/>
      <c r="L230" s="36"/>
      <c r="M230" s="36"/>
      <c r="N230" s="36"/>
      <c r="O230" s="36"/>
      <c r="P230" s="36"/>
      <c r="Q230" s="36"/>
      <c r="R230" s="36"/>
      <c r="S230" s="36"/>
      <c r="T230" s="36"/>
    </row>
    <row r="231" spans="1:20" ht="15.75">
      <c r="A231" s="13">
        <v>48519</v>
      </c>
      <c r="B231" s="44">
        <v>30</v>
      </c>
      <c r="C231" s="35">
        <v>122.58</v>
      </c>
      <c r="D231" s="35">
        <v>297.94099999999997</v>
      </c>
      <c r="E231" s="41">
        <v>729.47900000000004</v>
      </c>
      <c r="F231" s="35">
        <v>1150</v>
      </c>
      <c r="G231" s="35">
        <v>100</v>
      </c>
      <c r="H231" s="43">
        <v>600</v>
      </c>
      <c r="I231" s="35">
        <v>695</v>
      </c>
      <c r="J231" s="35">
        <v>50</v>
      </c>
      <c r="K231" s="36"/>
      <c r="L231" s="36"/>
      <c r="M231" s="36"/>
      <c r="N231" s="36"/>
      <c r="O231" s="36"/>
      <c r="P231" s="36"/>
      <c r="Q231" s="36"/>
      <c r="R231" s="36"/>
      <c r="S231" s="36"/>
      <c r="T231" s="36"/>
    </row>
    <row r="232" spans="1:20" ht="15.75">
      <c r="A232" s="13">
        <v>48549</v>
      </c>
      <c r="B232" s="44">
        <v>31</v>
      </c>
      <c r="C232" s="35">
        <v>122.58</v>
      </c>
      <c r="D232" s="35">
        <v>297.94099999999997</v>
      </c>
      <c r="E232" s="41">
        <v>729.47900000000004</v>
      </c>
      <c r="F232" s="35">
        <v>1150</v>
      </c>
      <c r="G232" s="35">
        <v>100</v>
      </c>
      <c r="H232" s="43">
        <v>600</v>
      </c>
      <c r="I232" s="35">
        <v>695</v>
      </c>
      <c r="J232" s="35">
        <v>50</v>
      </c>
      <c r="K232" s="36"/>
      <c r="L232" s="36"/>
      <c r="M232" s="36"/>
      <c r="N232" s="36"/>
      <c r="O232" s="36"/>
      <c r="P232" s="36"/>
      <c r="Q232" s="36"/>
      <c r="R232" s="36"/>
      <c r="S232" s="36"/>
      <c r="T232" s="36"/>
    </row>
    <row r="233" spans="1:20" ht="15.75">
      <c r="A233" s="13">
        <v>48580</v>
      </c>
      <c r="B233" s="44">
        <v>31</v>
      </c>
      <c r="C233" s="35">
        <v>122.58</v>
      </c>
      <c r="D233" s="35">
        <v>297.94099999999997</v>
      </c>
      <c r="E233" s="41">
        <v>729.47900000000004</v>
      </c>
      <c r="F233" s="35">
        <v>1150</v>
      </c>
      <c r="G233" s="35">
        <v>100</v>
      </c>
      <c r="H233" s="43">
        <v>600</v>
      </c>
      <c r="I233" s="35">
        <v>695</v>
      </c>
      <c r="J233" s="35">
        <v>50</v>
      </c>
      <c r="K233" s="36"/>
      <c r="L233" s="36"/>
      <c r="M233" s="36"/>
      <c r="N233" s="36"/>
      <c r="O233" s="36"/>
      <c r="P233" s="36"/>
      <c r="Q233" s="36"/>
      <c r="R233" s="36"/>
      <c r="S233" s="36"/>
      <c r="T233" s="36"/>
    </row>
    <row r="234" spans="1:20" ht="15.75">
      <c r="A234" s="13">
        <v>48611</v>
      </c>
      <c r="B234" s="44">
        <v>28</v>
      </c>
      <c r="C234" s="35">
        <v>122.58</v>
      </c>
      <c r="D234" s="35">
        <v>297.94099999999997</v>
      </c>
      <c r="E234" s="41">
        <v>729.47900000000004</v>
      </c>
      <c r="F234" s="35">
        <v>1150</v>
      </c>
      <c r="G234" s="35">
        <v>100</v>
      </c>
      <c r="H234" s="43">
        <v>600</v>
      </c>
      <c r="I234" s="35">
        <v>695</v>
      </c>
      <c r="J234" s="35">
        <v>50</v>
      </c>
      <c r="K234" s="36"/>
      <c r="L234" s="36"/>
      <c r="M234" s="36"/>
      <c r="N234" s="36"/>
      <c r="O234" s="36"/>
      <c r="P234" s="36"/>
      <c r="Q234" s="36"/>
      <c r="R234" s="36"/>
      <c r="S234" s="36"/>
      <c r="T234" s="36"/>
    </row>
    <row r="235" spans="1:20" ht="15.75">
      <c r="A235" s="13">
        <v>48639</v>
      </c>
      <c r="B235" s="44">
        <v>31</v>
      </c>
      <c r="C235" s="35">
        <v>122.58</v>
      </c>
      <c r="D235" s="35">
        <v>297.94099999999997</v>
      </c>
      <c r="E235" s="41">
        <v>729.47900000000004</v>
      </c>
      <c r="F235" s="35">
        <v>1150</v>
      </c>
      <c r="G235" s="35">
        <v>100</v>
      </c>
      <c r="H235" s="43">
        <v>600</v>
      </c>
      <c r="I235" s="35">
        <v>695</v>
      </c>
      <c r="J235" s="35">
        <v>50</v>
      </c>
      <c r="K235" s="36"/>
      <c r="L235" s="36"/>
      <c r="M235" s="36"/>
      <c r="N235" s="36"/>
      <c r="O235" s="36"/>
      <c r="P235" s="36"/>
      <c r="Q235" s="36"/>
      <c r="R235" s="36"/>
      <c r="S235" s="36"/>
      <c r="T235" s="36"/>
    </row>
    <row r="236" spans="1:20" ht="15.75">
      <c r="A236" s="13">
        <v>48670</v>
      </c>
      <c r="B236" s="44">
        <v>30</v>
      </c>
      <c r="C236" s="35">
        <v>141.29300000000001</v>
      </c>
      <c r="D236" s="35">
        <v>267.99299999999999</v>
      </c>
      <c r="E236" s="41">
        <v>829.71400000000006</v>
      </c>
      <c r="F236" s="35">
        <v>1239</v>
      </c>
      <c r="G236" s="35">
        <v>100</v>
      </c>
      <c r="H236" s="43">
        <v>600</v>
      </c>
      <c r="I236" s="35">
        <v>695</v>
      </c>
      <c r="J236" s="35">
        <v>50</v>
      </c>
      <c r="K236" s="36"/>
      <c r="L236" s="36"/>
      <c r="M236" s="36"/>
      <c r="N236" s="36"/>
      <c r="O236" s="36"/>
      <c r="P236" s="36"/>
      <c r="Q236" s="36"/>
      <c r="R236" s="36"/>
      <c r="S236" s="36"/>
      <c r="T236" s="36"/>
    </row>
    <row r="237" spans="1:20" ht="15.75">
      <c r="A237" s="13">
        <v>48700</v>
      </c>
      <c r="B237" s="44">
        <v>31</v>
      </c>
      <c r="C237" s="35">
        <v>194.20500000000001</v>
      </c>
      <c r="D237" s="35">
        <v>267.46600000000001</v>
      </c>
      <c r="E237" s="41">
        <v>812.32899999999995</v>
      </c>
      <c r="F237" s="35">
        <v>1274</v>
      </c>
      <c r="G237" s="35">
        <v>75</v>
      </c>
      <c r="H237" s="43">
        <v>600</v>
      </c>
      <c r="I237" s="35">
        <v>695</v>
      </c>
      <c r="J237" s="35">
        <v>50</v>
      </c>
      <c r="K237" s="36"/>
      <c r="L237" s="36"/>
      <c r="M237" s="36"/>
      <c r="N237" s="36"/>
      <c r="O237" s="36"/>
      <c r="P237" s="36"/>
      <c r="Q237" s="36"/>
      <c r="R237" s="36"/>
      <c r="S237" s="36"/>
      <c r="T237" s="36"/>
    </row>
    <row r="238" spans="1:20" ht="15.75">
      <c r="A238" s="13">
        <v>48731</v>
      </c>
      <c r="B238" s="44">
        <v>30</v>
      </c>
      <c r="C238" s="35">
        <v>194.20500000000001</v>
      </c>
      <c r="D238" s="35">
        <v>267.46600000000001</v>
      </c>
      <c r="E238" s="41">
        <v>812.32899999999995</v>
      </c>
      <c r="F238" s="35">
        <v>1274</v>
      </c>
      <c r="G238" s="35">
        <v>50</v>
      </c>
      <c r="H238" s="43">
        <v>600</v>
      </c>
      <c r="I238" s="35">
        <v>695</v>
      </c>
      <c r="J238" s="35">
        <v>50</v>
      </c>
      <c r="K238" s="36"/>
      <c r="L238" s="36"/>
      <c r="M238" s="36"/>
      <c r="N238" s="36"/>
      <c r="O238" s="36"/>
      <c r="P238" s="36"/>
      <c r="Q238" s="36"/>
      <c r="R238" s="36"/>
      <c r="S238" s="36"/>
      <c r="T238" s="36"/>
    </row>
    <row r="239" spans="1:20" ht="15.75">
      <c r="A239" s="13">
        <v>48761</v>
      </c>
      <c r="B239" s="44">
        <v>31</v>
      </c>
      <c r="C239" s="35">
        <v>194.20500000000001</v>
      </c>
      <c r="D239" s="35">
        <v>267.46600000000001</v>
      </c>
      <c r="E239" s="41">
        <v>812.32899999999995</v>
      </c>
      <c r="F239" s="35">
        <v>1274</v>
      </c>
      <c r="G239" s="35">
        <v>50</v>
      </c>
      <c r="H239" s="43">
        <v>600</v>
      </c>
      <c r="I239" s="35">
        <v>695</v>
      </c>
      <c r="J239" s="35">
        <v>0</v>
      </c>
      <c r="K239" s="36"/>
      <c r="L239" s="36"/>
      <c r="M239" s="36"/>
      <c r="N239" s="36"/>
      <c r="O239" s="36"/>
      <c r="P239" s="36"/>
      <c r="Q239" s="36"/>
      <c r="R239" s="36"/>
      <c r="S239" s="36"/>
      <c r="T239" s="36"/>
    </row>
    <row r="240" spans="1:20" ht="15.75">
      <c r="A240" s="13">
        <v>48792</v>
      </c>
      <c r="B240" s="44">
        <v>31</v>
      </c>
      <c r="C240" s="35">
        <v>194.20500000000001</v>
      </c>
      <c r="D240" s="35">
        <v>267.46600000000001</v>
      </c>
      <c r="E240" s="41">
        <v>812.32899999999995</v>
      </c>
      <c r="F240" s="35">
        <v>1274</v>
      </c>
      <c r="G240" s="35">
        <v>50</v>
      </c>
      <c r="H240" s="43">
        <v>600</v>
      </c>
      <c r="I240" s="35">
        <v>695</v>
      </c>
      <c r="J240" s="35">
        <v>0</v>
      </c>
      <c r="K240" s="36"/>
      <c r="L240" s="36"/>
      <c r="M240" s="36"/>
      <c r="N240" s="36"/>
      <c r="O240" s="36"/>
      <c r="P240" s="36"/>
      <c r="Q240" s="36"/>
      <c r="R240" s="36"/>
      <c r="S240" s="36"/>
      <c r="T240" s="36"/>
    </row>
    <row r="241" spans="1:20" ht="15.75">
      <c r="A241" s="13">
        <v>48823</v>
      </c>
      <c r="B241" s="44">
        <v>30</v>
      </c>
      <c r="C241" s="35">
        <v>194.20500000000001</v>
      </c>
      <c r="D241" s="35">
        <v>267.46600000000001</v>
      </c>
      <c r="E241" s="41">
        <v>812.32899999999995</v>
      </c>
      <c r="F241" s="35">
        <v>1274</v>
      </c>
      <c r="G241" s="35">
        <v>50</v>
      </c>
      <c r="H241" s="43">
        <v>600</v>
      </c>
      <c r="I241" s="35">
        <v>695</v>
      </c>
      <c r="J241" s="35">
        <v>0</v>
      </c>
      <c r="K241" s="36"/>
      <c r="L241" s="36"/>
      <c r="M241" s="36"/>
      <c r="N241" s="36"/>
      <c r="O241" s="36"/>
      <c r="P241" s="36"/>
      <c r="Q241" s="36"/>
      <c r="R241" s="36"/>
      <c r="S241" s="36"/>
      <c r="T241" s="36"/>
    </row>
    <row r="242" spans="1:20" ht="15.75">
      <c r="A242" s="13">
        <v>48853</v>
      </c>
      <c r="B242" s="44">
        <v>31</v>
      </c>
      <c r="C242" s="35">
        <v>131.881</v>
      </c>
      <c r="D242" s="35">
        <v>277.16699999999997</v>
      </c>
      <c r="E242" s="41">
        <v>829.952</v>
      </c>
      <c r="F242" s="35">
        <v>1239</v>
      </c>
      <c r="G242" s="35">
        <v>75</v>
      </c>
      <c r="H242" s="43">
        <v>600</v>
      </c>
      <c r="I242" s="35">
        <v>695</v>
      </c>
      <c r="J242" s="35">
        <v>0</v>
      </c>
      <c r="K242" s="36"/>
      <c r="L242" s="36"/>
      <c r="M242" s="36"/>
      <c r="N242" s="36"/>
      <c r="O242" s="36"/>
      <c r="P242" s="36"/>
      <c r="Q242" s="36"/>
      <c r="R242" s="36"/>
      <c r="S242" s="36"/>
      <c r="T242" s="36"/>
    </row>
    <row r="243" spans="1:20" ht="15.75">
      <c r="A243" s="13">
        <v>48884</v>
      </c>
      <c r="B243" s="44">
        <v>30</v>
      </c>
      <c r="C243" s="35">
        <v>122.58</v>
      </c>
      <c r="D243" s="35">
        <v>297.94099999999997</v>
      </c>
      <c r="E243" s="41">
        <v>729.47900000000004</v>
      </c>
      <c r="F243" s="35">
        <v>1150</v>
      </c>
      <c r="G243" s="35">
        <v>100</v>
      </c>
      <c r="H243" s="43">
        <v>600</v>
      </c>
      <c r="I243" s="35">
        <v>695</v>
      </c>
      <c r="J243" s="35">
        <v>50</v>
      </c>
      <c r="K243" s="36"/>
      <c r="L243" s="36"/>
      <c r="M243" s="36"/>
      <c r="N243" s="36"/>
      <c r="O243" s="36"/>
      <c r="P243" s="36"/>
      <c r="Q243" s="36"/>
      <c r="R243" s="36"/>
      <c r="S243" s="36"/>
      <c r="T243" s="36"/>
    </row>
    <row r="244" spans="1:20" ht="15.75">
      <c r="A244" s="13">
        <v>48914</v>
      </c>
      <c r="B244" s="44">
        <v>31</v>
      </c>
      <c r="C244" s="35">
        <v>122.58</v>
      </c>
      <c r="D244" s="35">
        <v>297.94099999999997</v>
      </c>
      <c r="E244" s="41">
        <v>729.47900000000004</v>
      </c>
      <c r="F244" s="35">
        <v>1150</v>
      </c>
      <c r="G244" s="35">
        <v>100</v>
      </c>
      <c r="H244" s="43">
        <v>600</v>
      </c>
      <c r="I244" s="35">
        <v>695</v>
      </c>
      <c r="J244" s="35">
        <v>50</v>
      </c>
      <c r="K244" s="36"/>
      <c r="L244" s="36"/>
      <c r="M244" s="36"/>
      <c r="N244" s="36"/>
      <c r="O244" s="36"/>
      <c r="P244" s="36"/>
      <c r="Q244" s="36"/>
      <c r="R244" s="36"/>
      <c r="S244" s="36"/>
      <c r="T244" s="36"/>
    </row>
    <row r="245" spans="1:20" ht="15.75">
      <c r="A245" s="13">
        <v>48945</v>
      </c>
      <c r="B245" s="44">
        <v>31</v>
      </c>
      <c r="C245" s="35">
        <v>122.58</v>
      </c>
      <c r="D245" s="35">
        <v>297.94099999999997</v>
      </c>
      <c r="E245" s="41">
        <v>729.47900000000004</v>
      </c>
      <c r="F245" s="35">
        <v>1150</v>
      </c>
      <c r="G245" s="35">
        <v>100</v>
      </c>
      <c r="H245" s="43">
        <v>600</v>
      </c>
      <c r="I245" s="35">
        <v>695</v>
      </c>
      <c r="J245" s="35">
        <v>50</v>
      </c>
      <c r="K245" s="36"/>
      <c r="L245" s="36"/>
      <c r="M245" s="36"/>
      <c r="N245" s="36"/>
      <c r="O245" s="36"/>
      <c r="P245" s="36"/>
      <c r="Q245" s="36"/>
      <c r="R245" s="36"/>
      <c r="S245" s="36"/>
      <c r="T245" s="36"/>
    </row>
    <row r="246" spans="1:20" ht="15.75">
      <c r="A246" s="13">
        <v>48976</v>
      </c>
      <c r="B246" s="44">
        <v>28</v>
      </c>
      <c r="C246" s="35">
        <v>122.58</v>
      </c>
      <c r="D246" s="35">
        <v>297.94099999999997</v>
      </c>
      <c r="E246" s="41">
        <v>729.47900000000004</v>
      </c>
      <c r="F246" s="35">
        <v>1150</v>
      </c>
      <c r="G246" s="35">
        <v>100</v>
      </c>
      <c r="H246" s="43">
        <v>600</v>
      </c>
      <c r="I246" s="35">
        <v>695</v>
      </c>
      <c r="J246" s="35">
        <v>50</v>
      </c>
      <c r="K246" s="36"/>
      <c r="L246" s="36"/>
      <c r="M246" s="36"/>
      <c r="N246" s="36"/>
      <c r="O246" s="36"/>
      <c r="P246" s="36"/>
      <c r="Q246" s="36"/>
      <c r="R246" s="36"/>
      <c r="S246" s="36"/>
      <c r="T246" s="36"/>
    </row>
    <row r="247" spans="1:20" ht="15.75">
      <c r="A247" s="13">
        <v>49004</v>
      </c>
      <c r="B247" s="44">
        <v>31</v>
      </c>
      <c r="C247" s="35">
        <v>122.58</v>
      </c>
      <c r="D247" s="35">
        <v>297.94099999999997</v>
      </c>
      <c r="E247" s="41">
        <v>729.47900000000004</v>
      </c>
      <c r="F247" s="35">
        <v>1150</v>
      </c>
      <c r="G247" s="35">
        <v>100</v>
      </c>
      <c r="H247" s="43">
        <v>600</v>
      </c>
      <c r="I247" s="35">
        <v>695</v>
      </c>
      <c r="J247" s="35">
        <v>50</v>
      </c>
      <c r="K247" s="36"/>
      <c r="L247" s="36"/>
      <c r="M247" s="36"/>
      <c r="N247" s="36"/>
      <c r="O247" s="36"/>
      <c r="P247" s="36"/>
      <c r="Q247" s="36"/>
      <c r="R247" s="36"/>
      <c r="S247" s="36"/>
      <c r="T247" s="36"/>
    </row>
    <row r="248" spans="1:20" ht="15.75">
      <c r="A248" s="13">
        <v>49035</v>
      </c>
      <c r="B248" s="44">
        <v>30</v>
      </c>
      <c r="C248" s="35">
        <v>141.29300000000001</v>
      </c>
      <c r="D248" s="35">
        <v>267.99299999999999</v>
      </c>
      <c r="E248" s="41">
        <v>829.71400000000006</v>
      </c>
      <c r="F248" s="35">
        <v>1239</v>
      </c>
      <c r="G248" s="35">
        <v>100</v>
      </c>
      <c r="H248" s="43">
        <v>600</v>
      </c>
      <c r="I248" s="35">
        <v>695</v>
      </c>
      <c r="J248" s="35">
        <v>50</v>
      </c>
      <c r="K248" s="36"/>
      <c r="L248" s="36"/>
      <c r="M248" s="36"/>
      <c r="N248" s="36"/>
      <c r="O248" s="36"/>
      <c r="P248" s="36"/>
      <c r="Q248" s="36"/>
      <c r="R248" s="36"/>
      <c r="S248" s="36"/>
      <c r="T248" s="36"/>
    </row>
    <row r="249" spans="1:20" ht="15.75">
      <c r="A249" s="13">
        <v>49065</v>
      </c>
      <c r="B249" s="44">
        <v>31</v>
      </c>
      <c r="C249" s="35">
        <v>194.20500000000001</v>
      </c>
      <c r="D249" s="35">
        <v>267.46600000000001</v>
      </c>
      <c r="E249" s="41">
        <v>812.32899999999995</v>
      </c>
      <c r="F249" s="35">
        <v>1274</v>
      </c>
      <c r="G249" s="35">
        <v>75</v>
      </c>
      <c r="H249" s="43">
        <v>600</v>
      </c>
      <c r="I249" s="35">
        <v>695</v>
      </c>
      <c r="J249" s="35">
        <v>50</v>
      </c>
      <c r="K249" s="36"/>
      <c r="L249" s="36"/>
      <c r="M249" s="36"/>
      <c r="N249" s="36"/>
      <c r="O249" s="36"/>
      <c r="P249" s="36"/>
      <c r="Q249" s="36"/>
      <c r="R249" s="36"/>
      <c r="S249" s="36"/>
      <c r="T249" s="36"/>
    </row>
    <row r="250" spans="1:20" ht="15.75">
      <c r="A250" s="13">
        <v>49096</v>
      </c>
      <c r="B250" s="44">
        <v>30</v>
      </c>
      <c r="C250" s="35">
        <v>194.20500000000001</v>
      </c>
      <c r="D250" s="35">
        <v>267.46600000000001</v>
      </c>
      <c r="E250" s="41">
        <v>812.32899999999995</v>
      </c>
      <c r="F250" s="35">
        <v>1274</v>
      </c>
      <c r="G250" s="35">
        <v>50</v>
      </c>
      <c r="H250" s="43">
        <v>600</v>
      </c>
      <c r="I250" s="35">
        <v>695</v>
      </c>
      <c r="J250" s="35">
        <v>50</v>
      </c>
      <c r="K250" s="36"/>
      <c r="L250" s="36"/>
      <c r="M250" s="36"/>
      <c r="N250" s="36"/>
      <c r="O250" s="36"/>
      <c r="P250" s="36"/>
      <c r="Q250" s="36"/>
      <c r="R250" s="36"/>
      <c r="S250" s="36"/>
      <c r="T250" s="36"/>
    </row>
    <row r="251" spans="1:20" ht="15.75">
      <c r="A251" s="13">
        <v>49126</v>
      </c>
      <c r="B251" s="44">
        <v>31</v>
      </c>
      <c r="C251" s="35">
        <v>194.20500000000001</v>
      </c>
      <c r="D251" s="35">
        <v>267.46600000000001</v>
      </c>
      <c r="E251" s="41">
        <v>812.32899999999995</v>
      </c>
      <c r="F251" s="35">
        <v>1274</v>
      </c>
      <c r="G251" s="35">
        <v>50</v>
      </c>
      <c r="H251" s="43">
        <v>600</v>
      </c>
      <c r="I251" s="35">
        <v>695</v>
      </c>
      <c r="J251" s="35">
        <v>0</v>
      </c>
      <c r="K251" s="36"/>
      <c r="L251" s="36"/>
      <c r="M251" s="36"/>
      <c r="N251" s="36"/>
      <c r="O251" s="36"/>
      <c r="P251" s="36"/>
      <c r="Q251" s="36"/>
      <c r="R251" s="36"/>
      <c r="S251" s="36"/>
      <c r="T251" s="36"/>
    </row>
    <row r="252" spans="1:20" ht="15.75">
      <c r="A252" s="13">
        <v>49157</v>
      </c>
      <c r="B252" s="44">
        <v>31</v>
      </c>
      <c r="C252" s="35">
        <v>194.20500000000001</v>
      </c>
      <c r="D252" s="35">
        <v>267.46600000000001</v>
      </c>
      <c r="E252" s="41">
        <v>812.32899999999995</v>
      </c>
      <c r="F252" s="35">
        <v>1274</v>
      </c>
      <c r="G252" s="35">
        <v>50</v>
      </c>
      <c r="H252" s="43">
        <v>600</v>
      </c>
      <c r="I252" s="35">
        <v>695</v>
      </c>
      <c r="J252" s="35">
        <v>0</v>
      </c>
      <c r="K252" s="36"/>
      <c r="L252" s="36"/>
      <c r="M252" s="36"/>
      <c r="N252" s="36"/>
      <c r="O252" s="36"/>
      <c r="P252" s="36"/>
      <c r="Q252" s="36"/>
      <c r="R252" s="36"/>
      <c r="S252" s="36"/>
      <c r="T252" s="36"/>
    </row>
    <row r="253" spans="1:20" ht="15.75">
      <c r="A253" s="13">
        <v>49188</v>
      </c>
      <c r="B253" s="44">
        <v>30</v>
      </c>
      <c r="C253" s="35">
        <v>194.20500000000001</v>
      </c>
      <c r="D253" s="35">
        <v>267.46600000000001</v>
      </c>
      <c r="E253" s="41">
        <v>812.32899999999995</v>
      </c>
      <c r="F253" s="35">
        <v>1274</v>
      </c>
      <c r="G253" s="35">
        <v>50</v>
      </c>
      <c r="H253" s="43">
        <v>600</v>
      </c>
      <c r="I253" s="35">
        <v>695</v>
      </c>
      <c r="J253" s="35">
        <v>0</v>
      </c>
      <c r="K253" s="36"/>
      <c r="L253" s="36"/>
      <c r="M253" s="36"/>
      <c r="N253" s="36"/>
      <c r="O253" s="36"/>
      <c r="P253" s="36"/>
      <c r="Q253" s="36"/>
      <c r="R253" s="36"/>
      <c r="S253" s="36"/>
      <c r="T253" s="36"/>
    </row>
    <row r="254" spans="1:20" ht="15.75">
      <c r="A254" s="13">
        <v>49218</v>
      </c>
      <c r="B254" s="44">
        <v>31</v>
      </c>
      <c r="C254" s="35">
        <v>131.881</v>
      </c>
      <c r="D254" s="35">
        <v>277.16699999999997</v>
      </c>
      <c r="E254" s="41">
        <v>829.952</v>
      </c>
      <c r="F254" s="35">
        <v>1239</v>
      </c>
      <c r="G254" s="35">
        <v>75</v>
      </c>
      <c r="H254" s="43">
        <v>600</v>
      </c>
      <c r="I254" s="35">
        <v>695</v>
      </c>
      <c r="J254" s="35">
        <v>0</v>
      </c>
      <c r="K254" s="36"/>
      <c r="L254" s="36"/>
      <c r="M254" s="36"/>
      <c r="N254" s="36"/>
      <c r="O254" s="36"/>
      <c r="P254" s="36"/>
      <c r="Q254" s="36"/>
      <c r="R254" s="36"/>
      <c r="S254" s="36"/>
      <c r="T254" s="36"/>
    </row>
    <row r="255" spans="1:20" ht="15.75">
      <c r="A255" s="13">
        <v>49249</v>
      </c>
      <c r="B255" s="44">
        <v>30</v>
      </c>
      <c r="C255" s="35">
        <v>122.58</v>
      </c>
      <c r="D255" s="35">
        <v>297.94099999999997</v>
      </c>
      <c r="E255" s="41">
        <v>729.47900000000004</v>
      </c>
      <c r="F255" s="35">
        <v>1150</v>
      </c>
      <c r="G255" s="35">
        <v>100</v>
      </c>
      <c r="H255" s="43">
        <v>600</v>
      </c>
      <c r="I255" s="35">
        <v>695</v>
      </c>
      <c r="J255" s="35">
        <v>50</v>
      </c>
      <c r="K255" s="36"/>
      <c r="L255" s="36"/>
      <c r="M255" s="36"/>
      <c r="N255" s="36"/>
      <c r="O255" s="36"/>
      <c r="P255" s="36"/>
      <c r="Q255" s="36"/>
      <c r="R255" s="36"/>
      <c r="S255" s="36"/>
      <c r="T255" s="36"/>
    </row>
    <row r="256" spans="1:20" ht="15.75">
      <c r="A256" s="13">
        <v>49279</v>
      </c>
      <c r="B256" s="44">
        <v>31</v>
      </c>
      <c r="C256" s="35">
        <v>122.58</v>
      </c>
      <c r="D256" s="35">
        <v>297.94099999999997</v>
      </c>
      <c r="E256" s="41">
        <v>729.47900000000004</v>
      </c>
      <c r="F256" s="35">
        <v>1150</v>
      </c>
      <c r="G256" s="35">
        <v>100</v>
      </c>
      <c r="H256" s="43">
        <v>600</v>
      </c>
      <c r="I256" s="35">
        <v>695</v>
      </c>
      <c r="J256" s="35">
        <v>50</v>
      </c>
      <c r="K256" s="36"/>
      <c r="L256" s="36"/>
      <c r="M256" s="36"/>
      <c r="N256" s="36"/>
      <c r="O256" s="36"/>
      <c r="P256" s="36"/>
      <c r="Q256" s="36"/>
      <c r="R256" s="36"/>
      <c r="S256" s="36"/>
      <c r="T256" s="36"/>
    </row>
    <row r="257" spans="1:20" ht="15.75">
      <c r="A257" s="13">
        <v>49310</v>
      </c>
      <c r="B257" s="44">
        <v>31</v>
      </c>
      <c r="C257" s="35">
        <v>122.58</v>
      </c>
      <c r="D257" s="35">
        <v>297.94099999999997</v>
      </c>
      <c r="E257" s="41">
        <v>729.47900000000004</v>
      </c>
      <c r="F257" s="35">
        <v>1150</v>
      </c>
      <c r="G257" s="35">
        <v>100</v>
      </c>
      <c r="H257" s="43">
        <v>600</v>
      </c>
      <c r="I257" s="35">
        <v>695</v>
      </c>
      <c r="J257" s="35">
        <v>50</v>
      </c>
      <c r="K257" s="36"/>
      <c r="L257" s="36"/>
      <c r="M257" s="36"/>
      <c r="N257" s="36"/>
      <c r="O257" s="36"/>
      <c r="P257" s="36"/>
      <c r="Q257" s="36"/>
      <c r="R257" s="36"/>
      <c r="S257" s="36"/>
      <c r="T257" s="36"/>
    </row>
    <row r="258" spans="1:20" ht="15.75">
      <c r="A258" s="13">
        <v>49341</v>
      </c>
      <c r="B258" s="44">
        <v>28</v>
      </c>
      <c r="C258" s="35">
        <v>122.58</v>
      </c>
      <c r="D258" s="35">
        <v>297.94099999999997</v>
      </c>
      <c r="E258" s="41">
        <v>729.47900000000004</v>
      </c>
      <c r="F258" s="35">
        <v>1150</v>
      </c>
      <c r="G258" s="35">
        <v>100</v>
      </c>
      <c r="H258" s="43">
        <v>600</v>
      </c>
      <c r="I258" s="35">
        <v>695</v>
      </c>
      <c r="J258" s="35">
        <v>50</v>
      </c>
      <c r="K258" s="36"/>
      <c r="L258" s="36"/>
      <c r="M258" s="36"/>
      <c r="N258" s="36"/>
      <c r="O258" s="36"/>
      <c r="P258" s="36"/>
      <c r="Q258" s="36"/>
      <c r="R258" s="36"/>
      <c r="S258" s="36"/>
      <c r="T258" s="36"/>
    </row>
    <row r="259" spans="1:20" ht="15.75">
      <c r="A259" s="13">
        <v>49369</v>
      </c>
      <c r="B259" s="44">
        <v>31</v>
      </c>
      <c r="C259" s="35">
        <v>122.58</v>
      </c>
      <c r="D259" s="35">
        <v>297.94099999999997</v>
      </c>
      <c r="E259" s="41">
        <v>729.47900000000004</v>
      </c>
      <c r="F259" s="35">
        <v>1150</v>
      </c>
      <c r="G259" s="35">
        <v>100</v>
      </c>
      <c r="H259" s="43">
        <v>600</v>
      </c>
      <c r="I259" s="35">
        <v>695</v>
      </c>
      <c r="J259" s="35">
        <v>50</v>
      </c>
      <c r="K259" s="36"/>
      <c r="L259" s="36"/>
      <c r="M259" s="36"/>
      <c r="N259" s="36"/>
      <c r="O259" s="36"/>
      <c r="P259" s="36"/>
      <c r="Q259" s="36"/>
      <c r="R259" s="36"/>
      <c r="S259" s="36"/>
      <c r="T259" s="36"/>
    </row>
    <row r="260" spans="1:20" ht="15.75">
      <c r="A260" s="13">
        <v>49400</v>
      </c>
      <c r="B260" s="44">
        <v>30</v>
      </c>
      <c r="C260" s="35">
        <v>141.29300000000001</v>
      </c>
      <c r="D260" s="35">
        <v>267.99299999999999</v>
      </c>
      <c r="E260" s="41">
        <v>829.71400000000006</v>
      </c>
      <c r="F260" s="35">
        <v>1239</v>
      </c>
      <c r="G260" s="35">
        <v>100</v>
      </c>
      <c r="H260" s="43">
        <v>600</v>
      </c>
      <c r="I260" s="35">
        <v>695</v>
      </c>
      <c r="J260" s="35">
        <v>50</v>
      </c>
      <c r="K260" s="36"/>
      <c r="L260" s="36"/>
      <c r="M260" s="36"/>
      <c r="N260" s="36"/>
      <c r="O260" s="36"/>
      <c r="P260" s="36"/>
      <c r="Q260" s="36"/>
      <c r="R260" s="36"/>
      <c r="S260" s="36"/>
      <c r="T260" s="36"/>
    </row>
    <row r="261" spans="1:20" ht="15.75">
      <c r="A261" s="13">
        <v>49430</v>
      </c>
      <c r="B261" s="44">
        <v>31</v>
      </c>
      <c r="C261" s="35">
        <v>194.20500000000001</v>
      </c>
      <c r="D261" s="35">
        <v>267.46600000000001</v>
      </c>
      <c r="E261" s="41">
        <v>812.32899999999995</v>
      </c>
      <c r="F261" s="35">
        <v>1274</v>
      </c>
      <c r="G261" s="35">
        <v>75</v>
      </c>
      <c r="H261" s="43">
        <v>600</v>
      </c>
      <c r="I261" s="35">
        <v>695</v>
      </c>
      <c r="J261" s="35">
        <v>50</v>
      </c>
      <c r="K261" s="36"/>
      <c r="L261" s="36"/>
      <c r="M261" s="36"/>
      <c r="N261" s="36"/>
      <c r="O261" s="36"/>
      <c r="P261" s="36"/>
      <c r="Q261" s="36"/>
      <c r="R261" s="36"/>
      <c r="S261" s="36"/>
      <c r="T261" s="36"/>
    </row>
    <row r="262" spans="1:20" ht="15.75">
      <c r="A262" s="14">
        <v>49461</v>
      </c>
      <c r="B262" s="44">
        <v>30</v>
      </c>
      <c r="C262" s="35">
        <v>194.20500000000001</v>
      </c>
      <c r="D262" s="35">
        <v>267.46600000000001</v>
      </c>
      <c r="E262" s="41">
        <v>812.32899999999995</v>
      </c>
      <c r="F262" s="35">
        <v>1274</v>
      </c>
      <c r="G262" s="35">
        <v>50</v>
      </c>
      <c r="H262" s="43">
        <v>600</v>
      </c>
      <c r="I262" s="35">
        <v>695</v>
      </c>
      <c r="J262" s="35">
        <v>50</v>
      </c>
      <c r="K262" s="36"/>
      <c r="L262" s="36"/>
      <c r="M262" s="36"/>
      <c r="N262" s="36"/>
      <c r="O262" s="36"/>
      <c r="P262" s="36"/>
      <c r="Q262" s="36"/>
      <c r="R262" s="36"/>
      <c r="S262" s="36"/>
      <c r="T262" s="36"/>
    </row>
    <row r="263" spans="1:20" ht="15.75">
      <c r="A263" s="14">
        <v>49491</v>
      </c>
      <c r="B263" s="44">
        <v>31</v>
      </c>
      <c r="C263" s="35">
        <v>194.20500000000001</v>
      </c>
      <c r="D263" s="35">
        <v>267.46600000000001</v>
      </c>
      <c r="E263" s="41">
        <v>812.32899999999995</v>
      </c>
      <c r="F263" s="35">
        <v>1274</v>
      </c>
      <c r="G263" s="35">
        <v>50</v>
      </c>
      <c r="H263" s="43">
        <v>600</v>
      </c>
      <c r="I263" s="35">
        <v>695</v>
      </c>
      <c r="J263" s="35">
        <v>0</v>
      </c>
      <c r="K263" s="36"/>
      <c r="L263" s="36"/>
      <c r="M263" s="36"/>
      <c r="N263" s="36"/>
      <c r="O263" s="36"/>
      <c r="P263" s="36"/>
      <c r="Q263" s="36"/>
      <c r="R263" s="36"/>
      <c r="S263" s="36"/>
      <c r="T263" s="36"/>
    </row>
    <row r="264" spans="1:20" ht="15.75">
      <c r="A264" s="14">
        <v>49522</v>
      </c>
      <c r="B264" s="44">
        <v>31</v>
      </c>
      <c r="C264" s="35">
        <v>194.20500000000001</v>
      </c>
      <c r="D264" s="35">
        <v>267.46600000000001</v>
      </c>
      <c r="E264" s="41">
        <v>812.32899999999995</v>
      </c>
      <c r="F264" s="35">
        <v>1274</v>
      </c>
      <c r="G264" s="35">
        <v>50</v>
      </c>
      <c r="H264" s="43">
        <v>600</v>
      </c>
      <c r="I264" s="35">
        <v>695</v>
      </c>
      <c r="J264" s="35">
        <v>0</v>
      </c>
      <c r="K264" s="36"/>
      <c r="L264" s="36"/>
      <c r="M264" s="36"/>
      <c r="N264" s="36"/>
      <c r="O264" s="36"/>
      <c r="P264" s="36"/>
      <c r="Q264" s="36"/>
      <c r="R264" s="36"/>
      <c r="S264" s="36"/>
      <c r="T264" s="36"/>
    </row>
    <row r="265" spans="1:20" ht="15.75">
      <c r="A265" s="14">
        <v>49553</v>
      </c>
      <c r="B265" s="44">
        <v>30</v>
      </c>
      <c r="C265" s="35">
        <v>194.20500000000001</v>
      </c>
      <c r="D265" s="35">
        <v>267.46600000000001</v>
      </c>
      <c r="E265" s="41">
        <v>812.32899999999995</v>
      </c>
      <c r="F265" s="35">
        <v>1274</v>
      </c>
      <c r="G265" s="35">
        <v>50</v>
      </c>
      <c r="H265" s="43">
        <v>600</v>
      </c>
      <c r="I265" s="35">
        <v>695</v>
      </c>
      <c r="J265" s="35">
        <v>0</v>
      </c>
      <c r="K265" s="36"/>
      <c r="L265" s="36"/>
      <c r="M265" s="36"/>
      <c r="N265" s="36"/>
      <c r="O265" s="36"/>
      <c r="P265" s="36"/>
      <c r="Q265" s="36"/>
      <c r="R265" s="36"/>
      <c r="S265" s="36"/>
      <c r="T265" s="36"/>
    </row>
    <row r="266" spans="1:20" ht="15.75">
      <c r="A266" s="14">
        <v>49583</v>
      </c>
      <c r="B266" s="44">
        <v>31</v>
      </c>
      <c r="C266" s="35">
        <v>131.881</v>
      </c>
      <c r="D266" s="35">
        <v>277.16699999999997</v>
      </c>
      <c r="E266" s="41">
        <v>829.952</v>
      </c>
      <c r="F266" s="35">
        <v>1239</v>
      </c>
      <c r="G266" s="35">
        <v>75</v>
      </c>
      <c r="H266" s="43">
        <v>600</v>
      </c>
      <c r="I266" s="35">
        <v>695</v>
      </c>
      <c r="J266" s="35">
        <v>0</v>
      </c>
      <c r="K266" s="36"/>
      <c r="L266" s="36"/>
      <c r="M266" s="36"/>
      <c r="N266" s="36"/>
      <c r="O266" s="36"/>
      <c r="P266" s="36"/>
      <c r="Q266" s="36"/>
      <c r="R266" s="36"/>
      <c r="S266" s="36"/>
      <c r="T266" s="36"/>
    </row>
    <row r="267" spans="1:20" ht="15.75">
      <c r="A267" s="14">
        <v>49614</v>
      </c>
      <c r="B267" s="44">
        <v>30</v>
      </c>
      <c r="C267" s="35">
        <v>122.58</v>
      </c>
      <c r="D267" s="35">
        <v>297.94099999999997</v>
      </c>
      <c r="E267" s="41">
        <v>729.47900000000004</v>
      </c>
      <c r="F267" s="35">
        <v>1150</v>
      </c>
      <c r="G267" s="35">
        <v>100</v>
      </c>
      <c r="H267" s="43">
        <v>600</v>
      </c>
      <c r="I267" s="35">
        <v>695</v>
      </c>
      <c r="J267" s="35">
        <v>50</v>
      </c>
      <c r="K267" s="36"/>
      <c r="L267" s="36"/>
      <c r="M267" s="36"/>
      <c r="N267" s="36"/>
      <c r="O267" s="36"/>
      <c r="P267" s="36"/>
      <c r="Q267" s="36"/>
      <c r="R267" s="36"/>
      <c r="S267" s="36"/>
      <c r="T267" s="36"/>
    </row>
    <row r="268" spans="1:20" ht="15.75">
      <c r="A268" s="14">
        <v>49644</v>
      </c>
      <c r="B268" s="44">
        <v>31</v>
      </c>
      <c r="C268" s="35">
        <v>122.58</v>
      </c>
      <c r="D268" s="35">
        <v>297.94099999999997</v>
      </c>
      <c r="E268" s="41">
        <v>729.47900000000004</v>
      </c>
      <c r="F268" s="35">
        <v>1150</v>
      </c>
      <c r="G268" s="35">
        <v>100</v>
      </c>
      <c r="H268" s="43">
        <v>600</v>
      </c>
      <c r="I268" s="35">
        <v>695</v>
      </c>
      <c r="J268" s="35">
        <v>50</v>
      </c>
      <c r="K268" s="36"/>
      <c r="L268" s="36"/>
      <c r="M268" s="36"/>
      <c r="N268" s="36"/>
      <c r="O268" s="36"/>
      <c r="P268" s="36"/>
      <c r="Q268" s="36"/>
      <c r="R268" s="36"/>
      <c r="S268" s="36"/>
      <c r="T268" s="36"/>
    </row>
    <row r="269" spans="1:20" ht="15.75">
      <c r="A269" s="14">
        <v>49675</v>
      </c>
      <c r="B269" s="44">
        <v>31</v>
      </c>
      <c r="C269" s="35">
        <v>122.58</v>
      </c>
      <c r="D269" s="35">
        <v>297.94099999999997</v>
      </c>
      <c r="E269" s="41">
        <v>729.47900000000004</v>
      </c>
      <c r="F269" s="35">
        <v>1150</v>
      </c>
      <c r="G269" s="35">
        <v>100</v>
      </c>
      <c r="H269" s="43">
        <v>600</v>
      </c>
      <c r="I269" s="35">
        <v>695</v>
      </c>
      <c r="J269" s="35">
        <v>50</v>
      </c>
      <c r="K269" s="36"/>
      <c r="L269" s="36"/>
      <c r="M269" s="36"/>
      <c r="N269" s="36"/>
      <c r="O269" s="36"/>
      <c r="P269" s="36"/>
      <c r="Q269" s="36"/>
      <c r="R269" s="36"/>
      <c r="S269" s="36"/>
      <c r="T269" s="36"/>
    </row>
    <row r="270" spans="1:20" ht="15.75">
      <c r="A270" s="14">
        <v>49706</v>
      </c>
      <c r="B270" s="44">
        <v>29</v>
      </c>
      <c r="C270" s="35">
        <v>122.58</v>
      </c>
      <c r="D270" s="35">
        <v>297.94099999999997</v>
      </c>
      <c r="E270" s="41">
        <v>729.47900000000004</v>
      </c>
      <c r="F270" s="35">
        <v>1150</v>
      </c>
      <c r="G270" s="35">
        <v>100</v>
      </c>
      <c r="H270" s="43">
        <v>600</v>
      </c>
      <c r="I270" s="35">
        <v>695</v>
      </c>
      <c r="J270" s="35">
        <v>50</v>
      </c>
      <c r="K270" s="36"/>
      <c r="L270" s="36"/>
      <c r="M270" s="36"/>
      <c r="N270" s="36"/>
      <c r="O270" s="36"/>
      <c r="P270" s="36"/>
      <c r="Q270" s="36"/>
      <c r="R270" s="36"/>
      <c r="S270" s="36"/>
      <c r="T270" s="36"/>
    </row>
    <row r="271" spans="1:20" ht="15.75">
      <c r="A271" s="14">
        <v>49735</v>
      </c>
      <c r="B271" s="44">
        <v>31</v>
      </c>
      <c r="C271" s="35">
        <v>122.58</v>
      </c>
      <c r="D271" s="35">
        <v>297.94099999999997</v>
      </c>
      <c r="E271" s="41">
        <v>729.47900000000004</v>
      </c>
      <c r="F271" s="35">
        <v>1150</v>
      </c>
      <c r="G271" s="35">
        <v>100</v>
      </c>
      <c r="H271" s="43">
        <v>600</v>
      </c>
      <c r="I271" s="35">
        <v>695</v>
      </c>
      <c r="J271" s="35">
        <v>50</v>
      </c>
      <c r="K271" s="36"/>
      <c r="L271" s="36"/>
      <c r="M271" s="36"/>
      <c r="N271" s="36"/>
      <c r="O271" s="36"/>
      <c r="P271" s="36"/>
      <c r="Q271" s="36"/>
      <c r="R271" s="36"/>
      <c r="S271" s="36"/>
      <c r="T271" s="36"/>
    </row>
    <row r="272" spans="1:20" ht="15.75">
      <c r="A272" s="14">
        <v>49766</v>
      </c>
      <c r="B272" s="44">
        <v>30</v>
      </c>
      <c r="C272" s="35">
        <v>141.29300000000001</v>
      </c>
      <c r="D272" s="35">
        <v>267.99299999999999</v>
      </c>
      <c r="E272" s="41">
        <v>829.71400000000006</v>
      </c>
      <c r="F272" s="35">
        <v>1239</v>
      </c>
      <c r="G272" s="35">
        <v>100</v>
      </c>
      <c r="H272" s="43">
        <v>600</v>
      </c>
      <c r="I272" s="35">
        <v>695</v>
      </c>
      <c r="J272" s="35">
        <v>50</v>
      </c>
      <c r="K272" s="36"/>
      <c r="L272" s="36"/>
      <c r="M272" s="36"/>
      <c r="N272" s="36"/>
      <c r="O272" s="36"/>
      <c r="P272" s="36"/>
      <c r="Q272" s="36"/>
      <c r="R272" s="36"/>
      <c r="S272" s="36"/>
      <c r="T272" s="36"/>
    </row>
    <row r="273" spans="1:20" ht="15.75">
      <c r="A273" s="14">
        <v>49796</v>
      </c>
      <c r="B273" s="44">
        <v>31</v>
      </c>
      <c r="C273" s="35">
        <v>194.20500000000001</v>
      </c>
      <c r="D273" s="35">
        <v>267.46600000000001</v>
      </c>
      <c r="E273" s="41">
        <v>812.32899999999995</v>
      </c>
      <c r="F273" s="35">
        <v>1274</v>
      </c>
      <c r="G273" s="35">
        <v>75</v>
      </c>
      <c r="H273" s="43">
        <v>600</v>
      </c>
      <c r="I273" s="35">
        <v>695</v>
      </c>
      <c r="J273" s="35">
        <v>50</v>
      </c>
      <c r="K273" s="36"/>
      <c r="L273" s="36"/>
      <c r="M273" s="36"/>
      <c r="N273" s="36"/>
      <c r="O273" s="36"/>
      <c r="P273" s="36"/>
      <c r="Q273" s="36"/>
      <c r="R273" s="36"/>
      <c r="S273" s="36"/>
      <c r="T273" s="36"/>
    </row>
    <row r="274" spans="1:20" ht="15.75">
      <c r="A274" s="14">
        <v>49827</v>
      </c>
      <c r="B274" s="44">
        <v>30</v>
      </c>
      <c r="C274" s="35">
        <v>194.20500000000001</v>
      </c>
      <c r="D274" s="35">
        <v>267.46600000000001</v>
      </c>
      <c r="E274" s="41">
        <v>812.32899999999995</v>
      </c>
      <c r="F274" s="35">
        <v>1274</v>
      </c>
      <c r="G274" s="35">
        <v>50</v>
      </c>
      <c r="H274" s="43">
        <v>600</v>
      </c>
      <c r="I274" s="35">
        <v>695</v>
      </c>
      <c r="J274" s="35">
        <v>50</v>
      </c>
      <c r="K274" s="36"/>
      <c r="L274" s="36"/>
      <c r="M274" s="36"/>
      <c r="N274" s="36"/>
      <c r="O274" s="36"/>
      <c r="P274" s="36"/>
      <c r="Q274" s="36"/>
      <c r="R274" s="36"/>
      <c r="S274" s="36"/>
      <c r="T274" s="36"/>
    </row>
    <row r="275" spans="1:20" ht="15.75">
      <c r="A275" s="14">
        <v>49857</v>
      </c>
      <c r="B275" s="44">
        <v>31</v>
      </c>
      <c r="C275" s="35">
        <v>194.20500000000001</v>
      </c>
      <c r="D275" s="35">
        <v>267.46600000000001</v>
      </c>
      <c r="E275" s="41">
        <v>812.32899999999995</v>
      </c>
      <c r="F275" s="35">
        <v>1274</v>
      </c>
      <c r="G275" s="35">
        <v>50</v>
      </c>
      <c r="H275" s="43">
        <v>600</v>
      </c>
      <c r="I275" s="35">
        <v>695</v>
      </c>
      <c r="J275" s="35">
        <v>0</v>
      </c>
      <c r="K275" s="36"/>
      <c r="L275" s="36"/>
      <c r="M275" s="36"/>
      <c r="N275" s="36"/>
      <c r="O275" s="36"/>
      <c r="P275" s="36"/>
      <c r="Q275" s="36"/>
      <c r="R275" s="36"/>
      <c r="S275" s="36"/>
      <c r="T275" s="36"/>
    </row>
    <row r="276" spans="1:20" ht="15.75">
      <c r="A276" s="14">
        <v>49888</v>
      </c>
      <c r="B276" s="44">
        <v>31</v>
      </c>
      <c r="C276" s="35">
        <v>194.20500000000001</v>
      </c>
      <c r="D276" s="35">
        <v>267.46600000000001</v>
      </c>
      <c r="E276" s="41">
        <v>812.32899999999995</v>
      </c>
      <c r="F276" s="35">
        <v>1274</v>
      </c>
      <c r="G276" s="35">
        <v>50</v>
      </c>
      <c r="H276" s="43">
        <v>600</v>
      </c>
      <c r="I276" s="35">
        <v>695</v>
      </c>
      <c r="J276" s="35">
        <v>0</v>
      </c>
      <c r="K276" s="36"/>
      <c r="L276" s="36"/>
      <c r="M276" s="36"/>
      <c r="N276" s="36"/>
      <c r="O276" s="36"/>
      <c r="P276" s="36"/>
      <c r="Q276" s="36"/>
      <c r="R276" s="36"/>
      <c r="S276" s="36"/>
      <c r="T276" s="36"/>
    </row>
    <row r="277" spans="1:20" ht="15.75">
      <c r="A277" s="14">
        <v>49919</v>
      </c>
      <c r="B277" s="44">
        <v>30</v>
      </c>
      <c r="C277" s="35">
        <v>194.20500000000001</v>
      </c>
      <c r="D277" s="35">
        <v>267.46600000000001</v>
      </c>
      <c r="E277" s="41">
        <v>812.32899999999995</v>
      </c>
      <c r="F277" s="35">
        <v>1274</v>
      </c>
      <c r="G277" s="35">
        <v>50</v>
      </c>
      <c r="H277" s="43">
        <v>600</v>
      </c>
      <c r="I277" s="35">
        <v>695</v>
      </c>
      <c r="J277" s="35">
        <v>0</v>
      </c>
      <c r="K277" s="36"/>
      <c r="L277" s="36"/>
      <c r="M277" s="36"/>
      <c r="N277" s="36"/>
      <c r="O277" s="36"/>
      <c r="P277" s="36"/>
      <c r="Q277" s="36"/>
      <c r="R277" s="36"/>
      <c r="S277" s="36"/>
      <c r="T277" s="36"/>
    </row>
    <row r="278" spans="1:20" ht="15.75">
      <c r="A278" s="14">
        <v>49949</v>
      </c>
      <c r="B278" s="44">
        <v>31</v>
      </c>
      <c r="C278" s="35">
        <v>131.881</v>
      </c>
      <c r="D278" s="35">
        <v>277.16699999999997</v>
      </c>
      <c r="E278" s="41">
        <v>829.952</v>
      </c>
      <c r="F278" s="35">
        <v>1239</v>
      </c>
      <c r="G278" s="35">
        <v>75</v>
      </c>
      <c r="H278" s="43">
        <v>600</v>
      </c>
      <c r="I278" s="35">
        <v>695</v>
      </c>
      <c r="J278" s="35">
        <v>0</v>
      </c>
      <c r="K278" s="36"/>
      <c r="L278" s="36"/>
      <c r="M278" s="36"/>
      <c r="N278" s="36"/>
      <c r="O278" s="36"/>
      <c r="P278" s="36"/>
      <c r="Q278" s="36"/>
      <c r="R278" s="36"/>
      <c r="S278" s="36"/>
      <c r="T278" s="36"/>
    </row>
    <row r="279" spans="1:20" ht="15.75">
      <c r="A279" s="14">
        <v>49980</v>
      </c>
      <c r="B279" s="44">
        <v>30</v>
      </c>
      <c r="C279" s="35">
        <v>122.58</v>
      </c>
      <c r="D279" s="35">
        <v>297.94099999999997</v>
      </c>
      <c r="E279" s="41">
        <v>729.47900000000004</v>
      </c>
      <c r="F279" s="35">
        <v>1150</v>
      </c>
      <c r="G279" s="35">
        <v>100</v>
      </c>
      <c r="H279" s="43">
        <v>600</v>
      </c>
      <c r="I279" s="35">
        <v>695</v>
      </c>
      <c r="J279" s="35">
        <v>50</v>
      </c>
      <c r="K279" s="36"/>
      <c r="L279" s="36"/>
      <c r="M279" s="36"/>
      <c r="N279" s="36"/>
      <c r="O279" s="36"/>
      <c r="P279" s="36"/>
      <c r="Q279" s="36"/>
      <c r="R279" s="36"/>
      <c r="S279" s="36"/>
      <c r="T279" s="36"/>
    </row>
    <row r="280" spans="1:20" ht="15.75">
      <c r="A280" s="14">
        <v>50010</v>
      </c>
      <c r="B280" s="44">
        <v>31</v>
      </c>
      <c r="C280" s="35">
        <v>122.58</v>
      </c>
      <c r="D280" s="35">
        <v>297.94099999999997</v>
      </c>
      <c r="E280" s="41">
        <v>729.47900000000004</v>
      </c>
      <c r="F280" s="35">
        <v>1150</v>
      </c>
      <c r="G280" s="35">
        <v>100</v>
      </c>
      <c r="H280" s="43">
        <v>600</v>
      </c>
      <c r="I280" s="35">
        <v>695</v>
      </c>
      <c r="J280" s="35">
        <v>50</v>
      </c>
      <c r="K280" s="36"/>
      <c r="L280" s="36"/>
      <c r="M280" s="36"/>
      <c r="N280" s="36"/>
      <c r="O280" s="36"/>
      <c r="P280" s="36"/>
      <c r="Q280" s="36"/>
      <c r="R280" s="36"/>
      <c r="S280" s="36"/>
      <c r="T280" s="36"/>
    </row>
    <row r="281" spans="1:20" ht="15.75">
      <c r="A281" s="14">
        <v>50041</v>
      </c>
      <c r="B281" s="44">
        <v>31</v>
      </c>
      <c r="C281" s="35">
        <v>122.58</v>
      </c>
      <c r="D281" s="35">
        <v>297.94099999999997</v>
      </c>
      <c r="E281" s="41">
        <v>729.47900000000004</v>
      </c>
      <c r="F281" s="35">
        <v>1150</v>
      </c>
      <c r="G281" s="35">
        <v>100</v>
      </c>
      <c r="H281" s="43">
        <v>600</v>
      </c>
      <c r="I281" s="35">
        <v>695</v>
      </c>
      <c r="J281" s="35">
        <v>50</v>
      </c>
      <c r="K281" s="36"/>
      <c r="L281" s="36"/>
      <c r="M281" s="36"/>
      <c r="N281" s="36"/>
      <c r="O281" s="36"/>
      <c r="P281" s="36"/>
      <c r="Q281" s="36"/>
      <c r="R281" s="36"/>
      <c r="S281" s="36"/>
      <c r="T281" s="36"/>
    </row>
    <row r="282" spans="1:20" ht="15.75">
      <c r="A282" s="14">
        <v>50072</v>
      </c>
      <c r="B282" s="44">
        <v>28</v>
      </c>
      <c r="C282" s="35">
        <v>122.58</v>
      </c>
      <c r="D282" s="35">
        <v>297.94099999999997</v>
      </c>
      <c r="E282" s="41">
        <v>729.47900000000004</v>
      </c>
      <c r="F282" s="35">
        <v>1150</v>
      </c>
      <c r="G282" s="35">
        <v>100</v>
      </c>
      <c r="H282" s="43">
        <v>600</v>
      </c>
      <c r="I282" s="35">
        <v>695</v>
      </c>
      <c r="J282" s="35">
        <v>50</v>
      </c>
      <c r="K282" s="36"/>
      <c r="L282" s="36"/>
      <c r="M282" s="36"/>
      <c r="N282" s="36"/>
      <c r="O282" s="36"/>
      <c r="P282" s="36"/>
      <c r="Q282" s="36"/>
      <c r="R282" s="36"/>
      <c r="S282" s="36"/>
      <c r="T282" s="36"/>
    </row>
    <row r="283" spans="1:20" ht="15.75">
      <c r="A283" s="14">
        <v>50100</v>
      </c>
      <c r="B283" s="44">
        <v>31</v>
      </c>
      <c r="C283" s="35">
        <v>122.58</v>
      </c>
      <c r="D283" s="35">
        <v>297.94099999999997</v>
      </c>
      <c r="E283" s="41">
        <v>729.47900000000004</v>
      </c>
      <c r="F283" s="35">
        <v>1150</v>
      </c>
      <c r="G283" s="35">
        <v>100</v>
      </c>
      <c r="H283" s="43">
        <v>600</v>
      </c>
      <c r="I283" s="35">
        <v>695</v>
      </c>
      <c r="J283" s="35">
        <v>50</v>
      </c>
      <c r="K283" s="36"/>
      <c r="L283" s="36"/>
      <c r="M283" s="36"/>
      <c r="N283" s="36"/>
      <c r="O283" s="36"/>
      <c r="P283" s="36"/>
      <c r="Q283" s="36"/>
      <c r="R283" s="36"/>
      <c r="S283" s="36"/>
      <c r="T283" s="36"/>
    </row>
    <row r="284" spans="1:20" ht="15.75">
      <c r="A284" s="14">
        <v>50131</v>
      </c>
      <c r="B284" s="44">
        <v>30</v>
      </c>
      <c r="C284" s="35">
        <v>141.29300000000001</v>
      </c>
      <c r="D284" s="35">
        <v>267.99299999999999</v>
      </c>
      <c r="E284" s="41">
        <v>829.71400000000006</v>
      </c>
      <c r="F284" s="35">
        <v>1239</v>
      </c>
      <c r="G284" s="35">
        <v>100</v>
      </c>
      <c r="H284" s="43">
        <v>600</v>
      </c>
      <c r="I284" s="35">
        <v>695</v>
      </c>
      <c r="J284" s="35">
        <v>50</v>
      </c>
      <c r="K284" s="36"/>
      <c r="L284" s="36"/>
      <c r="M284" s="36"/>
      <c r="N284" s="36"/>
      <c r="O284" s="36"/>
      <c r="P284" s="36"/>
      <c r="Q284" s="36"/>
      <c r="R284" s="36"/>
      <c r="S284" s="36"/>
      <c r="T284" s="36"/>
    </row>
    <row r="285" spans="1:20" ht="15.75">
      <c r="A285" s="14">
        <v>50161</v>
      </c>
      <c r="B285" s="44">
        <v>31</v>
      </c>
      <c r="C285" s="35">
        <v>194.20500000000001</v>
      </c>
      <c r="D285" s="35">
        <v>267.46600000000001</v>
      </c>
      <c r="E285" s="41">
        <v>812.32899999999995</v>
      </c>
      <c r="F285" s="35">
        <v>1274</v>
      </c>
      <c r="G285" s="35">
        <v>75</v>
      </c>
      <c r="H285" s="43">
        <v>600</v>
      </c>
      <c r="I285" s="35">
        <v>695</v>
      </c>
      <c r="J285" s="35">
        <v>50</v>
      </c>
      <c r="K285" s="36"/>
      <c r="L285" s="36"/>
      <c r="M285" s="36"/>
      <c r="N285" s="36"/>
      <c r="O285" s="36"/>
      <c r="P285" s="36"/>
      <c r="Q285" s="36"/>
      <c r="R285" s="36"/>
      <c r="S285" s="36"/>
      <c r="T285" s="36"/>
    </row>
    <row r="286" spans="1:20" ht="15.75">
      <c r="A286" s="14">
        <v>50192</v>
      </c>
      <c r="B286" s="44">
        <v>30</v>
      </c>
      <c r="C286" s="35">
        <v>194.20500000000001</v>
      </c>
      <c r="D286" s="35">
        <v>267.46600000000001</v>
      </c>
      <c r="E286" s="41">
        <v>812.32899999999995</v>
      </c>
      <c r="F286" s="35">
        <v>1274</v>
      </c>
      <c r="G286" s="35">
        <v>50</v>
      </c>
      <c r="H286" s="43">
        <v>600</v>
      </c>
      <c r="I286" s="35">
        <v>695</v>
      </c>
      <c r="J286" s="35">
        <v>50</v>
      </c>
      <c r="K286" s="36"/>
      <c r="L286" s="36"/>
      <c r="M286" s="36"/>
      <c r="N286" s="36"/>
      <c r="O286" s="36"/>
      <c r="P286" s="36"/>
      <c r="Q286" s="36"/>
      <c r="R286" s="36"/>
      <c r="S286" s="36"/>
      <c r="T286" s="36"/>
    </row>
    <row r="287" spans="1:20" ht="15.75">
      <c r="A287" s="14">
        <v>50222</v>
      </c>
      <c r="B287" s="44">
        <v>31</v>
      </c>
      <c r="C287" s="35">
        <v>194.20500000000001</v>
      </c>
      <c r="D287" s="35">
        <v>267.46600000000001</v>
      </c>
      <c r="E287" s="41">
        <v>812.32899999999995</v>
      </c>
      <c r="F287" s="35">
        <v>1274</v>
      </c>
      <c r="G287" s="35">
        <v>50</v>
      </c>
      <c r="H287" s="43">
        <v>600</v>
      </c>
      <c r="I287" s="35">
        <v>695</v>
      </c>
      <c r="J287" s="35">
        <v>0</v>
      </c>
      <c r="K287" s="36"/>
      <c r="L287" s="36"/>
      <c r="M287" s="36"/>
      <c r="N287" s="36"/>
      <c r="O287" s="36"/>
      <c r="P287" s="36"/>
      <c r="Q287" s="36"/>
      <c r="R287" s="36"/>
      <c r="S287" s="36"/>
      <c r="T287" s="36"/>
    </row>
    <row r="288" spans="1:20" ht="15.75">
      <c r="A288" s="14">
        <v>50253</v>
      </c>
      <c r="B288" s="44">
        <v>31</v>
      </c>
      <c r="C288" s="35">
        <v>194.20500000000001</v>
      </c>
      <c r="D288" s="35">
        <v>267.46600000000001</v>
      </c>
      <c r="E288" s="41">
        <v>812.32899999999995</v>
      </c>
      <c r="F288" s="35">
        <v>1274</v>
      </c>
      <c r="G288" s="35">
        <v>50</v>
      </c>
      <c r="H288" s="43">
        <v>600</v>
      </c>
      <c r="I288" s="35">
        <v>695</v>
      </c>
      <c r="J288" s="35">
        <v>0</v>
      </c>
      <c r="K288" s="36"/>
      <c r="L288" s="36"/>
      <c r="M288" s="36"/>
      <c r="N288" s="36"/>
      <c r="O288" s="36"/>
      <c r="P288" s="36"/>
      <c r="Q288" s="36"/>
      <c r="R288" s="36"/>
      <c r="S288" s="36"/>
      <c r="T288" s="36"/>
    </row>
    <row r="289" spans="1:20" ht="15.75">
      <c r="A289" s="14">
        <v>50284</v>
      </c>
      <c r="B289" s="44">
        <v>30</v>
      </c>
      <c r="C289" s="35">
        <v>194.20500000000001</v>
      </c>
      <c r="D289" s="35">
        <v>267.46600000000001</v>
      </c>
      <c r="E289" s="41">
        <v>812.32899999999995</v>
      </c>
      <c r="F289" s="35">
        <v>1274</v>
      </c>
      <c r="G289" s="35">
        <v>50</v>
      </c>
      <c r="H289" s="43">
        <v>600</v>
      </c>
      <c r="I289" s="35">
        <v>695</v>
      </c>
      <c r="J289" s="35">
        <v>0</v>
      </c>
      <c r="K289" s="36"/>
      <c r="L289" s="36"/>
      <c r="M289" s="36"/>
      <c r="N289" s="36"/>
      <c r="O289" s="36"/>
      <c r="P289" s="36"/>
      <c r="Q289" s="36"/>
      <c r="R289" s="36"/>
      <c r="S289" s="36"/>
      <c r="T289" s="36"/>
    </row>
    <row r="290" spans="1:20" ht="15.75">
      <c r="A290" s="14">
        <v>50314</v>
      </c>
      <c r="B290" s="44">
        <v>31</v>
      </c>
      <c r="C290" s="35">
        <v>131.881</v>
      </c>
      <c r="D290" s="35">
        <v>277.16699999999997</v>
      </c>
      <c r="E290" s="41">
        <v>829.952</v>
      </c>
      <c r="F290" s="35">
        <v>1239</v>
      </c>
      <c r="G290" s="35">
        <v>75</v>
      </c>
      <c r="H290" s="43">
        <v>600</v>
      </c>
      <c r="I290" s="35">
        <v>695</v>
      </c>
      <c r="J290" s="35">
        <v>0</v>
      </c>
      <c r="K290" s="36"/>
      <c r="L290" s="36"/>
      <c r="M290" s="36"/>
      <c r="N290" s="36"/>
      <c r="O290" s="36"/>
      <c r="P290" s="36"/>
      <c r="Q290" s="36"/>
      <c r="R290" s="36"/>
      <c r="S290" s="36"/>
      <c r="T290" s="36"/>
    </row>
    <row r="291" spans="1:20" ht="15.75">
      <c r="A291" s="14">
        <v>50345</v>
      </c>
      <c r="B291" s="44">
        <v>30</v>
      </c>
      <c r="C291" s="35">
        <v>122.58</v>
      </c>
      <c r="D291" s="35">
        <v>297.94099999999997</v>
      </c>
      <c r="E291" s="41">
        <v>729.47900000000004</v>
      </c>
      <c r="F291" s="35">
        <v>1150</v>
      </c>
      <c r="G291" s="35">
        <v>100</v>
      </c>
      <c r="H291" s="43">
        <v>600</v>
      </c>
      <c r="I291" s="35">
        <v>695</v>
      </c>
      <c r="J291" s="35">
        <v>50</v>
      </c>
      <c r="K291" s="36"/>
      <c r="L291" s="36"/>
      <c r="M291" s="36"/>
      <c r="N291" s="36"/>
      <c r="O291" s="36"/>
      <c r="P291" s="36"/>
      <c r="Q291" s="36"/>
      <c r="R291" s="36"/>
      <c r="S291" s="36"/>
      <c r="T291" s="36"/>
    </row>
    <row r="292" spans="1:20" ht="15.75">
      <c r="A292" s="14">
        <v>50375</v>
      </c>
      <c r="B292" s="44">
        <v>31</v>
      </c>
      <c r="C292" s="35">
        <v>122.58</v>
      </c>
      <c r="D292" s="35">
        <v>297.94099999999997</v>
      </c>
      <c r="E292" s="41">
        <v>729.47900000000004</v>
      </c>
      <c r="F292" s="35">
        <v>1150</v>
      </c>
      <c r="G292" s="35">
        <v>100</v>
      </c>
      <c r="H292" s="43">
        <v>600</v>
      </c>
      <c r="I292" s="35">
        <v>695</v>
      </c>
      <c r="J292" s="35">
        <v>50</v>
      </c>
      <c r="K292" s="36"/>
      <c r="L292" s="36"/>
      <c r="M292" s="36"/>
      <c r="N292" s="36"/>
      <c r="O292" s="36"/>
      <c r="P292" s="36"/>
      <c r="Q292" s="36"/>
      <c r="R292" s="36"/>
      <c r="S292" s="36"/>
      <c r="T292" s="36"/>
    </row>
    <row r="293" spans="1:20" ht="15.75">
      <c r="A293" s="13">
        <v>50436</v>
      </c>
      <c r="B293" s="44">
        <v>31</v>
      </c>
      <c r="C293" s="35">
        <v>122.58</v>
      </c>
      <c r="D293" s="35">
        <v>297.94099999999997</v>
      </c>
      <c r="E293" s="41">
        <v>729.47900000000004</v>
      </c>
      <c r="F293" s="35">
        <v>1150</v>
      </c>
      <c r="G293" s="35">
        <v>100</v>
      </c>
      <c r="H293" s="43">
        <v>600</v>
      </c>
      <c r="I293" s="35">
        <v>695</v>
      </c>
      <c r="J293" s="35">
        <v>50</v>
      </c>
      <c r="K293" s="36"/>
      <c r="L293" s="36"/>
      <c r="M293" s="36"/>
      <c r="N293" s="36"/>
      <c r="O293" s="36"/>
      <c r="P293" s="36"/>
      <c r="Q293" s="36"/>
      <c r="R293" s="36"/>
      <c r="S293" s="36"/>
      <c r="T293" s="36"/>
    </row>
    <row r="294" spans="1:20" ht="15.75">
      <c r="A294" s="13">
        <v>50464</v>
      </c>
      <c r="B294" s="44">
        <v>28</v>
      </c>
      <c r="C294" s="35">
        <v>122.58</v>
      </c>
      <c r="D294" s="35">
        <v>297.94099999999997</v>
      </c>
      <c r="E294" s="41">
        <v>729.47900000000004</v>
      </c>
      <c r="F294" s="35">
        <v>1150</v>
      </c>
      <c r="G294" s="35">
        <v>100</v>
      </c>
      <c r="H294" s="43">
        <v>600</v>
      </c>
      <c r="I294" s="35">
        <v>695</v>
      </c>
      <c r="J294" s="35">
        <v>50</v>
      </c>
      <c r="K294" s="36"/>
      <c r="L294" s="36"/>
      <c r="M294" s="36"/>
      <c r="N294" s="36"/>
      <c r="O294" s="36"/>
      <c r="P294" s="36"/>
      <c r="Q294" s="36"/>
      <c r="R294" s="36"/>
      <c r="S294" s="36"/>
      <c r="T294" s="36"/>
    </row>
    <row r="295" spans="1:20" ht="15.75">
      <c r="A295" s="13">
        <v>50495</v>
      </c>
      <c r="B295" s="44">
        <v>31</v>
      </c>
      <c r="C295" s="35">
        <v>122.58</v>
      </c>
      <c r="D295" s="35">
        <v>297.94099999999997</v>
      </c>
      <c r="E295" s="41">
        <v>729.47900000000004</v>
      </c>
      <c r="F295" s="35">
        <v>1150</v>
      </c>
      <c r="G295" s="35">
        <v>100</v>
      </c>
      <c r="H295" s="43">
        <v>600</v>
      </c>
      <c r="I295" s="35">
        <v>695</v>
      </c>
      <c r="J295" s="35">
        <v>50</v>
      </c>
      <c r="K295" s="36"/>
      <c r="L295" s="36"/>
      <c r="M295" s="36"/>
      <c r="N295" s="36"/>
      <c r="O295" s="36"/>
      <c r="P295" s="36"/>
      <c r="Q295" s="36"/>
      <c r="R295" s="36"/>
      <c r="S295" s="36"/>
      <c r="T295" s="36"/>
    </row>
    <row r="296" spans="1:20" ht="15.75">
      <c r="A296" s="13">
        <v>50525</v>
      </c>
      <c r="B296" s="44">
        <v>30</v>
      </c>
      <c r="C296" s="35">
        <v>141.29300000000001</v>
      </c>
      <c r="D296" s="35">
        <v>267.99299999999999</v>
      </c>
      <c r="E296" s="41">
        <v>829.71400000000006</v>
      </c>
      <c r="F296" s="35">
        <v>1239</v>
      </c>
      <c r="G296" s="35">
        <v>100</v>
      </c>
      <c r="H296" s="43">
        <v>600</v>
      </c>
      <c r="I296" s="35">
        <v>695</v>
      </c>
      <c r="J296" s="35">
        <v>50</v>
      </c>
      <c r="K296" s="36"/>
      <c r="L296" s="36"/>
      <c r="M296" s="36"/>
      <c r="N296" s="36"/>
      <c r="O296" s="36"/>
      <c r="P296" s="36"/>
      <c r="Q296" s="36"/>
      <c r="R296" s="36"/>
      <c r="S296" s="36"/>
      <c r="T296" s="36"/>
    </row>
    <row r="297" spans="1:20" ht="15.75">
      <c r="A297" s="13">
        <v>50556</v>
      </c>
      <c r="B297" s="44">
        <v>31</v>
      </c>
      <c r="C297" s="35">
        <v>194.20500000000001</v>
      </c>
      <c r="D297" s="35">
        <v>267.46600000000001</v>
      </c>
      <c r="E297" s="41">
        <v>812.32899999999995</v>
      </c>
      <c r="F297" s="35">
        <v>1274</v>
      </c>
      <c r="G297" s="35">
        <v>75</v>
      </c>
      <c r="H297" s="43">
        <v>600</v>
      </c>
      <c r="I297" s="35">
        <v>695</v>
      </c>
      <c r="J297" s="35">
        <v>50</v>
      </c>
      <c r="K297" s="36"/>
      <c r="L297" s="36"/>
      <c r="M297" s="36"/>
      <c r="N297" s="36"/>
      <c r="O297" s="36"/>
      <c r="P297" s="36"/>
      <c r="Q297" s="36"/>
      <c r="R297" s="36"/>
      <c r="S297" s="36"/>
      <c r="T297" s="36"/>
    </row>
    <row r="298" spans="1:20" ht="15.75">
      <c r="A298" s="13">
        <v>50586</v>
      </c>
      <c r="B298" s="44">
        <v>30</v>
      </c>
      <c r="C298" s="35">
        <v>194.20500000000001</v>
      </c>
      <c r="D298" s="35">
        <v>267.46600000000001</v>
      </c>
      <c r="E298" s="41">
        <v>812.32899999999995</v>
      </c>
      <c r="F298" s="35">
        <v>1274</v>
      </c>
      <c r="G298" s="35">
        <v>50</v>
      </c>
      <c r="H298" s="43">
        <v>600</v>
      </c>
      <c r="I298" s="35">
        <v>695</v>
      </c>
      <c r="J298" s="35">
        <v>50</v>
      </c>
      <c r="K298" s="36"/>
      <c r="L298" s="36"/>
      <c r="M298" s="36"/>
      <c r="N298" s="36"/>
      <c r="O298" s="36"/>
      <c r="P298" s="36"/>
      <c r="Q298" s="36"/>
      <c r="R298" s="36"/>
      <c r="S298" s="36"/>
      <c r="T298" s="36"/>
    </row>
    <row r="299" spans="1:20" ht="15.75">
      <c r="A299" s="13">
        <v>50617</v>
      </c>
      <c r="B299" s="44">
        <v>31</v>
      </c>
      <c r="C299" s="35">
        <v>194.20500000000001</v>
      </c>
      <c r="D299" s="35">
        <v>267.46600000000001</v>
      </c>
      <c r="E299" s="41">
        <v>812.32899999999995</v>
      </c>
      <c r="F299" s="35">
        <v>1274</v>
      </c>
      <c r="G299" s="35">
        <v>50</v>
      </c>
      <c r="H299" s="43">
        <v>600</v>
      </c>
      <c r="I299" s="35">
        <v>695</v>
      </c>
      <c r="J299" s="35">
        <v>0</v>
      </c>
      <c r="K299" s="36"/>
      <c r="L299" s="36"/>
      <c r="M299" s="36"/>
      <c r="N299" s="36"/>
      <c r="O299" s="36"/>
      <c r="P299" s="36"/>
      <c r="Q299" s="36"/>
      <c r="R299" s="36"/>
      <c r="S299" s="36"/>
      <c r="T299" s="36"/>
    </row>
    <row r="300" spans="1:20" ht="15.75">
      <c r="A300" s="13">
        <v>50648</v>
      </c>
      <c r="B300" s="44">
        <v>31</v>
      </c>
      <c r="C300" s="35">
        <v>194.20500000000001</v>
      </c>
      <c r="D300" s="35">
        <v>267.46600000000001</v>
      </c>
      <c r="E300" s="41">
        <v>812.32899999999995</v>
      </c>
      <c r="F300" s="35">
        <v>1274</v>
      </c>
      <c r="G300" s="35">
        <v>50</v>
      </c>
      <c r="H300" s="43">
        <v>600</v>
      </c>
      <c r="I300" s="35">
        <v>695</v>
      </c>
      <c r="J300" s="35">
        <v>0</v>
      </c>
      <c r="K300" s="36"/>
      <c r="L300" s="36"/>
      <c r="M300" s="36"/>
      <c r="N300" s="36"/>
      <c r="O300" s="36"/>
      <c r="P300" s="36"/>
      <c r="Q300" s="36"/>
      <c r="R300" s="36"/>
      <c r="S300" s="36"/>
      <c r="T300" s="36"/>
    </row>
    <row r="301" spans="1:20" ht="15.75">
      <c r="A301" s="13">
        <v>50678</v>
      </c>
      <c r="B301" s="44">
        <v>30</v>
      </c>
      <c r="C301" s="35">
        <v>194.20500000000001</v>
      </c>
      <c r="D301" s="35">
        <v>267.46600000000001</v>
      </c>
      <c r="E301" s="41">
        <v>812.32899999999995</v>
      </c>
      <c r="F301" s="35">
        <v>1274</v>
      </c>
      <c r="G301" s="35">
        <v>50</v>
      </c>
      <c r="H301" s="43">
        <v>600</v>
      </c>
      <c r="I301" s="35">
        <v>695</v>
      </c>
      <c r="J301" s="35">
        <v>0</v>
      </c>
      <c r="K301" s="36"/>
      <c r="L301" s="36"/>
      <c r="M301" s="36"/>
      <c r="N301" s="36"/>
      <c r="O301" s="36"/>
      <c r="P301" s="36"/>
      <c r="Q301" s="36"/>
      <c r="R301" s="36"/>
      <c r="S301" s="36"/>
      <c r="T301" s="36"/>
    </row>
    <row r="302" spans="1:20" ht="15.75">
      <c r="A302" s="13">
        <v>50709</v>
      </c>
      <c r="B302" s="44">
        <v>31</v>
      </c>
      <c r="C302" s="35">
        <v>131.881</v>
      </c>
      <c r="D302" s="35">
        <v>277.16699999999997</v>
      </c>
      <c r="E302" s="41">
        <v>829.952</v>
      </c>
      <c r="F302" s="35">
        <v>1239</v>
      </c>
      <c r="G302" s="35">
        <v>75</v>
      </c>
      <c r="H302" s="43">
        <v>600</v>
      </c>
      <c r="I302" s="35">
        <v>695</v>
      </c>
      <c r="J302" s="35">
        <v>0</v>
      </c>
      <c r="K302" s="36"/>
      <c r="L302" s="36"/>
      <c r="M302" s="36"/>
      <c r="N302" s="36"/>
      <c r="O302" s="36"/>
      <c r="P302" s="36"/>
      <c r="Q302" s="36"/>
      <c r="R302" s="36"/>
      <c r="S302" s="36"/>
      <c r="T302" s="36"/>
    </row>
    <row r="303" spans="1:20" ht="15.75">
      <c r="A303" s="13">
        <v>50739</v>
      </c>
      <c r="B303" s="44">
        <v>30</v>
      </c>
      <c r="C303" s="35">
        <v>122.58</v>
      </c>
      <c r="D303" s="35">
        <v>297.94099999999997</v>
      </c>
      <c r="E303" s="41">
        <v>729.47900000000004</v>
      </c>
      <c r="F303" s="35">
        <v>1150</v>
      </c>
      <c r="G303" s="35">
        <v>100</v>
      </c>
      <c r="H303" s="43">
        <v>600</v>
      </c>
      <c r="I303" s="35">
        <v>695</v>
      </c>
      <c r="J303" s="35">
        <v>50</v>
      </c>
      <c r="K303" s="36"/>
      <c r="L303" s="36"/>
      <c r="M303" s="36"/>
      <c r="N303" s="36"/>
      <c r="O303" s="36"/>
      <c r="P303" s="36"/>
      <c r="Q303" s="36"/>
      <c r="R303" s="36"/>
      <c r="S303" s="36"/>
      <c r="T303" s="36"/>
    </row>
    <row r="304" spans="1:20" ht="15.75">
      <c r="A304" s="13">
        <v>50770</v>
      </c>
      <c r="B304" s="44">
        <v>31</v>
      </c>
      <c r="C304" s="35">
        <v>122.58</v>
      </c>
      <c r="D304" s="35">
        <v>297.94099999999997</v>
      </c>
      <c r="E304" s="41">
        <v>729.47900000000004</v>
      </c>
      <c r="F304" s="35">
        <v>1150</v>
      </c>
      <c r="G304" s="35">
        <v>100</v>
      </c>
      <c r="H304" s="43">
        <v>600</v>
      </c>
      <c r="I304" s="35">
        <v>695</v>
      </c>
      <c r="J304" s="35">
        <v>50</v>
      </c>
      <c r="K304" s="36"/>
      <c r="L304" s="36"/>
      <c r="M304" s="36"/>
      <c r="N304" s="36"/>
      <c r="O304" s="36"/>
      <c r="P304" s="36"/>
      <c r="Q304" s="36"/>
      <c r="R304" s="36"/>
      <c r="S304" s="36"/>
      <c r="T304" s="36"/>
    </row>
    <row r="305" spans="1:20" ht="15.75">
      <c r="A305" s="13">
        <v>50801</v>
      </c>
      <c r="B305" s="44">
        <v>31</v>
      </c>
      <c r="C305" s="35">
        <v>122.58</v>
      </c>
      <c r="D305" s="35">
        <v>297.94099999999997</v>
      </c>
      <c r="E305" s="41">
        <v>729.47900000000004</v>
      </c>
      <c r="F305" s="35">
        <v>1150</v>
      </c>
      <c r="G305" s="35">
        <v>100</v>
      </c>
      <c r="H305" s="43">
        <v>600</v>
      </c>
      <c r="I305" s="35">
        <v>695</v>
      </c>
      <c r="J305" s="35">
        <v>50</v>
      </c>
      <c r="K305" s="36"/>
      <c r="L305" s="36"/>
      <c r="M305" s="36"/>
      <c r="N305" s="36"/>
      <c r="O305" s="36"/>
      <c r="P305" s="36"/>
      <c r="Q305" s="36"/>
      <c r="R305" s="36"/>
      <c r="S305" s="36"/>
      <c r="T305" s="36"/>
    </row>
    <row r="306" spans="1:20" ht="15.75">
      <c r="A306" s="13">
        <v>50829</v>
      </c>
      <c r="B306" s="44">
        <v>28</v>
      </c>
      <c r="C306" s="35">
        <v>122.58</v>
      </c>
      <c r="D306" s="35">
        <v>297.94099999999997</v>
      </c>
      <c r="E306" s="41">
        <v>729.47900000000004</v>
      </c>
      <c r="F306" s="35">
        <v>1150</v>
      </c>
      <c r="G306" s="35">
        <v>100</v>
      </c>
      <c r="H306" s="43">
        <v>600</v>
      </c>
      <c r="I306" s="35">
        <v>695</v>
      </c>
      <c r="J306" s="35">
        <v>50</v>
      </c>
      <c r="K306" s="36"/>
      <c r="L306" s="36"/>
      <c r="M306" s="36"/>
      <c r="N306" s="36"/>
      <c r="O306" s="36"/>
      <c r="P306" s="36"/>
      <c r="Q306" s="36"/>
      <c r="R306" s="36"/>
      <c r="S306" s="36"/>
      <c r="T306" s="36"/>
    </row>
    <row r="307" spans="1:20" ht="15.75">
      <c r="A307" s="13">
        <v>50860</v>
      </c>
      <c r="B307" s="44">
        <v>31</v>
      </c>
      <c r="C307" s="35">
        <v>122.58</v>
      </c>
      <c r="D307" s="35">
        <v>297.94099999999997</v>
      </c>
      <c r="E307" s="41">
        <v>729.47900000000004</v>
      </c>
      <c r="F307" s="35">
        <v>1150</v>
      </c>
      <c r="G307" s="35">
        <v>100</v>
      </c>
      <c r="H307" s="43">
        <v>600</v>
      </c>
      <c r="I307" s="35">
        <v>695</v>
      </c>
      <c r="J307" s="35">
        <v>50</v>
      </c>
      <c r="K307" s="36"/>
      <c r="L307" s="36"/>
      <c r="M307" s="36"/>
      <c r="N307" s="36"/>
      <c r="O307" s="36"/>
      <c r="P307" s="36"/>
      <c r="Q307" s="36"/>
      <c r="R307" s="36"/>
      <c r="S307" s="36"/>
      <c r="T307" s="36"/>
    </row>
    <row r="308" spans="1:20" ht="15.75">
      <c r="A308" s="13">
        <v>50890</v>
      </c>
      <c r="B308" s="44">
        <v>30</v>
      </c>
      <c r="C308" s="35">
        <v>141.29300000000001</v>
      </c>
      <c r="D308" s="35">
        <v>267.99299999999999</v>
      </c>
      <c r="E308" s="41">
        <v>829.71400000000006</v>
      </c>
      <c r="F308" s="35">
        <v>1239</v>
      </c>
      <c r="G308" s="35">
        <v>100</v>
      </c>
      <c r="H308" s="43">
        <v>600</v>
      </c>
      <c r="I308" s="35">
        <v>695</v>
      </c>
      <c r="J308" s="35">
        <v>50</v>
      </c>
      <c r="K308" s="36"/>
      <c r="L308" s="36"/>
      <c r="M308" s="36"/>
      <c r="N308" s="36"/>
      <c r="O308" s="36"/>
      <c r="P308" s="36"/>
      <c r="Q308" s="36"/>
      <c r="R308" s="36"/>
      <c r="S308" s="36"/>
      <c r="T308" s="36"/>
    </row>
    <row r="309" spans="1:20" ht="15.75">
      <c r="A309" s="13">
        <v>50921</v>
      </c>
      <c r="B309" s="44">
        <v>31</v>
      </c>
      <c r="C309" s="35">
        <v>194.20500000000001</v>
      </c>
      <c r="D309" s="35">
        <v>267.46600000000001</v>
      </c>
      <c r="E309" s="41">
        <v>812.32899999999995</v>
      </c>
      <c r="F309" s="35">
        <v>1274</v>
      </c>
      <c r="G309" s="35">
        <v>75</v>
      </c>
      <c r="H309" s="43">
        <v>600</v>
      </c>
      <c r="I309" s="35">
        <v>695</v>
      </c>
      <c r="J309" s="35">
        <v>50</v>
      </c>
      <c r="K309" s="36"/>
      <c r="L309" s="36"/>
      <c r="M309" s="36"/>
      <c r="N309" s="36"/>
      <c r="O309" s="36"/>
      <c r="P309" s="36"/>
      <c r="Q309" s="36"/>
      <c r="R309" s="36"/>
      <c r="S309" s="36"/>
      <c r="T309" s="36"/>
    </row>
    <row r="310" spans="1:20" ht="15.75">
      <c r="A310" s="13">
        <v>50951</v>
      </c>
      <c r="B310" s="44">
        <v>30</v>
      </c>
      <c r="C310" s="35">
        <v>194.20500000000001</v>
      </c>
      <c r="D310" s="35">
        <v>267.46600000000001</v>
      </c>
      <c r="E310" s="41">
        <v>812.32899999999995</v>
      </c>
      <c r="F310" s="35">
        <v>1274</v>
      </c>
      <c r="G310" s="35">
        <v>50</v>
      </c>
      <c r="H310" s="43">
        <v>600</v>
      </c>
      <c r="I310" s="35">
        <v>695</v>
      </c>
      <c r="J310" s="35">
        <v>50</v>
      </c>
      <c r="K310" s="36"/>
      <c r="L310" s="36"/>
      <c r="M310" s="36"/>
      <c r="N310" s="36"/>
      <c r="O310" s="36"/>
      <c r="P310" s="36"/>
      <c r="Q310" s="36"/>
      <c r="R310" s="36"/>
      <c r="S310" s="36"/>
      <c r="T310" s="36"/>
    </row>
    <row r="311" spans="1:20" ht="15.75">
      <c r="A311" s="13">
        <v>50982</v>
      </c>
      <c r="B311" s="44">
        <v>31</v>
      </c>
      <c r="C311" s="35">
        <v>194.20500000000001</v>
      </c>
      <c r="D311" s="35">
        <v>267.46600000000001</v>
      </c>
      <c r="E311" s="41">
        <v>812.32899999999995</v>
      </c>
      <c r="F311" s="35">
        <v>1274</v>
      </c>
      <c r="G311" s="35">
        <v>50</v>
      </c>
      <c r="H311" s="43">
        <v>600</v>
      </c>
      <c r="I311" s="35">
        <v>695</v>
      </c>
      <c r="J311" s="35">
        <v>0</v>
      </c>
      <c r="K311" s="36"/>
      <c r="L311" s="36"/>
      <c r="M311" s="36"/>
      <c r="N311" s="36"/>
      <c r="O311" s="36"/>
      <c r="P311" s="36"/>
      <c r="Q311" s="36"/>
      <c r="R311" s="36"/>
      <c r="S311" s="36"/>
      <c r="T311" s="36"/>
    </row>
    <row r="312" spans="1:20" ht="15.75">
      <c r="A312" s="13">
        <v>51013</v>
      </c>
      <c r="B312" s="44">
        <v>31</v>
      </c>
      <c r="C312" s="35">
        <v>194.20500000000001</v>
      </c>
      <c r="D312" s="35">
        <v>267.46600000000001</v>
      </c>
      <c r="E312" s="41">
        <v>812.32899999999995</v>
      </c>
      <c r="F312" s="35">
        <v>1274</v>
      </c>
      <c r="G312" s="35">
        <v>50</v>
      </c>
      <c r="H312" s="43">
        <v>600</v>
      </c>
      <c r="I312" s="35">
        <v>695</v>
      </c>
      <c r="J312" s="35">
        <v>0</v>
      </c>
      <c r="K312" s="36"/>
      <c r="L312" s="36"/>
      <c r="M312" s="36"/>
      <c r="N312" s="36"/>
      <c r="O312" s="36"/>
      <c r="P312" s="36"/>
      <c r="Q312" s="36"/>
      <c r="R312" s="36"/>
      <c r="S312" s="36"/>
      <c r="T312" s="36"/>
    </row>
    <row r="313" spans="1:20" ht="15.75">
      <c r="A313" s="13">
        <v>51043</v>
      </c>
      <c r="B313" s="44">
        <v>30</v>
      </c>
      <c r="C313" s="35">
        <v>194.20500000000001</v>
      </c>
      <c r="D313" s="35">
        <v>267.46600000000001</v>
      </c>
      <c r="E313" s="41">
        <v>812.32899999999995</v>
      </c>
      <c r="F313" s="35">
        <v>1274</v>
      </c>
      <c r="G313" s="35">
        <v>50</v>
      </c>
      <c r="H313" s="43">
        <v>600</v>
      </c>
      <c r="I313" s="35">
        <v>695</v>
      </c>
      <c r="J313" s="35">
        <v>0</v>
      </c>
      <c r="K313" s="36"/>
      <c r="L313" s="36"/>
      <c r="M313" s="36"/>
      <c r="N313" s="36"/>
      <c r="O313" s="36"/>
      <c r="P313" s="36"/>
      <c r="Q313" s="36"/>
      <c r="R313" s="36"/>
      <c r="S313" s="36"/>
      <c r="T313" s="36"/>
    </row>
    <row r="314" spans="1:20" ht="15.75">
      <c r="A314" s="13">
        <v>51074</v>
      </c>
      <c r="B314" s="44">
        <v>31</v>
      </c>
      <c r="C314" s="35">
        <v>131.881</v>
      </c>
      <c r="D314" s="35">
        <v>277.16699999999997</v>
      </c>
      <c r="E314" s="41">
        <v>829.952</v>
      </c>
      <c r="F314" s="35">
        <v>1239</v>
      </c>
      <c r="G314" s="35">
        <v>75</v>
      </c>
      <c r="H314" s="43">
        <v>600</v>
      </c>
      <c r="I314" s="35">
        <v>695</v>
      </c>
      <c r="J314" s="35">
        <v>0</v>
      </c>
      <c r="K314" s="36"/>
      <c r="L314" s="36"/>
      <c r="M314" s="36"/>
      <c r="N314" s="36"/>
      <c r="O314" s="36"/>
      <c r="P314" s="36"/>
      <c r="Q314" s="36"/>
      <c r="R314" s="36"/>
      <c r="S314" s="36"/>
      <c r="T314" s="36"/>
    </row>
    <row r="315" spans="1:20" ht="15.75">
      <c r="A315" s="13">
        <v>51104</v>
      </c>
      <c r="B315" s="44">
        <v>30</v>
      </c>
      <c r="C315" s="35">
        <v>122.58</v>
      </c>
      <c r="D315" s="35">
        <v>297.94099999999997</v>
      </c>
      <c r="E315" s="41">
        <v>729.47900000000004</v>
      </c>
      <c r="F315" s="35">
        <v>1150</v>
      </c>
      <c r="G315" s="35">
        <v>100</v>
      </c>
      <c r="H315" s="43">
        <v>600</v>
      </c>
      <c r="I315" s="35">
        <v>695</v>
      </c>
      <c r="J315" s="35">
        <v>50</v>
      </c>
      <c r="K315" s="36"/>
      <c r="L315" s="36"/>
      <c r="M315" s="36"/>
      <c r="N315" s="36"/>
      <c r="O315" s="36"/>
      <c r="P315" s="36"/>
      <c r="Q315" s="36"/>
      <c r="R315" s="36"/>
      <c r="S315" s="36"/>
      <c r="T315" s="36"/>
    </row>
    <row r="316" spans="1:20" ht="15.75">
      <c r="A316" s="13">
        <v>51135</v>
      </c>
      <c r="B316" s="44">
        <v>31</v>
      </c>
      <c r="C316" s="35">
        <v>122.58</v>
      </c>
      <c r="D316" s="35">
        <v>297.94099999999997</v>
      </c>
      <c r="E316" s="41">
        <v>729.47900000000004</v>
      </c>
      <c r="F316" s="35">
        <v>1150</v>
      </c>
      <c r="G316" s="35">
        <v>100</v>
      </c>
      <c r="H316" s="43">
        <v>600</v>
      </c>
      <c r="I316" s="35">
        <v>695</v>
      </c>
      <c r="J316" s="35">
        <v>50</v>
      </c>
      <c r="K316" s="36"/>
      <c r="L316" s="36"/>
      <c r="M316" s="36"/>
      <c r="N316" s="36"/>
      <c r="O316" s="36"/>
      <c r="P316" s="36"/>
      <c r="Q316" s="36"/>
      <c r="R316" s="36"/>
      <c r="S316" s="36"/>
      <c r="T316" s="36"/>
    </row>
    <row r="317" spans="1:20" ht="15.75">
      <c r="A317" s="13">
        <v>51166</v>
      </c>
      <c r="B317" s="44">
        <v>31</v>
      </c>
      <c r="C317" s="35">
        <v>122.58</v>
      </c>
      <c r="D317" s="35">
        <v>297.94099999999997</v>
      </c>
      <c r="E317" s="41">
        <v>729.47900000000004</v>
      </c>
      <c r="F317" s="35">
        <v>1150</v>
      </c>
      <c r="G317" s="35">
        <v>100</v>
      </c>
      <c r="H317" s="43">
        <v>600</v>
      </c>
      <c r="I317" s="35">
        <v>695</v>
      </c>
      <c r="J317" s="35">
        <v>50</v>
      </c>
      <c r="K317" s="36"/>
      <c r="L317" s="36"/>
      <c r="M317" s="36"/>
      <c r="N317" s="36"/>
      <c r="O317" s="36"/>
      <c r="P317" s="36"/>
      <c r="Q317" s="36"/>
      <c r="R317" s="36"/>
      <c r="S317" s="36"/>
      <c r="T317" s="36"/>
    </row>
    <row r="318" spans="1:20" ht="15.75">
      <c r="A318" s="13">
        <v>51194</v>
      </c>
      <c r="B318" s="44">
        <v>29</v>
      </c>
      <c r="C318" s="35">
        <v>122.58</v>
      </c>
      <c r="D318" s="35">
        <v>297.94099999999997</v>
      </c>
      <c r="E318" s="41">
        <v>729.47900000000004</v>
      </c>
      <c r="F318" s="35">
        <v>1150</v>
      </c>
      <c r="G318" s="35">
        <v>100</v>
      </c>
      <c r="H318" s="43">
        <v>600</v>
      </c>
      <c r="I318" s="35">
        <v>695</v>
      </c>
      <c r="J318" s="35">
        <v>50</v>
      </c>
      <c r="K318" s="36"/>
      <c r="L318" s="36"/>
      <c r="M318" s="36"/>
      <c r="N318" s="36"/>
      <c r="O318" s="36"/>
      <c r="P318" s="36"/>
      <c r="Q318" s="36"/>
      <c r="R318" s="36"/>
      <c r="S318" s="36"/>
      <c r="T318" s="36"/>
    </row>
    <row r="319" spans="1:20" ht="15.75">
      <c r="A319" s="13">
        <v>51226</v>
      </c>
      <c r="B319" s="44">
        <v>31</v>
      </c>
      <c r="C319" s="35">
        <v>122.58</v>
      </c>
      <c r="D319" s="35">
        <v>297.94099999999997</v>
      </c>
      <c r="E319" s="41">
        <v>729.47900000000004</v>
      </c>
      <c r="F319" s="35">
        <v>1150</v>
      </c>
      <c r="G319" s="35">
        <v>100</v>
      </c>
      <c r="H319" s="43">
        <v>600</v>
      </c>
      <c r="I319" s="35">
        <v>695</v>
      </c>
      <c r="J319" s="35">
        <v>50</v>
      </c>
      <c r="K319" s="36"/>
      <c r="L319" s="36"/>
      <c r="M319" s="36"/>
      <c r="N319" s="36"/>
      <c r="O319" s="36"/>
      <c r="P319" s="36"/>
      <c r="Q319" s="36"/>
      <c r="R319" s="36"/>
      <c r="S319" s="36"/>
      <c r="T319" s="36"/>
    </row>
    <row r="320" spans="1:20" ht="15.75">
      <c r="A320" s="13">
        <v>51256</v>
      </c>
      <c r="B320" s="44">
        <v>30</v>
      </c>
      <c r="C320" s="35">
        <v>141.29300000000001</v>
      </c>
      <c r="D320" s="35">
        <v>267.99299999999999</v>
      </c>
      <c r="E320" s="41">
        <v>829.71400000000006</v>
      </c>
      <c r="F320" s="35">
        <v>1239</v>
      </c>
      <c r="G320" s="35">
        <v>100</v>
      </c>
      <c r="H320" s="43">
        <v>600</v>
      </c>
      <c r="I320" s="35">
        <v>695</v>
      </c>
      <c r="J320" s="35">
        <v>50</v>
      </c>
      <c r="K320" s="36"/>
      <c r="L320" s="36"/>
      <c r="M320" s="36"/>
      <c r="N320" s="36"/>
      <c r="O320" s="36"/>
      <c r="P320" s="36"/>
      <c r="Q320" s="36"/>
      <c r="R320" s="36"/>
      <c r="S320" s="36"/>
      <c r="T320" s="36"/>
    </row>
    <row r="321" spans="1:20" ht="15.75">
      <c r="A321" s="13">
        <v>51287</v>
      </c>
      <c r="B321" s="44">
        <v>31</v>
      </c>
      <c r="C321" s="35">
        <v>194.20500000000001</v>
      </c>
      <c r="D321" s="35">
        <v>267.46600000000001</v>
      </c>
      <c r="E321" s="41">
        <v>812.32899999999995</v>
      </c>
      <c r="F321" s="35">
        <v>1274</v>
      </c>
      <c r="G321" s="35">
        <v>75</v>
      </c>
      <c r="H321" s="43">
        <v>600</v>
      </c>
      <c r="I321" s="35">
        <v>695</v>
      </c>
      <c r="J321" s="35">
        <v>50</v>
      </c>
      <c r="K321" s="36"/>
      <c r="L321" s="36"/>
      <c r="M321" s="36"/>
      <c r="N321" s="36"/>
      <c r="O321" s="36"/>
      <c r="P321" s="36"/>
      <c r="Q321" s="36"/>
      <c r="R321" s="36"/>
      <c r="S321" s="36"/>
      <c r="T321" s="36"/>
    </row>
    <row r="322" spans="1:20" ht="15.75">
      <c r="A322" s="13">
        <v>51317</v>
      </c>
      <c r="B322" s="44">
        <v>30</v>
      </c>
      <c r="C322" s="35">
        <v>194.20500000000001</v>
      </c>
      <c r="D322" s="35">
        <v>267.46600000000001</v>
      </c>
      <c r="E322" s="41">
        <v>812.32899999999995</v>
      </c>
      <c r="F322" s="35">
        <v>1274</v>
      </c>
      <c r="G322" s="35">
        <v>50</v>
      </c>
      <c r="H322" s="43">
        <v>600</v>
      </c>
      <c r="I322" s="35">
        <v>695</v>
      </c>
      <c r="J322" s="35">
        <v>50</v>
      </c>
      <c r="K322" s="36"/>
      <c r="L322" s="36"/>
      <c r="M322" s="36"/>
      <c r="N322" s="36"/>
      <c r="O322" s="36"/>
      <c r="P322" s="36"/>
      <c r="Q322" s="36"/>
      <c r="R322" s="36"/>
      <c r="S322" s="36"/>
      <c r="T322" s="36"/>
    </row>
    <row r="323" spans="1:20" ht="15.75">
      <c r="A323" s="13">
        <v>51348</v>
      </c>
      <c r="B323" s="44">
        <v>31</v>
      </c>
      <c r="C323" s="35">
        <v>194.20500000000001</v>
      </c>
      <c r="D323" s="35">
        <v>267.46600000000001</v>
      </c>
      <c r="E323" s="41">
        <v>812.32899999999995</v>
      </c>
      <c r="F323" s="35">
        <v>1274</v>
      </c>
      <c r="G323" s="35">
        <v>50</v>
      </c>
      <c r="H323" s="43">
        <v>600</v>
      </c>
      <c r="I323" s="35">
        <v>695</v>
      </c>
      <c r="J323" s="35">
        <v>0</v>
      </c>
      <c r="K323" s="36"/>
      <c r="L323" s="36"/>
      <c r="M323" s="36"/>
      <c r="N323" s="36"/>
      <c r="O323" s="36"/>
      <c r="P323" s="36"/>
      <c r="Q323" s="36"/>
      <c r="R323" s="36"/>
      <c r="S323" s="36"/>
      <c r="T323" s="36"/>
    </row>
    <row r="324" spans="1:20" ht="15.75">
      <c r="A324" s="13">
        <v>51379</v>
      </c>
      <c r="B324" s="44">
        <v>31</v>
      </c>
      <c r="C324" s="35">
        <v>194.20500000000001</v>
      </c>
      <c r="D324" s="35">
        <v>267.46600000000001</v>
      </c>
      <c r="E324" s="41">
        <v>812.32899999999995</v>
      </c>
      <c r="F324" s="35">
        <v>1274</v>
      </c>
      <c r="G324" s="35">
        <v>50</v>
      </c>
      <c r="H324" s="43">
        <v>600</v>
      </c>
      <c r="I324" s="35">
        <v>695</v>
      </c>
      <c r="J324" s="35">
        <v>0</v>
      </c>
      <c r="K324" s="36"/>
      <c r="L324" s="36"/>
      <c r="M324" s="36"/>
      <c r="N324" s="36"/>
      <c r="O324" s="36"/>
      <c r="P324" s="36"/>
      <c r="Q324" s="36"/>
      <c r="R324" s="36"/>
      <c r="S324" s="36"/>
      <c r="T324" s="36"/>
    </row>
    <row r="325" spans="1:20" ht="15.75">
      <c r="A325" s="13">
        <v>51409</v>
      </c>
      <c r="B325" s="44">
        <v>30</v>
      </c>
      <c r="C325" s="35">
        <v>194.20500000000001</v>
      </c>
      <c r="D325" s="35">
        <v>267.46600000000001</v>
      </c>
      <c r="E325" s="41">
        <v>812.32899999999995</v>
      </c>
      <c r="F325" s="35">
        <v>1274</v>
      </c>
      <c r="G325" s="35">
        <v>50</v>
      </c>
      <c r="H325" s="43">
        <v>600</v>
      </c>
      <c r="I325" s="35">
        <v>695</v>
      </c>
      <c r="J325" s="35">
        <v>0</v>
      </c>
      <c r="K325" s="36"/>
      <c r="L325" s="36"/>
      <c r="M325" s="36"/>
      <c r="N325" s="36"/>
      <c r="O325" s="36"/>
      <c r="P325" s="36"/>
      <c r="Q325" s="36"/>
      <c r="R325" s="36"/>
      <c r="S325" s="36"/>
      <c r="T325" s="36"/>
    </row>
    <row r="326" spans="1:20" ht="15.75">
      <c r="A326" s="13">
        <v>51440</v>
      </c>
      <c r="B326" s="44">
        <v>31</v>
      </c>
      <c r="C326" s="35">
        <v>131.881</v>
      </c>
      <c r="D326" s="35">
        <v>277.16699999999997</v>
      </c>
      <c r="E326" s="41">
        <v>829.952</v>
      </c>
      <c r="F326" s="35">
        <v>1239</v>
      </c>
      <c r="G326" s="35">
        <v>75</v>
      </c>
      <c r="H326" s="43">
        <v>600</v>
      </c>
      <c r="I326" s="35">
        <v>695</v>
      </c>
      <c r="J326" s="35">
        <v>0</v>
      </c>
      <c r="K326" s="36"/>
      <c r="L326" s="36"/>
      <c r="M326" s="36"/>
      <c r="N326" s="36"/>
      <c r="O326" s="36"/>
      <c r="P326" s="36"/>
      <c r="Q326" s="36"/>
      <c r="R326" s="36"/>
      <c r="S326" s="36"/>
      <c r="T326" s="36"/>
    </row>
    <row r="327" spans="1:20" ht="15.75">
      <c r="A327" s="13">
        <v>51470</v>
      </c>
      <c r="B327" s="44">
        <v>30</v>
      </c>
      <c r="C327" s="35">
        <v>122.58</v>
      </c>
      <c r="D327" s="35">
        <v>297.94099999999997</v>
      </c>
      <c r="E327" s="41">
        <v>729.47900000000004</v>
      </c>
      <c r="F327" s="35">
        <v>1150</v>
      </c>
      <c r="G327" s="35">
        <v>100</v>
      </c>
      <c r="H327" s="43">
        <v>600</v>
      </c>
      <c r="I327" s="35">
        <v>695</v>
      </c>
      <c r="J327" s="35">
        <v>50</v>
      </c>
      <c r="K327" s="36"/>
      <c r="L327" s="36"/>
      <c r="M327" s="36"/>
      <c r="N327" s="36"/>
      <c r="O327" s="36"/>
      <c r="P327" s="36"/>
      <c r="Q327" s="36"/>
      <c r="R327" s="36"/>
      <c r="S327" s="36"/>
      <c r="T327" s="36"/>
    </row>
    <row r="328" spans="1:20" ht="15.75">
      <c r="A328" s="13">
        <v>51501</v>
      </c>
      <c r="B328" s="44">
        <v>31</v>
      </c>
      <c r="C328" s="35">
        <v>122.58</v>
      </c>
      <c r="D328" s="35">
        <v>297.94099999999997</v>
      </c>
      <c r="E328" s="41">
        <v>729.47900000000004</v>
      </c>
      <c r="F328" s="35">
        <v>1150</v>
      </c>
      <c r="G328" s="35">
        <v>100</v>
      </c>
      <c r="H328" s="43">
        <v>600</v>
      </c>
      <c r="I328" s="35">
        <v>695</v>
      </c>
      <c r="J328" s="35">
        <v>50</v>
      </c>
      <c r="K328" s="36"/>
      <c r="L328" s="36"/>
      <c r="M328" s="36"/>
      <c r="N328" s="36"/>
      <c r="O328" s="36"/>
      <c r="P328" s="36"/>
      <c r="Q328" s="36"/>
      <c r="R328" s="36"/>
      <c r="S328" s="36"/>
      <c r="T328" s="36"/>
    </row>
    <row r="329" spans="1:20" ht="15.75">
      <c r="A329" s="13">
        <v>51532</v>
      </c>
      <c r="B329" s="44">
        <v>31</v>
      </c>
      <c r="C329" s="35">
        <v>122.58</v>
      </c>
      <c r="D329" s="35">
        <v>297.94099999999997</v>
      </c>
      <c r="E329" s="41">
        <v>729.47900000000004</v>
      </c>
      <c r="F329" s="35">
        <v>1150</v>
      </c>
      <c r="G329" s="35">
        <v>100</v>
      </c>
      <c r="H329" s="43">
        <v>600</v>
      </c>
      <c r="I329" s="35">
        <v>695</v>
      </c>
      <c r="J329" s="35">
        <v>50</v>
      </c>
      <c r="K329" s="36"/>
      <c r="L329" s="36"/>
      <c r="M329" s="36"/>
      <c r="N329" s="36"/>
      <c r="O329" s="36"/>
      <c r="P329" s="36"/>
      <c r="Q329" s="36"/>
      <c r="R329" s="36"/>
      <c r="S329" s="36"/>
      <c r="T329" s="36"/>
    </row>
    <row r="330" spans="1:20" ht="15.75">
      <c r="A330" s="13">
        <v>51560</v>
      </c>
      <c r="B330" s="44">
        <v>28</v>
      </c>
      <c r="C330" s="35">
        <v>122.58</v>
      </c>
      <c r="D330" s="35">
        <v>297.94099999999997</v>
      </c>
      <c r="E330" s="41">
        <v>729.47900000000004</v>
      </c>
      <c r="F330" s="35">
        <v>1150</v>
      </c>
      <c r="G330" s="35">
        <v>100</v>
      </c>
      <c r="H330" s="43">
        <v>600</v>
      </c>
      <c r="I330" s="35">
        <v>695</v>
      </c>
      <c r="J330" s="35">
        <v>50</v>
      </c>
      <c r="K330" s="36"/>
      <c r="L330" s="36"/>
      <c r="M330" s="36"/>
      <c r="N330" s="36"/>
      <c r="O330" s="36"/>
      <c r="P330" s="36"/>
      <c r="Q330" s="36"/>
      <c r="R330" s="36"/>
      <c r="S330" s="36"/>
      <c r="T330" s="36"/>
    </row>
    <row r="331" spans="1:20" ht="15.75">
      <c r="A331" s="13">
        <v>51591</v>
      </c>
      <c r="B331" s="44">
        <v>31</v>
      </c>
      <c r="C331" s="35">
        <v>122.58</v>
      </c>
      <c r="D331" s="35">
        <v>297.94099999999997</v>
      </c>
      <c r="E331" s="41">
        <v>729.47900000000004</v>
      </c>
      <c r="F331" s="35">
        <v>1150</v>
      </c>
      <c r="G331" s="35">
        <v>100</v>
      </c>
      <c r="H331" s="43">
        <v>600</v>
      </c>
      <c r="I331" s="35">
        <v>695</v>
      </c>
      <c r="J331" s="35">
        <v>50</v>
      </c>
      <c r="K331" s="36"/>
      <c r="L331" s="36"/>
      <c r="M331" s="36"/>
      <c r="N331" s="36"/>
      <c r="O331" s="36"/>
      <c r="P331" s="36"/>
      <c r="Q331" s="36"/>
      <c r="R331" s="36"/>
      <c r="S331" s="36"/>
      <c r="T331" s="36"/>
    </row>
    <row r="332" spans="1:20" ht="15.75">
      <c r="A332" s="13">
        <v>51621</v>
      </c>
      <c r="B332" s="44">
        <v>30</v>
      </c>
      <c r="C332" s="35">
        <v>141.29300000000001</v>
      </c>
      <c r="D332" s="35">
        <v>267.99299999999999</v>
      </c>
      <c r="E332" s="41">
        <v>829.71400000000006</v>
      </c>
      <c r="F332" s="35">
        <v>1239</v>
      </c>
      <c r="G332" s="35">
        <v>100</v>
      </c>
      <c r="H332" s="43">
        <v>600</v>
      </c>
      <c r="I332" s="35">
        <v>695</v>
      </c>
      <c r="J332" s="35">
        <v>50</v>
      </c>
      <c r="K332" s="36"/>
      <c r="L332" s="36"/>
      <c r="M332" s="36"/>
      <c r="N332" s="36"/>
      <c r="O332" s="36"/>
      <c r="P332" s="36"/>
      <c r="Q332" s="36"/>
      <c r="R332" s="36"/>
      <c r="S332" s="36"/>
      <c r="T332" s="36"/>
    </row>
    <row r="333" spans="1:20" ht="15.75">
      <c r="A333" s="13">
        <v>51652</v>
      </c>
      <c r="B333" s="44">
        <v>31</v>
      </c>
      <c r="C333" s="35">
        <v>194.20500000000001</v>
      </c>
      <c r="D333" s="35">
        <v>267.46600000000001</v>
      </c>
      <c r="E333" s="41">
        <v>812.32899999999995</v>
      </c>
      <c r="F333" s="35">
        <v>1274</v>
      </c>
      <c r="G333" s="35">
        <v>75</v>
      </c>
      <c r="H333" s="43">
        <v>600</v>
      </c>
      <c r="I333" s="35">
        <v>695</v>
      </c>
      <c r="J333" s="35">
        <v>50</v>
      </c>
      <c r="K333" s="36"/>
      <c r="L333" s="36"/>
      <c r="M333" s="36"/>
      <c r="N333" s="36"/>
      <c r="O333" s="36"/>
      <c r="P333" s="36"/>
      <c r="Q333" s="36"/>
      <c r="R333" s="36"/>
      <c r="S333" s="36"/>
      <c r="T333" s="36"/>
    </row>
    <row r="334" spans="1:20" ht="15.75">
      <c r="A334" s="13">
        <v>51682</v>
      </c>
      <c r="B334" s="44">
        <v>30</v>
      </c>
      <c r="C334" s="35">
        <v>194.20500000000001</v>
      </c>
      <c r="D334" s="35">
        <v>267.46600000000001</v>
      </c>
      <c r="E334" s="41">
        <v>812.32899999999995</v>
      </c>
      <c r="F334" s="35">
        <v>1274</v>
      </c>
      <c r="G334" s="35">
        <v>50</v>
      </c>
      <c r="H334" s="43">
        <v>600</v>
      </c>
      <c r="I334" s="35">
        <v>695</v>
      </c>
      <c r="J334" s="35">
        <v>50</v>
      </c>
      <c r="K334" s="36"/>
      <c r="L334" s="36"/>
      <c r="M334" s="36"/>
      <c r="N334" s="36"/>
      <c r="O334" s="36"/>
      <c r="P334" s="36"/>
      <c r="Q334" s="36"/>
      <c r="R334" s="36"/>
      <c r="S334" s="36"/>
      <c r="T334" s="36"/>
    </row>
    <row r="335" spans="1:20" ht="15.75">
      <c r="A335" s="13">
        <v>51713</v>
      </c>
      <c r="B335" s="44">
        <v>31</v>
      </c>
      <c r="C335" s="35">
        <v>194.20500000000001</v>
      </c>
      <c r="D335" s="35">
        <v>267.46600000000001</v>
      </c>
      <c r="E335" s="41">
        <v>812.32899999999995</v>
      </c>
      <c r="F335" s="35">
        <v>1274</v>
      </c>
      <c r="G335" s="35">
        <v>50</v>
      </c>
      <c r="H335" s="43">
        <v>600</v>
      </c>
      <c r="I335" s="35">
        <v>695</v>
      </c>
      <c r="J335" s="35">
        <v>0</v>
      </c>
      <c r="K335" s="36"/>
      <c r="L335" s="36"/>
      <c r="M335" s="36"/>
      <c r="N335" s="36"/>
      <c r="O335" s="36"/>
      <c r="P335" s="36"/>
      <c r="Q335" s="36"/>
      <c r="R335" s="36"/>
      <c r="S335" s="36"/>
      <c r="T335" s="36"/>
    </row>
    <row r="336" spans="1:20" ht="15.75">
      <c r="A336" s="13">
        <v>51744</v>
      </c>
      <c r="B336" s="44">
        <v>31</v>
      </c>
      <c r="C336" s="35">
        <v>194.20500000000001</v>
      </c>
      <c r="D336" s="35">
        <v>267.46600000000001</v>
      </c>
      <c r="E336" s="41">
        <v>812.32899999999995</v>
      </c>
      <c r="F336" s="35">
        <v>1274</v>
      </c>
      <c r="G336" s="35">
        <v>50</v>
      </c>
      <c r="H336" s="43">
        <v>600</v>
      </c>
      <c r="I336" s="35">
        <v>695</v>
      </c>
      <c r="J336" s="35">
        <v>0</v>
      </c>
      <c r="K336" s="36"/>
      <c r="L336" s="36"/>
      <c r="M336" s="36"/>
      <c r="N336" s="36"/>
      <c r="O336" s="36"/>
      <c r="P336" s="36"/>
      <c r="Q336" s="36"/>
      <c r="R336" s="36"/>
      <c r="S336" s="36"/>
      <c r="T336" s="36"/>
    </row>
    <row r="337" spans="1:20" ht="15.75">
      <c r="A337" s="13">
        <v>51774</v>
      </c>
      <c r="B337" s="44">
        <v>30</v>
      </c>
      <c r="C337" s="35">
        <v>194.20500000000001</v>
      </c>
      <c r="D337" s="35">
        <v>267.46600000000001</v>
      </c>
      <c r="E337" s="41">
        <v>812.32899999999995</v>
      </c>
      <c r="F337" s="35">
        <v>1274</v>
      </c>
      <c r="G337" s="35">
        <v>50</v>
      </c>
      <c r="H337" s="43">
        <v>600</v>
      </c>
      <c r="I337" s="35">
        <v>695</v>
      </c>
      <c r="J337" s="35">
        <v>0</v>
      </c>
      <c r="K337" s="36"/>
      <c r="L337" s="36"/>
      <c r="M337" s="36"/>
      <c r="N337" s="36"/>
      <c r="O337" s="36"/>
      <c r="P337" s="36"/>
      <c r="Q337" s="36"/>
      <c r="R337" s="36"/>
      <c r="S337" s="36"/>
      <c r="T337" s="36"/>
    </row>
    <row r="338" spans="1:20" ht="15.75">
      <c r="A338" s="13">
        <v>51805</v>
      </c>
      <c r="B338" s="44">
        <v>31</v>
      </c>
      <c r="C338" s="35">
        <v>131.881</v>
      </c>
      <c r="D338" s="35">
        <v>277.16699999999997</v>
      </c>
      <c r="E338" s="41">
        <v>829.952</v>
      </c>
      <c r="F338" s="35">
        <v>1239</v>
      </c>
      <c r="G338" s="35">
        <v>75</v>
      </c>
      <c r="H338" s="43">
        <v>600</v>
      </c>
      <c r="I338" s="35">
        <v>695</v>
      </c>
      <c r="J338" s="35">
        <v>0</v>
      </c>
      <c r="K338" s="36"/>
      <c r="L338" s="36"/>
      <c r="M338" s="36"/>
      <c r="N338" s="36"/>
      <c r="O338" s="36"/>
      <c r="P338" s="36"/>
      <c r="Q338" s="36"/>
      <c r="R338" s="36"/>
      <c r="S338" s="36"/>
      <c r="T338" s="36"/>
    </row>
    <row r="339" spans="1:20" ht="15.75">
      <c r="A339" s="13">
        <v>51835</v>
      </c>
      <c r="B339" s="44">
        <v>30</v>
      </c>
      <c r="C339" s="35">
        <v>122.58</v>
      </c>
      <c r="D339" s="35">
        <v>297.94099999999997</v>
      </c>
      <c r="E339" s="41">
        <v>729.47900000000004</v>
      </c>
      <c r="F339" s="35">
        <v>1150</v>
      </c>
      <c r="G339" s="35">
        <v>100</v>
      </c>
      <c r="H339" s="43">
        <v>600</v>
      </c>
      <c r="I339" s="35">
        <v>695</v>
      </c>
      <c r="J339" s="35">
        <v>50</v>
      </c>
      <c r="K339" s="36"/>
      <c r="L339" s="36"/>
      <c r="M339" s="36"/>
      <c r="N339" s="36"/>
      <c r="O339" s="36"/>
      <c r="P339" s="36"/>
      <c r="Q339" s="36"/>
      <c r="R339" s="36"/>
      <c r="S339" s="36"/>
      <c r="T339" s="36"/>
    </row>
    <row r="340" spans="1:20" ht="15.75">
      <c r="A340" s="13">
        <v>51866</v>
      </c>
      <c r="B340" s="44">
        <v>31</v>
      </c>
      <c r="C340" s="35">
        <v>122.58</v>
      </c>
      <c r="D340" s="35">
        <v>297.94099999999997</v>
      </c>
      <c r="E340" s="41">
        <v>729.47900000000004</v>
      </c>
      <c r="F340" s="35">
        <v>1150</v>
      </c>
      <c r="G340" s="35">
        <v>100</v>
      </c>
      <c r="H340" s="43">
        <v>600</v>
      </c>
      <c r="I340" s="35">
        <v>695</v>
      </c>
      <c r="J340" s="35">
        <v>50</v>
      </c>
      <c r="K340" s="36"/>
      <c r="L340" s="36"/>
      <c r="M340" s="36"/>
      <c r="N340" s="36"/>
      <c r="O340" s="36"/>
      <c r="P340" s="36"/>
      <c r="Q340" s="36"/>
      <c r="R340" s="36"/>
      <c r="S340" s="36"/>
      <c r="T340" s="36"/>
    </row>
    <row r="341" spans="1:20" ht="15.75">
      <c r="A341" s="13">
        <v>51897</v>
      </c>
      <c r="B341" s="44">
        <v>31</v>
      </c>
      <c r="C341" s="35">
        <v>122.58</v>
      </c>
      <c r="D341" s="35">
        <v>297.94099999999997</v>
      </c>
      <c r="E341" s="41">
        <v>729.47900000000004</v>
      </c>
      <c r="F341" s="35">
        <v>1150</v>
      </c>
      <c r="G341" s="35">
        <v>100</v>
      </c>
      <c r="H341" s="43">
        <v>600</v>
      </c>
      <c r="I341" s="35">
        <v>695</v>
      </c>
      <c r="J341" s="35">
        <v>50</v>
      </c>
      <c r="K341" s="36"/>
      <c r="L341" s="36"/>
      <c r="M341" s="36"/>
      <c r="N341" s="36"/>
      <c r="O341" s="36"/>
      <c r="P341" s="36"/>
      <c r="Q341" s="36"/>
      <c r="R341" s="36"/>
      <c r="S341" s="36"/>
      <c r="T341" s="36"/>
    </row>
    <row r="342" spans="1:20" ht="15.75">
      <c r="A342" s="13">
        <v>51925</v>
      </c>
      <c r="B342" s="44">
        <v>28</v>
      </c>
      <c r="C342" s="35">
        <v>122.58</v>
      </c>
      <c r="D342" s="35">
        <v>297.94099999999997</v>
      </c>
      <c r="E342" s="41">
        <v>729.47900000000004</v>
      </c>
      <c r="F342" s="35">
        <v>1150</v>
      </c>
      <c r="G342" s="35">
        <v>100</v>
      </c>
      <c r="H342" s="43">
        <v>600</v>
      </c>
      <c r="I342" s="35">
        <v>695</v>
      </c>
      <c r="J342" s="35">
        <v>50</v>
      </c>
      <c r="K342" s="36"/>
      <c r="L342" s="36"/>
      <c r="M342" s="36"/>
      <c r="N342" s="36"/>
      <c r="O342" s="36"/>
      <c r="P342" s="36"/>
      <c r="Q342" s="36"/>
      <c r="R342" s="36"/>
      <c r="S342" s="36"/>
      <c r="T342" s="36"/>
    </row>
    <row r="343" spans="1:20" ht="15.75">
      <c r="A343" s="13">
        <v>51956</v>
      </c>
      <c r="B343" s="44">
        <v>31</v>
      </c>
      <c r="C343" s="35">
        <v>122.58</v>
      </c>
      <c r="D343" s="35">
        <v>297.94099999999997</v>
      </c>
      <c r="E343" s="41">
        <v>729.47900000000004</v>
      </c>
      <c r="F343" s="35">
        <v>1150</v>
      </c>
      <c r="G343" s="35">
        <v>100</v>
      </c>
      <c r="H343" s="43">
        <v>600</v>
      </c>
      <c r="I343" s="35">
        <v>695</v>
      </c>
      <c r="J343" s="35">
        <v>50</v>
      </c>
      <c r="K343" s="36"/>
      <c r="L343" s="36"/>
      <c r="M343" s="36"/>
      <c r="N343" s="36"/>
      <c r="O343" s="36"/>
      <c r="P343" s="36"/>
      <c r="Q343" s="36"/>
      <c r="R343" s="36"/>
      <c r="S343" s="36"/>
      <c r="T343" s="36"/>
    </row>
    <row r="344" spans="1:20" ht="15.75">
      <c r="A344" s="13">
        <v>51986</v>
      </c>
      <c r="B344" s="44">
        <v>30</v>
      </c>
      <c r="C344" s="35">
        <v>141.29300000000001</v>
      </c>
      <c r="D344" s="35">
        <v>267.99299999999999</v>
      </c>
      <c r="E344" s="41">
        <v>829.71400000000006</v>
      </c>
      <c r="F344" s="35">
        <v>1239</v>
      </c>
      <c r="G344" s="35">
        <v>100</v>
      </c>
      <c r="H344" s="43">
        <v>600</v>
      </c>
      <c r="I344" s="35">
        <v>695</v>
      </c>
      <c r="J344" s="35">
        <v>50</v>
      </c>
      <c r="K344" s="36"/>
      <c r="L344" s="36"/>
      <c r="M344" s="36"/>
      <c r="N344" s="36"/>
      <c r="O344" s="36"/>
      <c r="P344" s="36"/>
      <c r="Q344" s="36"/>
      <c r="R344" s="36"/>
      <c r="S344" s="36"/>
      <c r="T344" s="36"/>
    </row>
    <row r="345" spans="1:20" ht="15.75">
      <c r="A345" s="13">
        <v>52017</v>
      </c>
      <c r="B345" s="44">
        <v>31</v>
      </c>
      <c r="C345" s="35">
        <v>194.20500000000001</v>
      </c>
      <c r="D345" s="35">
        <v>267.46600000000001</v>
      </c>
      <c r="E345" s="41">
        <v>812.32899999999995</v>
      </c>
      <c r="F345" s="35">
        <v>1274</v>
      </c>
      <c r="G345" s="35">
        <v>75</v>
      </c>
      <c r="H345" s="43">
        <v>600</v>
      </c>
      <c r="I345" s="35">
        <v>695</v>
      </c>
      <c r="J345" s="35">
        <v>50</v>
      </c>
      <c r="K345" s="36"/>
      <c r="L345" s="36"/>
      <c r="M345" s="36"/>
      <c r="N345" s="36"/>
      <c r="O345" s="36"/>
      <c r="P345" s="36"/>
      <c r="Q345" s="36"/>
      <c r="R345" s="36"/>
      <c r="S345" s="36"/>
      <c r="T345" s="36"/>
    </row>
    <row r="346" spans="1:20" ht="15.75">
      <c r="A346" s="13">
        <v>52047</v>
      </c>
      <c r="B346" s="44">
        <v>30</v>
      </c>
      <c r="C346" s="35">
        <v>194.20500000000001</v>
      </c>
      <c r="D346" s="35">
        <v>267.46600000000001</v>
      </c>
      <c r="E346" s="41">
        <v>812.32899999999995</v>
      </c>
      <c r="F346" s="35">
        <v>1274</v>
      </c>
      <c r="G346" s="35">
        <v>50</v>
      </c>
      <c r="H346" s="43">
        <v>600</v>
      </c>
      <c r="I346" s="35">
        <v>695</v>
      </c>
      <c r="J346" s="35">
        <v>50</v>
      </c>
      <c r="K346" s="36"/>
      <c r="L346" s="36"/>
      <c r="M346" s="36"/>
      <c r="N346" s="36"/>
      <c r="O346" s="36"/>
      <c r="P346" s="36"/>
      <c r="Q346" s="36"/>
      <c r="R346" s="36"/>
      <c r="S346" s="36"/>
      <c r="T346" s="36"/>
    </row>
    <row r="347" spans="1:20" ht="15.75">
      <c r="A347" s="13">
        <v>52078</v>
      </c>
      <c r="B347" s="44">
        <v>31</v>
      </c>
      <c r="C347" s="35">
        <v>194.20500000000001</v>
      </c>
      <c r="D347" s="35">
        <v>267.46600000000001</v>
      </c>
      <c r="E347" s="41">
        <v>812.32899999999995</v>
      </c>
      <c r="F347" s="35">
        <v>1274</v>
      </c>
      <c r="G347" s="35">
        <v>50</v>
      </c>
      <c r="H347" s="43">
        <v>600</v>
      </c>
      <c r="I347" s="35">
        <v>695</v>
      </c>
      <c r="J347" s="35">
        <v>0</v>
      </c>
      <c r="K347" s="36"/>
      <c r="L347" s="36"/>
      <c r="M347" s="36"/>
      <c r="N347" s="36"/>
      <c r="O347" s="36"/>
      <c r="P347" s="36"/>
      <c r="Q347" s="36"/>
      <c r="R347" s="36"/>
      <c r="S347" s="36"/>
      <c r="T347" s="36"/>
    </row>
    <row r="348" spans="1:20" ht="15.75">
      <c r="A348" s="13">
        <v>52109</v>
      </c>
      <c r="B348" s="44">
        <v>31</v>
      </c>
      <c r="C348" s="35">
        <v>194.20500000000001</v>
      </c>
      <c r="D348" s="35">
        <v>267.46600000000001</v>
      </c>
      <c r="E348" s="41">
        <v>812.32899999999995</v>
      </c>
      <c r="F348" s="35">
        <v>1274</v>
      </c>
      <c r="G348" s="35">
        <v>50</v>
      </c>
      <c r="H348" s="43">
        <v>600</v>
      </c>
      <c r="I348" s="35">
        <v>695</v>
      </c>
      <c r="J348" s="35">
        <v>0</v>
      </c>
      <c r="K348" s="36"/>
      <c r="L348" s="36"/>
      <c r="M348" s="36"/>
      <c r="N348" s="36"/>
      <c r="O348" s="36"/>
      <c r="P348" s="36"/>
      <c r="Q348" s="36"/>
      <c r="R348" s="36"/>
      <c r="S348" s="36"/>
      <c r="T348" s="36"/>
    </row>
    <row r="349" spans="1:20" ht="15.75">
      <c r="A349" s="13">
        <v>52139</v>
      </c>
      <c r="B349" s="44">
        <v>30</v>
      </c>
      <c r="C349" s="35">
        <v>194.20500000000001</v>
      </c>
      <c r="D349" s="35">
        <v>267.46600000000001</v>
      </c>
      <c r="E349" s="41">
        <v>812.32899999999995</v>
      </c>
      <c r="F349" s="35">
        <v>1274</v>
      </c>
      <c r="G349" s="35">
        <v>50</v>
      </c>
      <c r="H349" s="43">
        <v>600</v>
      </c>
      <c r="I349" s="35">
        <v>695</v>
      </c>
      <c r="J349" s="35">
        <v>0</v>
      </c>
      <c r="K349" s="36"/>
      <c r="L349" s="36"/>
      <c r="M349" s="36"/>
      <c r="N349" s="36"/>
      <c r="O349" s="36"/>
      <c r="P349" s="36"/>
      <c r="Q349" s="36"/>
      <c r="R349" s="36"/>
      <c r="S349" s="36"/>
      <c r="T349" s="36"/>
    </row>
    <row r="350" spans="1:20" ht="15.75">
      <c r="A350" s="13">
        <v>52170</v>
      </c>
      <c r="B350" s="44">
        <v>31</v>
      </c>
      <c r="C350" s="35">
        <v>131.881</v>
      </c>
      <c r="D350" s="35">
        <v>277.16699999999997</v>
      </c>
      <c r="E350" s="41">
        <v>829.952</v>
      </c>
      <c r="F350" s="35">
        <v>1239</v>
      </c>
      <c r="G350" s="35">
        <v>75</v>
      </c>
      <c r="H350" s="43">
        <v>600</v>
      </c>
      <c r="I350" s="35">
        <v>695</v>
      </c>
      <c r="J350" s="35">
        <v>0</v>
      </c>
      <c r="K350" s="36"/>
      <c r="L350" s="36"/>
      <c r="M350" s="36"/>
      <c r="N350" s="36"/>
      <c r="O350" s="36"/>
      <c r="P350" s="36"/>
      <c r="Q350" s="36"/>
      <c r="R350" s="36"/>
      <c r="S350" s="36"/>
      <c r="T350" s="36"/>
    </row>
    <row r="351" spans="1:20" ht="15.75">
      <c r="A351" s="13">
        <v>52200</v>
      </c>
      <c r="B351" s="44">
        <v>30</v>
      </c>
      <c r="C351" s="35">
        <v>122.58</v>
      </c>
      <c r="D351" s="35">
        <v>297.94099999999997</v>
      </c>
      <c r="E351" s="41">
        <v>729.47900000000004</v>
      </c>
      <c r="F351" s="35">
        <v>1150</v>
      </c>
      <c r="G351" s="35">
        <v>100</v>
      </c>
      <c r="H351" s="43">
        <v>600</v>
      </c>
      <c r="I351" s="35">
        <v>695</v>
      </c>
      <c r="J351" s="35">
        <v>50</v>
      </c>
      <c r="K351" s="36"/>
      <c r="L351" s="36"/>
      <c r="M351" s="36"/>
      <c r="N351" s="36"/>
      <c r="O351" s="36"/>
      <c r="P351" s="36"/>
      <c r="Q351" s="36"/>
      <c r="R351" s="36"/>
      <c r="S351" s="36"/>
      <c r="T351" s="36"/>
    </row>
    <row r="352" spans="1:20" ht="15.75">
      <c r="A352" s="13">
        <v>52231</v>
      </c>
      <c r="B352" s="44">
        <v>31</v>
      </c>
      <c r="C352" s="35">
        <v>122.58</v>
      </c>
      <c r="D352" s="35">
        <v>297.94099999999997</v>
      </c>
      <c r="E352" s="41">
        <v>729.47900000000004</v>
      </c>
      <c r="F352" s="35">
        <v>1150</v>
      </c>
      <c r="G352" s="35">
        <v>100</v>
      </c>
      <c r="H352" s="43">
        <v>600</v>
      </c>
      <c r="I352" s="35">
        <v>695</v>
      </c>
      <c r="J352" s="35">
        <v>50</v>
      </c>
      <c r="K352" s="36"/>
      <c r="L352" s="36"/>
      <c r="M352" s="36"/>
      <c r="N352" s="36"/>
      <c r="O352" s="36"/>
      <c r="P352" s="36"/>
      <c r="Q352" s="36"/>
      <c r="R352" s="36"/>
      <c r="S352" s="36"/>
      <c r="T352" s="36"/>
    </row>
    <row r="353" spans="1:20" ht="15.75">
      <c r="A353" s="13">
        <v>52262</v>
      </c>
      <c r="B353" s="44">
        <v>31</v>
      </c>
      <c r="C353" s="35">
        <v>122.58</v>
      </c>
      <c r="D353" s="35">
        <v>297.94099999999997</v>
      </c>
      <c r="E353" s="41">
        <v>729.47900000000004</v>
      </c>
      <c r="F353" s="35">
        <v>1150</v>
      </c>
      <c r="G353" s="35">
        <v>100</v>
      </c>
      <c r="H353" s="43">
        <v>600</v>
      </c>
      <c r="I353" s="35">
        <v>695</v>
      </c>
      <c r="J353" s="35">
        <v>50</v>
      </c>
      <c r="K353" s="36"/>
      <c r="L353" s="36"/>
      <c r="M353" s="36"/>
      <c r="N353" s="36"/>
      <c r="O353" s="36"/>
      <c r="P353" s="36"/>
      <c r="Q353" s="36"/>
      <c r="R353" s="36"/>
      <c r="S353" s="36"/>
      <c r="T353" s="36"/>
    </row>
    <row r="354" spans="1:20" ht="15.75">
      <c r="A354" s="13">
        <v>52290</v>
      </c>
      <c r="B354" s="44">
        <v>28</v>
      </c>
      <c r="C354" s="35">
        <v>122.58</v>
      </c>
      <c r="D354" s="35">
        <v>297.94099999999997</v>
      </c>
      <c r="E354" s="41">
        <v>729.47900000000004</v>
      </c>
      <c r="F354" s="35">
        <v>1150</v>
      </c>
      <c r="G354" s="35">
        <v>100</v>
      </c>
      <c r="H354" s="43">
        <v>600</v>
      </c>
      <c r="I354" s="35">
        <v>695</v>
      </c>
      <c r="J354" s="35">
        <v>50</v>
      </c>
      <c r="K354" s="36"/>
      <c r="L354" s="36"/>
      <c r="M354" s="36"/>
      <c r="N354" s="36"/>
      <c r="O354" s="36"/>
      <c r="P354" s="36"/>
      <c r="Q354" s="36"/>
      <c r="R354" s="36"/>
      <c r="S354" s="36"/>
      <c r="T354" s="36"/>
    </row>
    <row r="355" spans="1:20" ht="15.75">
      <c r="A355" s="13">
        <v>52321</v>
      </c>
      <c r="B355" s="44">
        <v>31</v>
      </c>
      <c r="C355" s="35">
        <v>122.58</v>
      </c>
      <c r="D355" s="35">
        <v>297.94099999999997</v>
      </c>
      <c r="E355" s="41">
        <v>729.47900000000004</v>
      </c>
      <c r="F355" s="35">
        <v>1150</v>
      </c>
      <c r="G355" s="35">
        <v>100</v>
      </c>
      <c r="H355" s="43">
        <v>600</v>
      </c>
      <c r="I355" s="35">
        <v>695</v>
      </c>
      <c r="J355" s="35">
        <v>50</v>
      </c>
      <c r="K355" s="36"/>
      <c r="L355" s="36"/>
      <c r="M355" s="36"/>
      <c r="N355" s="36"/>
      <c r="O355" s="36"/>
      <c r="P355" s="36"/>
      <c r="Q355" s="36"/>
      <c r="R355" s="36"/>
      <c r="S355" s="36"/>
      <c r="T355" s="36"/>
    </row>
    <row r="356" spans="1:20" ht="15.75">
      <c r="A356" s="13">
        <v>52351</v>
      </c>
      <c r="B356" s="44">
        <v>30</v>
      </c>
      <c r="C356" s="35">
        <v>141.29300000000001</v>
      </c>
      <c r="D356" s="35">
        <v>267.99299999999999</v>
      </c>
      <c r="E356" s="41">
        <v>829.71400000000006</v>
      </c>
      <c r="F356" s="35">
        <v>1239</v>
      </c>
      <c r="G356" s="35">
        <v>100</v>
      </c>
      <c r="H356" s="43">
        <v>600</v>
      </c>
      <c r="I356" s="35">
        <v>695</v>
      </c>
      <c r="J356" s="35">
        <v>50</v>
      </c>
      <c r="K356" s="36"/>
      <c r="L356" s="36"/>
      <c r="M356" s="36"/>
      <c r="N356" s="36"/>
      <c r="O356" s="36"/>
      <c r="P356" s="36"/>
      <c r="Q356" s="36"/>
      <c r="R356" s="36"/>
      <c r="S356" s="36"/>
      <c r="T356" s="36"/>
    </row>
    <row r="357" spans="1:20" ht="15.75">
      <c r="A357" s="13">
        <v>52382</v>
      </c>
      <c r="B357" s="44">
        <v>31</v>
      </c>
      <c r="C357" s="35">
        <v>194.20500000000001</v>
      </c>
      <c r="D357" s="35">
        <v>267.46600000000001</v>
      </c>
      <c r="E357" s="41">
        <v>812.32899999999995</v>
      </c>
      <c r="F357" s="35">
        <v>1274</v>
      </c>
      <c r="G357" s="35">
        <v>75</v>
      </c>
      <c r="H357" s="43">
        <v>600</v>
      </c>
      <c r="I357" s="35">
        <v>695</v>
      </c>
      <c r="J357" s="35">
        <v>50</v>
      </c>
      <c r="K357" s="36"/>
      <c r="L357" s="36"/>
      <c r="M357" s="36"/>
      <c r="N357" s="36"/>
      <c r="O357" s="36"/>
      <c r="P357" s="36"/>
      <c r="Q357" s="36"/>
      <c r="R357" s="36"/>
      <c r="S357" s="36"/>
      <c r="T357" s="36"/>
    </row>
    <row r="358" spans="1:20" ht="15.75">
      <c r="A358" s="13">
        <v>52412</v>
      </c>
      <c r="B358" s="44">
        <v>30</v>
      </c>
      <c r="C358" s="35">
        <v>194.20500000000001</v>
      </c>
      <c r="D358" s="35">
        <v>267.46600000000001</v>
      </c>
      <c r="E358" s="41">
        <v>812.32899999999995</v>
      </c>
      <c r="F358" s="35">
        <v>1274</v>
      </c>
      <c r="G358" s="35">
        <v>50</v>
      </c>
      <c r="H358" s="43">
        <v>600</v>
      </c>
      <c r="I358" s="35">
        <v>695</v>
      </c>
      <c r="J358" s="35">
        <v>50</v>
      </c>
      <c r="K358" s="36"/>
      <c r="L358" s="36"/>
      <c r="M358" s="36"/>
      <c r="N358" s="36"/>
      <c r="O358" s="36"/>
      <c r="P358" s="36"/>
      <c r="Q358" s="36"/>
      <c r="R358" s="36"/>
      <c r="S358" s="36"/>
      <c r="T358" s="36"/>
    </row>
    <row r="359" spans="1:20" ht="15.75">
      <c r="A359" s="13">
        <v>52443</v>
      </c>
      <c r="B359" s="44">
        <v>31</v>
      </c>
      <c r="C359" s="35">
        <v>194.20500000000001</v>
      </c>
      <c r="D359" s="35">
        <v>267.46600000000001</v>
      </c>
      <c r="E359" s="41">
        <v>812.32899999999995</v>
      </c>
      <c r="F359" s="35">
        <v>1274</v>
      </c>
      <c r="G359" s="35">
        <v>50</v>
      </c>
      <c r="H359" s="43">
        <v>600</v>
      </c>
      <c r="I359" s="35">
        <v>695</v>
      </c>
      <c r="J359" s="35">
        <v>0</v>
      </c>
      <c r="K359" s="36"/>
      <c r="L359" s="36"/>
      <c r="M359" s="36"/>
      <c r="N359" s="36"/>
      <c r="O359" s="36"/>
      <c r="P359" s="36"/>
      <c r="Q359" s="36"/>
      <c r="R359" s="36"/>
      <c r="S359" s="36"/>
      <c r="T359" s="36"/>
    </row>
    <row r="360" spans="1:20" ht="15.75">
      <c r="A360" s="13">
        <v>52474</v>
      </c>
      <c r="B360" s="44">
        <v>31</v>
      </c>
      <c r="C360" s="35">
        <v>194.20500000000001</v>
      </c>
      <c r="D360" s="35">
        <v>267.46600000000001</v>
      </c>
      <c r="E360" s="41">
        <v>812.32899999999995</v>
      </c>
      <c r="F360" s="35">
        <v>1274</v>
      </c>
      <c r="G360" s="35">
        <v>50</v>
      </c>
      <c r="H360" s="43">
        <v>600</v>
      </c>
      <c r="I360" s="35">
        <v>695</v>
      </c>
      <c r="J360" s="35">
        <v>0</v>
      </c>
      <c r="K360" s="36"/>
      <c r="L360" s="36"/>
      <c r="M360" s="36"/>
      <c r="N360" s="36"/>
      <c r="O360" s="36"/>
      <c r="P360" s="36"/>
      <c r="Q360" s="36"/>
      <c r="R360" s="36"/>
      <c r="S360" s="36"/>
      <c r="T360" s="36"/>
    </row>
    <row r="361" spans="1:20" ht="15.75">
      <c r="A361" s="13">
        <v>52504</v>
      </c>
      <c r="B361" s="44">
        <v>30</v>
      </c>
      <c r="C361" s="35">
        <v>194.20500000000001</v>
      </c>
      <c r="D361" s="35">
        <v>267.46600000000001</v>
      </c>
      <c r="E361" s="41">
        <v>812.32899999999995</v>
      </c>
      <c r="F361" s="35">
        <v>1274</v>
      </c>
      <c r="G361" s="35">
        <v>50</v>
      </c>
      <c r="H361" s="43">
        <v>600</v>
      </c>
      <c r="I361" s="35">
        <v>695</v>
      </c>
      <c r="J361" s="35">
        <v>0</v>
      </c>
      <c r="K361" s="36"/>
      <c r="L361" s="36"/>
      <c r="M361" s="36"/>
      <c r="N361" s="36"/>
      <c r="O361" s="36"/>
      <c r="P361" s="36"/>
      <c r="Q361" s="36"/>
      <c r="R361" s="36"/>
      <c r="S361" s="36"/>
      <c r="T361" s="36"/>
    </row>
    <row r="362" spans="1:20" ht="15.75">
      <c r="A362" s="13">
        <v>52535</v>
      </c>
      <c r="B362" s="44">
        <v>31</v>
      </c>
      <c r="C362" s="35">
        <v>131.881</v>
      </c>
      <c r="D362" s="35">
        <v>277.16699999999997</v>
      </c>
      <c r="E362" s="41">
        <v>829.952</v>
      </c>
      <c r="F362" s="35">
        <v>1239</v>
      </c>
      <c r="G362" s="35">
        <v>75</v>
      </c>
      <c r="H362" s="43">
        <v>600</v>
      </c>
      <c r="I362" s="35">
        <v>695</v>
      </c>
      <c r="J362" s="35">
        <v>0</v>
      </c>
      <c r="K362" s="36"/>
      <c r="L362" s="36"/>
      <c r="M362" s="36"/>
      <c r="N362" s="36"/>
      <c r="O362" s="36"/>
      <c r="P362" s="36"/>
      <c r="Q362" s="36"/>
      <c r="R362" s="36"/>
      <c r="S362" s="36"/>
      <c r="T362" s="36"/>
    </row>
    <row r="363" spans="1:20" ht="15.75">
      <c r="A363" s="13">
        <v>52565</v>
      </c>
      <c r="B363" s="44">
        <v>30</v>
      </c>
      <c r="C363" s="35">
        <v>122.58</v>
      </c>
      <c r="D363" s="35">
        <v>297.94099999999997</v>
      </c>
      <c r="E363" s="41">
        <v>729.47900000000004</v>
      </c>
      <c r="F363" s="35">
        <v>1150</v>
      </c>
      <c r="G363" s="35">
        <v>100</v>
      </c>
      <c r="H363" s="43">
        <v>600</v>
      </c>
      <c r="I363" s="35">
        <v>695</v>
      </c>
      <c r="J363" s="35">
        <v>50</v>
      </c>
      <c r="K363" s="36"/>
      <c r="L363" s="36"/>
      <c r="M363" s="36"/>
      <c r="N363" s="36"/>
      <c r="O363" s="36"/>
      <c r="P363" s="36"/>
      <c r="Q363" s="36"/>
      <c r="R363" s="36"/>
      <c r="S363" s="36"/>
      <c r="T363" s="36"/>
    </row>
    <row r="364" spans="1:20" ht="15.75">
      <c r="A364" s="13">
        <v>52596</v>
      </c>
      <c r="B364" s="44">
        <v>31</v>
      </c>
      <c r="C364" s="35">
        <v>122.58</v>
      </c>
      <c r="D364" s="35">
        <v>297.94099999999997</v>
      </c>
      <c r="E364" s="41">
        <v>729.47900000000004</v>
      </c>
      <c r="F364" s="35">
        <v>1150</v>
      </c>
      <c r="G364" s="35">
        <v>100</v>
      </c>
      <c r="H364" s="43">
        <v>600</v>
      </c>
      <c r="I364" s="35">
        <v>695</v>
      </c>
      <c r="J364" s="35">
        <v>50</v>
      </c>
      <c r="K364" s="36"/>
      <c r="L364" s="36"/>
      <c r="M364" s="36"/>
      <c r="N364" s="36"/>
      <c r="O364" s="36"/>
      <c r="P364" s="36"/>
      <c r="Q364" s="36"/>
      <c r="R364" s="36"/>
      <c r="S364" s="36"/>
      <c r="T364" s="36"/>
    </row>
    <row r="365" spans="1:20" ht="15.75">
      <c r="A365" s="13">
        <v>52627</v>
      </c>
      <c r="B365" s="44">
        <v>31</v>
      </c>
      <c r="C365" s="35">
        <v>122.58</v>
      </c>
      <c r="D365" s="35">
        <v>297.94099999999997</v>
      </c>
      <c r="E365" s="41">
        <v>729.47900000000004</v>
      </c>
      <c r="F365" s="35">
        <v>1150</v>
      </c>
      <c r="G365" s="35">
        <v>100</v>
      </c>
      <c r="H365" s="43">
        <v>600</v>
      </c>
      <c r="I365" s="35">
        <v>695</v>
      </c>
      <c r="J365" s="35">
        <v>50</v>
      </c>
      <c r="K365" s="36"/>
      <c r="L365" s="36"/>
      <c r="M365" s="36"/>
      <c r="N365" s="36"/>
      <c r="O365" s="36"/>
      <c r="P365" s="36"/>
      <c r="Q365" s="36"/>
      <c r="R365" s="36"/>
      <c r="S365" s="36"/>
      <c r="T365" s="36"/>
    </row>
    <row r="366" spans="1:20" ht="15.75">
      <c r="A366" s="13">
        <v>52655</v>
      </c>
      <c r="B366" s="44">
        <v>29</v>
      </c>
      <c r="C366" s="35">
        <v>122.58</v>
      </c>
      <c r="D366" s="35">
        <v>297.94099999999997</v>
      </c>
      <c r="E366" s="41">
        <v>729.47900000000004</v>
      </c>
      <c r="F366" s="35">
        <v>1150</v>
      </c>
      <c r="G366" s="35">
        <v>100</v>
      </c>
      <c r="H366" s="43">
        <v>600</v>
      </c>
      <c r="I366" s="35">
        <v>695</v>
      </c>
      <c r="J366" s="35">
        <v>50</v>
      </c>
      <c r="K366" s="36"/>
      <c r="L366" s="36"/>
      <c r="M366" s="36"/>
      <c r="N366" s="36"/>
      <c r="O366" s="36"/>
      <c r="P366" s="36"/>
      <c r="Q366" s="36"/>
      <c r="R366" s="36"/>
      <c r="S366" s="36"/>
      <c r="T366" s="36"/>
    </row>
    <row r="367" spans="1:20" ht="15.75">
      <c r="A367" s="13">
        <v>52687</v>
      </c>
      <c r="B367" s="44">
        <v>31</v>
      </c>
      <c r="C367" s="35">
        <v>122.58</v>
      </c>
      <c r="D367" s="35">
        <v>297.94099999999997</v>
      </c>
      <c r="E367" s="41">
        <v>729.47900000000004</v>
      </c>
      <c r="F367" s="35">
        <v>1150</v>
      </c>
      <c r="G367" s="35">
        <v>100</v>
      </c>
      <c r="H367" s="43">
        <v>600</v>
      </c>
      <c r="I367" s="35">
        <v>695</v>
      </c>
      <c r="J367" s="35">
        <v>50</v>
      </c>
      <c r="K367" s="36"/>
      <c r="L367" s="36"/>
      <c r="M367" s="36"/>
      <c r="N367" s="36"/>
      <c r="O367" s="36"/>
      <c r="P367" s="36"/>
      <c r="Q367" s="36"/>
      <c r="R367" s="36"/>
      <c r="S367" s="36"/>
      <c r="T367" s="36"/>
    </row>
    <row r="368" spans="1:20" ht="15.75">
      <c r="A368" s="13">
        <v>52717</v>
      </c>
      <c r="B368" s="44">
        <v>30</v>
      </c>
      <c r="C368" s="35">
        <v>141.29300000000001</v>
      </c>
      <c r="D368" s="35">
        <v>267.99299999999999</v>
      </c>
      <c r="E368" s="41">
        <v>829.71400000000006</v>
      </c>
      <c r="F368" s="35">
        <v>1239</v>
      </c>
      <c r="G368" s="35">
        <v>100</v>
      </c>
      <c r="H368" s="43">
        <v>600</v>
      </c>
      <c r="I368" s="35">
        <v>695</v>
      </c>
      <c r="J368" s="35">
        <v>50</v>
      </c>
      <c r="K368" s="36"/>
      <c r="L368" s="36"/>
      <c r="M368" s="36"/>
      <c r="N368" s="36"/>
      <c r="O368" s="36"/>
      <c r="P368" s="36"/>
      <c r="Q368" s="36"/>
      <c r="R368" s="36"/>
      <c r="S368" s="36"/>
      <c r="T368" s="36"/>
    </row>
    <row r="369" spans="1:20" ht="15.75">
      <c r="A369" s="13">
        <v>52748</v>
      </c>
      <c r="B369" s="44">
        <v>31</v>
      </c>
      <c r="C369" s="35">
        <v>194.20500000000001</v>
      </c>
      <c r="D369" s="35">
        <v>267.46600000000001</v>
      </c>
      <c r="E369" s="41">
        <v>812.32899999999995</v>
      </c>
      <c r="F369" s="35">
        <v>1274</v>
      </c>
      <c r="G369" s="35">
        <v>75</v>
      </c>
      <c r="H369" s="43">
        <v>600</v>
      </c>
      <c r="I369" s="35">
        <v>695</v>
      </c>
      <c r="J369" s="35">
        <v>50</v>
      </c>
      <c r="K369" s="36"/>
      <c r="L369" s="36"/>
      <c r="M369" s="36"/>
      <c r="N369" s="36"/>
      <c r="O369" s="36"/>
      <c r="P369" s="36"/>
      <c r="Q369" s="36"/>
      <c r="R369" s="36"/>
      <c r="S369" s="36"/>
      <c r="T369" s="36"/>
    </row>
    <row r="370" spans="1:20" ht="15.75">
      <c r="A370" s="13">
        <v>52778</v>
      </c>
      <c r="B370" s="44">
        <v>30</v>
      </c>
      <c r="C370" s="35">
        <v>194.20500000000001</v>
      </c>
      <c r="D370" s="35">
        <v>267.46600000000001</v>
      </c>
      <c r="E370" s="41">
        <v>812.32899999999995</v>
      </c>
      <c r="F370" s="35">
        <v>1274</v>
      </c>
      <c r="G370" s="35">
        <v>50</v>
      </c>
      <c r="H370" s="43">
        <v>600</v>
      </c>
      <c r="I370" s="35">
        <v>695</v>
      </c>
      <c r="J370" s="35">
        <v>50</v>
      </c>
      <c r="K370" s="36"/>
      <c r="L370" s="36"/>
      <c r="M370" s="36"/>
      <c r="N370" s="36"/>
      <c r="O370" s="36"/>
      <c r="P370" s="36"/>
      <c r="Q370" s="36"/>
      <c r="R370" s="36"/>
      <c r="S370" s="36"/>
      <c r="T370" s="36"/>
    </row>
    <row r="371" spans="1:20" ht="15.75">
      <c r="A371" s="13">
        <v>52809</v>
      </c>
      <c r="B371" s="44">
        <v>31</v>
      </c>
      <c r="C371" s="35">
        <v>194.20500000000001</v>
      </c>
      <c r="D371" s="35">
        <v>267.46600000000001</v>
      </c>
      <c r="E371" s="41">
        <v>812.32899999999995</v>
      </c>
      <c r="F371" s="35">
        <v>1274</v>
      </c>
      <c r="G371" s="35">
        <v>50</v>
      </c>
      <c r="H371" s="43">
        <v>600</v>
      </c>
      <c r="I371" s="35">
        <v>695</v>
      </c>
      <c r="J371" s="35">
        <v>0</v>
      </c>
      <c r="K371" s="36"/>
      <c r="L371" s="36"/>
      <c r="M371" s="36"/>
      <c r="N371" s="36"/>
      <c r="O371" s="36"/>
      <c r="P371" s="36"/>
      <c r="Q371" s="36"/>
      <c r="R371" s="36"/>
      <c r="S371" s="36"/>
      <c r="T371" s="36"/>
    </row>
    <row r="372" spans="1:20" ht="15.75">
      <c r="A372" s="13">
        <v>52840</v>
      </c>
      <c r="B372" s="44">
        <v>31</v>
      </c>
      <c r="C372" s="35">
        <v>194.20500000000001</v>
      </c>
      <c r="D372" s="35">
        <v>267.46600000000001</v>
      </c>
      <c r="E372" s="41">
        <v>812.32899999999995</v>
      </c>
      <c r="F372" s="35">
        <v>1274</v>
      </c>
      <c r="G372" s="35">
        <v>50</v>
      </c>
      <c r="H372" s="43">
        <v>600</v>
      </c>
      <c r="I372" s="35">
        <v>695</v>
      </c>
      <c r="J372" s="35">
        <v>0</v>
      </c>
      <c r="K372" s="36"/>
      <c r="L372" s="36"/>
      <c r="M372" s="36"/>
      <c r="N372" s="36"/>
      <c r="O372" s="36"/>
      <c r="P372" s="36"/>
      <c r="Q372" s="36"/>
      <c r="R372" s="36"/>
      <c r="S372" s="36"/>
      <c r="T372" s="36"/>
    </row>
    <row r="373" spans="1:20" ht="15.75">
      <c r="A373" s="13">
        <v>52870</v>
      </c>
      <c r="B373" s="44">
        <v>30</v>
      </c>
      <c r="C373" s="35">
        <v>194.20500000000001</v>
      </c>
      <c r="D373" s="35">
        <v>267.46600000000001</v>
      </c>
      <c r="E373" s="41">
        <v>812.32899999999995</v>
      </c>
      <c r="F373" s="35">
        <v>1274</v>
      </c>
      <c r="G373" s="35">
        <v>50</v>
      </c>
      <c r="H373" s="43">
        <v>600</v>
      </c>
      <c r="I373" s="35">
        <v>695</v>
      </c>
      <c r="J373" s="35">
        <v>0</v>
      </c>
      <c r="K373" s="36"/>
      <c r="L373" s="36"/>
      <c r="M373" s="36"/>
      <c r="N373" s="36"/>
      <c r="O373" s="36"/>
      <c r="P373" s="36"/>
      <c r="Q373" s="36"/>
      <c r="R373" s="36"/>
      <c r="S373" s="36"/>
      <c r="T373" s="36"/>
    </row>
    <row r="374" spans="1:20" ht="15.75">
      <c r="A374" s="13">
        <v>52901</v>
      </c>
      <c r="B374" s="44">
        <v>31</v>
      </c>
      <c r="C374" s="35">
        <v>131.881</v>
      </c>
      <c r="D374" s="35">
        <v>277.16699999999997</v>
      </c>
      <c r="E374" s="41">
        <v>829.952</v>
      </c>
      <c r="F374" s="35">
        <v>1239</v>
      </c>
      <c r="G374" s="35">
        <v>75</v>
      </c>
      <c r="H374" s="43">
        <v>600</v>
      </c>
      <c r="I374" s="35">
        <v>695</v>
      </c>
      <c r="J374" s="35">
        <v>0</v>
      </c>
      <c r="K374" s="36"/>
      <c r="L374" s="36"/>
      <c r="M374" s="36"/>
      <c r="N374" s="36"/>
      <c r="O374" s="36"/>
      <c r="P374" s="36"/>
      <c r="Q374" s="36"/>
      <c r="R374" s="36"/>
      <c r="S374" s="36"/>
      <c r="T374" s="36"/>
    </row>
    <row r="375" spans="1:20" ht="15.75">
      <c r="A375" s="13">
        <v>52931</v>
      </c>
      <c r="B375" s="44">
        <v>30</v>
      </c>
      <c r="C375" s="35">
        <v>122.58</v>
      </c>
      <c r="D375" s="35">
        <v>297.94099999999997</v>
      </c>
      <c r="E375" s="41">
        <v>729.47900000000004</v>
      </c>
      <c r="F375" s="35">
        <v>1150</v>
      </c>
      <c r="G375" s="35">
        <v>100</v>
      </c>
      <c r="H375" s="43">
        <v>600</v>
      </c>
      <c r="I375" s="35">
        <v>695</v>
      </c>
      <c r="J375" s="35">
        <v>50</v>
      </c>
      <c r="K375" s="36"/>
      <c r="L375" s="36"/>
      <c r="M375" s="36"/>
      <c r="N375" s="36"/>
      <c r="O375" s="36"/>
      <c r="P375" s="36"/>
      <c r="Q375" s="36"/>
      <c r="R375" s="36"/>
      <c r="S375" s="36"/>
      <c r="T375" s="36"/>
    </row>
    <row r="376" spans="1:20" ht="15.75">
      <c r="A376" s="13">
        <v>52962</v>
      </c>
      <c r="B376" s="44">
        <v>31</v>
      </c>
      <c r="C376" s="35">
        <v>122.58</v>
      </c>
      <c r="D376" s="35">
        <v>297.94099999999997</v>
      </c>
      <c r="E376" s="41">
        <v>729.47900000000004</v>
      </c>
      <c r="F376" s="35">
        <v>1150</v>
      </c>
      <c r="G376" s="35">
        <v>100</v>
      </c>
      <c r="H376" s="43">
        <v>600</v>
      </c>
      <c r="I376" s="35">
        <v>695</v>
      </c>
      <c r="J376" s="35">
        <v>50</v>
      </c>
      <c r="K376" s="36"/>
      <c r="L376" s="36"/>
      <c r="M376" s="36"/>
      <c r="N376" s="36"/>
      <c r="O376" s="36"/>
      <c r="P376" s="36"/>
      <c r="Q376" s="36"/>
      <c r="R376" s="36"/>
      <c r="S376" s="36"/>
      <c r="T376" s="36"/>
    </row>
    <row r="377" spans="1:20" ht="15.75">
      <c r="A377" s="13">
        <v>52993</v>
      </c>
      <c r="B377" s="44">
        <v>31</v>
      </c>
      <c r="C377" s="35">
        <v>122.58</v>
      </c>
      <c r="D377" s="35">
        <v>297.94099999999997</v>
      </c>
      <c r="E377" s="41">
        <v>729.47900000000004</v>
      </c>
      <c r="F377" s="35">
        <v>1150</v>
      </c>
      <c r="G377" s="35">
        <v>100</v>
      </c>
      <c r="H377" s="43">
        <v>600</v>
      </c>
      <c r="I377" s="35">
        <v>695</v>
      </c>
      <c r="J377" s="35">
        <v>50</v>
      </c>
      <c r="K377" s="36"/>
      <c r="L377" s="36"/>
      <c r="M377" s="36"/>
      <c r="N377" s="36"/>
      <c r="O377" s="36"/>
      <c r="P377" s="36"/>
      <c r="Q377" s="36"/>
      <c r="R377" s="36"/>
      <c r="S377" s="36"/>
      <c r="T377" s="36"/>
    </row>
    <row r="378" spans="1:20" ht="15.75">
      <c r="A378" s="13">
        <v>53021</v>
      </c>
      <c r="B378" s="44">
        <v>28</v>
      </c>
      <c r="C378" s="35">
        <v>122.58</v>
      </c>
      <c r="D378" s="35">
        <v>297.94099999999997</v>
      </c>
      <c r="E378" s="41">
        <v>729.47900000000004</v>
      </c>
      <c r="F378" s="35">
        <v>1150</v>
      </c>
      <c r="G378" s="35">
        <v>100</v>
      </c>
      <c r="H378" s="43">
        <v>600</v>
      </c>
      <c r="I378" s="35">
        <v>695</v>
      </c>
      <c r="J378" s="35">
        <v>50</v>
      </c>
      <c r="K378" s="36"/>
      <c r="L378" s="36"/>
      <c r="M378" s="36"/>
      <c r="N378" s="36"/>
      <c r="O378" s="36"/>
      <c r="P378" s="36"/>
      <c r="Q378" s="36"/>
      <c r="R378" s="36"/>
      <c r="S378" s="36"/>
      <c r="T378" s="36"/>
    </row>
    <row r="379" spans="1:20" ht="15.75">
      <c r="A379" s="13">
        <v>53052</v>
      </c>
      <c r="B379" s="44">
        <v>31</v>
      </c>
      <c r="C379" s="35">
        <v>122.58</v>
      </c>
      <c r="D379" s="35">
        <v>297.94099999999997</v>
      </c>
      <c r="E379" s="41">
        <v>729.47900000000004</v>
      </c>
      <c r="F379" s="35">
        <v>1150</v>
      </c>
      <c r="G379" s="35">
        <v>100</v>
      </c>
      <c r="H379" s="43">
        <v>600</v>
      </c>
      <c r="I379" s="35">
        <v>695</v>
      </c>
      <c r="J379" s="35">
        <v>50</v>
      </c>
      <c r="K379" s="36"/>
      <c r="L379" s="36"/>
      <c r="M379" s="36"/>
      <c r="N379" s="36"/>
      <c r="O379" s="36"/>
      <c r="P379" s="36"/>
      <c r="Q379" s="36"/>
      <c r="R379" s="36"/>
      <c r="S379" s="36"/>
      <c r="T379" s="36"/>
    </row>
    <row r="380" spans="1:20" ht="15.75">
      <c r="A380" s="13">
        <v>53082</v>
      </c>
      <c r="B380" s="44">
        <v>30</v>
      </c>
      <c r="C380" s="35">
        <v>141.29300000000001</v>
      </c>
      <c r="D380" s="35">
        <v>267.99299999999999</v>
      </c>
      <c r="E380" s="41">
        <v>829.71400000000006</v>
      </c>
      <c r="F380" s="35">
        <v>1239</v>
      </c>
      <c r="G380" s="35">
        <v>100</v>
      </c>
      <c r="H380" s="43">
        <v>600</v>
      </c>
      <c r="I380" s="35">
        <v>695</v>
      </c>
      <c r="J380" s="35">
        <v>50</v>
      </c>
      <c r="K380" s="36"/>
      <c r="L380" s="36"/>
      <c r="M380" s="36"/>
      <c r="N380" s="36"/>
      <c r="O380" s="36"/>
      <c r="P380" s="36"/>
      <c r="Q380" s="36"/>
      <c r="R380" s="36"/>
      <c r="S380" s="36"/>
      <c r="T380" s="36"/>
    </row>
    <row r="381" spans="1:20" ht="15.75">
      <c r="A381" s="13">
        <v>53113</v>
      </c>
      <c r="B381" s="44">
        <v>31</v>
      </c>
      <c r="C381" s="35">
        <v>194.20500000000001</v>
      </c>
      <c r="D381" s="35">
        <v>267.46600000000001</v>
      </c>
      <c r="E381" s="41">
        <v>812.32899999999995</v>
      </c>
      <c r="F381" s="35">
        <v>1274</v>
      </c>
      <c r="G381" s="35">
        <v>75</v>
      </c>
      <c r="H381" s="43">
        <v>600</v>
      </c>
      <c r="I381" s="35">
        <v>695</v>
      </c>
      <c r="J381" s="35">
        <v>50</v>
      </c>
      <c r="K381" s="36"/>
      <c r="L381" s="36"/>
      <c r="M381" s="36"/>
      <c r="N381" s="36"/>
      <c r="O381" s="36"/>
      <c r="P381" s="36"/>
      <c r="Q381" s="36"/>
      <c r="R381" s="36"/>
      <c r="S381" s="36"/>
      <c r="T381" s="36"/>
    </row>
    <row r="382" spans="1:20" ht="15.75">
      <c r="A382" s="13">
        <v>53143</v>
      </c>
      <c r="B382" s="44">
        <v>30</v>
      </c>
      <c r="C382" s="35">
        <v>194.20500000000001</v>
      </c>
      <c r="D382" s="35">
        <v>267.46600000000001</v>
      </c>
      <c r="E382" s="41">
        <v>812.32899999999995</v>
      </c>
      <c r="F382" s="35">
        <v>1274</v>
      </c>
      <c r="G382" s="35">
        <v>50</v>
      </c>
      <c r="H382" s="43">
        <v>600</v>
      </c>
      <c r="I382" s="35">
        <v>695</v>
      </c>
      <c r="J382" s="35">
        <v>50</v>
      </c>
      <c r="K382" s="36"/>
      <c r="L382" s="36"/>
      <c r="M382" s="36"/>
      <c r="N382" s="36"/>
      <c r="O382" s="36"/>
      <c r="P382" s="36"/>
      <c r="Q382" s="36"/>
      <c r="R382" s="36"/>
      <c r="S382" s="36"/>
      <c r="T382" s="36"/>
    </row>
    <row r="383" spans="1:20" ht="15.75">
      <c r="A383" s="13">
        <v>53174</v>
      </c>
      <c r="B383" s="44">
        <v>31</v>
      </c>
      <c r="C383" s="35">
        <v>194.20500000000001</v>
      </c>
      <c r="D383" s="35">
        <v>267.46600000000001</v>
      </c>
      <c r="E383" s="41">
        <v>812.32899999999995</v>
      </c>
      <c r="F383" s="35">
        <v>1274</v>
      </c>
      <c r="G383" s="35">
        <v>50</v>
      </c>
      <c r="H383" s="43">
        <v>600</v>
      </c>
      <c r="I383" s="35">
        <v>695</v>
      </c>
      <c r="J383" s="35">
        <v>0</v>
      </c>
      <c r="K383" s="36"/>
      <c r="L383" s="36"/>
      <c r="M383" s="36"/>
      <c r="N383" s="36"/>
      <c r="O383" s="36"/>
      <c r="P383" s="36"/>
      <c r="Q383" s="36"/>
      <c r="R383" s="36"/>
      <c r="S383" s="36"/>
      <c r="T383" s="36"/>
    </row>
    <row r="384" spans="1:20" ht="15.75">
      <c r="A384" s="13">
        <v>53205</v>
      </c>
      <c r="B384" s="44">
        <v>31</v>
      </c>
      <c r="C384" s="35">
        <v>194.20500000000001</v>
      </c>
      <c r="D384" s="35">
        <v>267.46600000000001</v>
      </c>
      <c r="E384" s="41">
        <v>812.32899999999995</v>
      </c>
      <c r="F384" s="35">
        <v>1274</v>
      </c>
      <c r="G384" s="35">
        <v>50</v>
      </c>
      <c r="H384" s="43">
        <v>600</v>
      </c>
      <c r="I384" s="35">
        <v>695</v>
      </c>
      <c r="J384" s="35">
        <v>0</v>
      </c>
      <c r="K384" s="36"/>
      <c r="L384" s="36"/>
      <c r="M384" s="36"/>
      <c r="N384" s="36"/>
      <c r="O384" s="36"/>
      <c r="P384" s="36"/>
      <c r="Q384" s="36"/>
      <c r="R384" s="36"/>
      <c r="S384" s="36"/>
      <c r="T384" s="36"/>
    </row>
    <row r="385" spans="1:20" ht="15.75">
      <c r="A385" s="13">
        <v>53235</v>
      </c>
      <c r="B385" s="44">
        <v>30</v>
      </c>
      <c r="C385" s="35">
        <v>194.20500000000001</v>
      </c>
      <c r="D385" s="35">
        <v>267.46600000000001</v>
      </c>
      <c r="E385" s="41">
        <v>812.32899999999995</v>
      </c>
      <c r="F385" s="35">
        <v>1274</v>
      </c>
      <c r="G385" s="35">
        <v>50</v>
      </c>
      <c r="H385" s="43">
        <v>600</v>
      </c>
      <c r="I385" s="35">
        <v>695</v>
      </c>
      <c r="J385" s="35">
        <v>0</v>
      </c>
      <c r="K385" s="36"/>
      <c r="L385" s="36"/>
      <c r="M385" s="36"/>
      <c r="N385" s="36"/>
      <c r="O385" s="36"/>
      <c r="P385" s="36"/>
      <c r="Q385" s="36"/>
      <c r="R385" s="36"/>
      <c r="S385" s="36"/>
      <c r="T385" s="36"/>
    </row>
    <row r="386" spans="1:20" ht="15.75">
      <c r="A386" s="13">
        <v>53266</v>
      </c>
      <c r="B386" s="44">
        <v>31</v>
      </c>
      <c r="C386" s="35">
        <v>131.881</v>
      </c>
      <c r="D386" s="35">
        <v>277.16699999999997</v>
      </c>
      <c r="E386" s="41">
        <v>829.952</v>
      </c>
      <c r="F386" s="35">
        <v>1239</v>
      </c>
      <c r="G386" s="35">
        <v>75</v>
      </c>
      <c r="H386" s="43">
        <v>600</v>
      </c>
      <c r="I386" s="35">
        <v>695</v>
      </c>
      <c r="J386" s="35">
        <v>0</v>
      </c>
      <c r="K386" s="36"/>
      <c r="L386" s="36"/>
      <c r="M386" s="36"/>
      <c r="N386" s="36"/>
      <c r="O386" s="36"/>
      <c r="P386" s="36"/>
      <c r="Q386" s="36"/>
      <c r="R386" s="36"/>
      <c r="S386" s="36"/>
      <c r="T386" s="36"/>
    </row>
    <row r="387" spans="1:20" ht="15.75">
      <c r="A387" s="13">
        <v>53296</v>
      </c>
      <c r="B387" s="44">
        <v>30</v>
      </c>
      <c r="C387" s="35">
        <v>122.58</v>
      </c>
      <c r="D387" s="35">
        <v>297.94099999999997</v>
      </c>
      <c r="E387" s="41">
        <v>729.47900000000004</v>
      </c>
      <c r="F387" s="35">
        <v>1150</v>
      </c>
      <c r="G387" s="35">
        <v>100</v>
      </c>
      <c r="H387" s="43">
        <v>600</v>
      </c>
      <c r="I387" s="35">
        <v>695</v>
      </c>
      <c r="J387" s="35">
        <v>50</v>
      </c>
      <c r="K387" s="36"/>
      <c r="L387" s="36"/>
      <c r="M387" s="36"/>
      <c r="N387" s="36"/>
      <c r="O387" s="36"/>
      <c r="P387" s="36"/>
      <c r="Q387" s="36"/>
      <c r="R387" s="36"/>
      <c r="S387" s="36"/>
      <c r="T387" s="36"/>
    </row>
    <row r="388" spans="1:20" ht="15.75">
      <c r="A388" s="13">
        <v>53327</v>
      </c>
      <c r="B388" s="44">
        <v>31</v>
      </c>
      <c r="C388" s="35">
        <v>122.58</v>
      </c>
      <c r="D388" s="35">
        <v>297.94099999999997</v>
      </c>
      <c r="E388" s="41">
        <v>729.47900000000004</v>
      </c>
      <c r="F388" s="35">
        <v>1150</v>
      </c>
      <c r="G388" s="35">
        <v>100</v>
      </c>
      <c r="H388" s="43">
        <v>600</v>
      </c>
      <c r="I388" s="35">
        <v>695</v>
      </c>
      <c r="J388" s="35">
        <v>50</v>
      </c>
      <c r="K388" s="36"/>
      <c r="L388" s="36"/>
      <c r="M388" s="36"/>
      <c r="N388" s="36"/>
      <c r="O388" s="36"/>
      <c r="P388" s="36"/>
      <c r="Q388" s="36"/>
      <c r="R388" s="36"/>
      <c r="S388" s="36"/>
      <c r="T388" s="36"/>
    </row>
    <row r="389" spans="1:20" ht="15.75">
      <c r="A389" s="13">
        <v>53358</v>
      </c>
      <c r="B389" s="44">
        <v>31</v>
      </c>
      <c r="C389" s="35">
        <v>122.58</v>
      </c>
      <c r="D389" s="35">
        <v>297.94099999999997</v>
      </c>
      <c r="E389" s="41">
        <v>729.47900000000004</v>
      </c>
      <c r="F389" s="35">
        <v>1150</v>
      </c>
      <c r="G389" s="35">
        <v>100</v>
      </c>
      <c r="H389" s="43">
        <v>600</v>
      </c>
      <c r="I389" s="35">
        <v>695</v>
      </c>
      <c r="J389" s="35">
        <v>50</v>
      </c>
      <c r="K389" s="36"/>
      <c r="L389" s="36"/>
      <c r="M389" s="36"/>
      <c r="N389" s="36"/>
      <c r="O389" s="36"/>
      <c r="P389" s="36"/>
      <c r="Q389" s="36"/>
      <c r="R389" s="36"/>
      <c r="S389" s="36"/>
      <c r="T389" s="36"/>
    </row>
    <row r="390" spans="1:20" ht="15.75">
      <c r="A390" s="13">
        <v>53386</v>
      </c>
      <c r="B390" s="44">
        <v>28</v>
      </c>
      <c r="C390" s="35">
        <v>122.58</v>
      </c>
      <c r="D390" s="35">
        <v>297.94099999999997</v>
      </c>
      <c r="E390" s="41">
        <v>729.47900000000004</v>
      </c>
      <c r="F390" s="35">
        <v>1150</v>
      </c>
      <c r="G390" s="35">
        <v>100</v>
      </c>
      <c r="H390" s="43">
        <v>600</v>
      </c>
      <c r="I390" s="35">
        <v>695</v>
      </c>
      <c r="J390" s="35">
        <v>50</v>
      </c>
      <c r="K390" s="36"/>
      <c r="L390" s="36"/>
      <c r="M390" s="36"/>
      <c r="N390" s="36"/>
      <c r="O390" s="36"/>
      <c r="P390" s="36"/>
      <c r="Q390" s="36"/>
      <c r="R390" s="36"/>
      <c r="S390" s="36"/>
      <c r="T390" s="36"/>
    </row>
    <row r="391" spans="1:20" ht="15.75">
      <c r="A391" s="13">
        <v>53417</v>
      </c>
      <c r="B391" s="44">
        <v>31</v>
      </c>
      <c r="C391" s="35">
        <v>122.58</v>
      </c>
      <c r="D391" s="35">
        <v>297.94099999999997</v>
      </c>
      <c r="E391" s="41">
        <v>729.47900000000004</v>
      </c>
      <c r="F391" s="35">
        <v>1150</v>
      </c>
      <c r="G391" s="35">
        <v>100</v>
      </c>
      <c r="H391" s="43">
        <v>600</v>
      </c>
      <c r="I391" s="35">
        <v>695</v>
      </c>
      <c r="J391" s="35">
        <v>50</v>
      </c>
      <c r="K391" s="36"/>
      <c r="L391" s="36"/>
      <c r="M391" s="36"/>
      <c r="N391" s="36"/>
      <c r="O391" s="36"/>
      <c r="P391" s="36"/>
      <c r="Q391" s="36"/>
      <c r="R391" s="36"/>
      <c r="S391" s="36"/>
      <c r="T391" s="36"/>
    </row>
    <row r="392" spans="1:20" ht="15.75">
      <c r="A392" s="13">
        <v>53447</v>
      </c>
      <c r="B392" s="44">
        <v>30</v>
      </c>
      <c r="C392" s="35">
        <v>141.29300000000001</v>
      </c>
      <c r="D392" s="35">
        <v>267.99299999999999</v>
      </c>
      <c r="E392" s="41">
        <v>829.71400000000006</v>
      </c>
      <c r="F392" s="35">
        <v>1239</v>
      </c>
      <c r="G392" s="35">
        <v>100</v>
      </c>
      <c r="H392" s="43">
        <v>600</v>
      </c>
      <c r="I392" s="35">
        <v>695</v>
      </c>
      <c r="J392" s="35">
        <v>50</v>
      </c>
      <c r="K392" s="36"/>
      <c r="L392" s="36"/>
      <c r="M392" s="36"/>
      <c r="N392" s="36"/>
      <c r="O392" s="36"/>
      <c r="P392" s="36"/>
      <c r="Q392" s="36"/>
      <c r="R392" s="36"/>
      <c r="S392" s="36"/>
      <c r="T392" s="36"/>
    </row>
    <row r="393" spans="1:20" ht="15.75">
      <c r="A393" s="13">
        <v>53478</v>
      </c>
      <c r="B393" s="44">
        <v>31</v>
      </c>
      <c r="C393" s="35">
        <v>194.20500000000001</v>
      </c>
      <c r="D393" s="35">
        <v>267.46600000000001</v>
      </c>
      <c r="E393" s="41">
        <v>812.32899999999995</v>
      </c>
      <c r="F393" s="35">
        <v>1274</v>
      </c>
      <c r="G393" s="35">
        <v>75</v>
      </c>
      <c r="H393" s="43">
        <v>600</v>
      </c>
      <c r="I393" s="35">
        <v>695</v>
      </c>
      <c r="J393" s="35">
        <v>50</v>
      </c>
      <c r="K393" s="36"/>
      <c r="L393" s="36"/>
      <c r="M393" s="36"/>
      <c r="N393" s="36"/>
      <c r="O393" s="36"/>
      <c r="P393" s="36"/>
      <c r="Q393" s="36"/>
      <c r="R393" s="36"/>
      <c r="S393" s="36"/>
      <c r="T393" s="36"/>
    </row>
    <row r="394" spans="1:20" ht="15.75">
      <c r="A394" s="13">
        <v>53508</v>
      </c>
      <c r="B394" s="44">
        <v>30</v>
      </c>
      <c r="C394" s="35">
        <v>194.20500000000001</v>
      </c>
      <c r="D394" s="35">
        <v>267.46600000000001</v>
      </c>
      <c r="E394" s="41">
        <v>812.32899999999995</v>
      </c>
      <c r="F394" s="35">
        <v>1274</v>
      </c>
      <c r="G394" s="35">
        <v>50</v>
      </c>
      <c r="H394" s="43">
        <v>600</v>
      </c>
      <c r="I394" s="35">
        <v>695</v>
      </c>
      <c r="J394" s="35">
        <v>50</v>
      </c>
      <c r="K394" s="36"/>
      <c r="L394" s="36"/>
      <c r="M394" s="36"/>
      <c r="N394" s="36"/>
      <c r="O394" s="36"/>
      <c r="P394" s="36"/>
      <c r="Q394" s="36"/>
      <c r="R394" s="36"/>
      <c r="S394" s="36"/>
      <c r="T394" s="36"/>
    </row>
    <row r="395" spans="1:20" ht="15.75">
      <c r="A395" s="13">
        <v>53539</v>
      </c>
      <c r="B395" s="44">
        <v>31</v>
      </c>
      <c r="C395" s="35">
        <v>194.20500000000001</v>
      </c>
      <c r="D395" s="35">
        <v>267.46600000000001</v>
      </c>
      <c r="E395" s="41">
        <v>812.32899999999995</v>
      </c>
      <c r="F395" s="35">
        <v>1274</v>
      </c>
      <c r="G395" s="35">
        <v>50</v>
      </c>
      <c r="H395" s="43">
        <v>600</v>
      </c>
      <c r="I395" s="35">
        <v>695</v>
      </c>
      <c r="J395" s="35">
        <v>0</v>
      </c>
      <c r="K395" s="36"/>
      <c r="L395" s="36"/>
      <c r="M395" s="36"/>
      <c r="N395" s="36"/>
      <c r="O395" s="36"/>
      <c r="P395" s="36"/>
      <c r="Q395" s="36"/>
      <c r="R395" s="36"/>
      <c r="S395" s="36"/>
      <c r="T395" s="36"/>
    </row>
    <row r="396" spans="1:20" ht="15.75">
      <c r="A396" s="13">
        <v>53570</v>
      </c>
      <c r="B396" s="44">
        <v>31</v>
      </c>
      <c r="C396" s="35">
        <v>194.20500000000001</v>
      </c>
      <c r="D396" s="35">
        <v>267.46600000000001</v>
      </c>
      <c r="E396" s="41">
        <v>812.32899999999995</v>
      </c>
      <c r="F396" s="35">
        <v>1274</v>
      </c>
      <c r="G396" s="35">
        <v>50</v>
      </c>
      <c r="H396" s="43">
        <v>600</v>
      </c>
      <c r="I396" s="35">
        <v>695</v>
      </c>
      <c r="J396" s="35">
        <v>0</v>
      </c>
      <c r="K396" s="36"/>
      <c r="L396" s="36"/>
      <c r="M396" s="36"/>
      <c r="N396" s="36"/>
      <c r="O396" s="36"/>
      <c r="P396" s="36"/>
      <c r="Q396" s="36"/>
      <c r="R396" s="36"/>
      <c r="S396" s="36"/>
      <c r="T396" s="36"/>
    </row>
    <row r="397" spans="1:20" ht="15.75">
      <c r="A397" s="13">
        <v>53600</v>
      </c>
      <c r="B397" s="44">
        <v>30</v>
      </c>
      <c r="C397" s="35">
        <v>194.20500000000001</v>
      </c>
      <c r="D397" s="35">
        <v>267.46600000000001</v>
      </c>
      <c r="E397" s="41">
        <v>812.32899999999995</v>
      </c>
      <c r="F397" s="35">
        <v>1274</v>
      </c>
      <c r="G397" s="35">
        <v>50</v>
      </c>
      <c r="H397" s="43">
        <v>600</v>
      </c>
      <c r="I397" s="35">
        <v>695</v>
      </c>
      <c r="J397" s="35">
        <v>0</v>
      </c>
      <c r="K397" s="36"/>
      <c r="L397" s="36"/>
      <c r="M397" s="36"/>
      <c r="N397" s="36"/>
      <c r="O397" s="36"/>
      <c r="P397" s="36"/>
      <c r="Q397" s="36"/>
      <c r="R397" s="36"/>
      <c r="S397" s="36"/>
      <c r="T397" s="36"/>
    </row>
    <row r="398" spans="1:20" ht="15.75">
      <c r="A398" s="13">
        <v>53631</v>
      </c>
      <c r="B398" s="44">
        <v>31</v>
      </c>
      <c r="C398" s="35">
        <v>131.881</v>
      </c>
      <c r="D398" s="35">
        <v>277.16699999999997</v>
      </c>
      <c r="E398" s="41">
        <v>829.952</v>
      </c>
      <c r="F398" s="35">
        <v>1239</v>
      </c>
      <c r="G398" s="35">
        <v>75</v>
      </c>
      <c r="H398" s="43">
        <v>600</v>
      </c>
      <c r="I398" s="35">
        <v>695</v>
      </c>
      <c r="J398" s="35">
        <v>0</v>
      </c>
      <c r="K398" s="36"/>
      <c r="L398" s="36"/>
      <c r="M398" s="36"/>
      <c r="N398" s="36"/>
      <c r="O398" s="36"/>
      <c r="P398" s="36"/>
      <c r="Q398" s="36"/>
      <c r="R398" s="36"/>
      <c r="S398" s="36"/>
      <c r="T398" s="36"/>
    </row>
    <row r="399" spans="1:20" ht="15.75">
      <c r="A399" s="13">
        <v>53661</v>
      </c>
      <c r="B399" s="44">
        <v>30</v>
      </c>
      <c r="C399" s="35">
        <v>122.58</v>
      </c>
      <c r="D399" s="35">
        <v>297.94099999999997</v>
      </c>
      <c r="E399" s="41">
        <v>729.47900000000004</v>
      </c>
      <c r="F399" s="35">
        <v>1150</v>
      </c>
      <c r="G399" s="35">
        <v>100</v>
      </c>
      <c r="H399" s="43">
        <v>600</v>
      </c>
      <c r="I399" s="35">
        <v>695</v>
      </c>
      <c r="J399" s="35">
        <v>50</v>
      </c>
      <c r="K399" s="36"/>
      <c r="L399" s="36"/>
      <c r="M399" s="36"/>
      <c r="N399" s="36"/>
      <c r="O399" s="36"/>
      <c r="P399" s="36"/>
      <c r="Q399" s="36"/>
      <c r="R399" s="36"/>
      <c r="S399" s="36"/>
      <c r="T399" s="36"/>
    </row>
    <row r="400" spans="1:20" ht="15.75">
      <c r="A400" s="13">
        <v>53692</v>
      </c>
      <c r="B400" s="44">
        <v>31</v>
      </c>
      <c r="C400" s="35">
        <v>122.58</v>
      </c>
      <c r="D400" s="35">
        <v>297.94099999999997</v>
      </c>
      <c r="E400" s="41">
        <v>729.47900000000004</v>
      </c>
      <c r="F400" s="35">
        <v>1150</v>
      </c>
      <c r="G400" s="35">
        <v>100</v>
      </c>
      <c r="H400" s="43">
        <v>600</v>
      </c>
      <c r="I400" s="35">
        <v>695</v>
      </c>
      <c r="J400" s="35">
        <v>50</v>
      </c>
      <c r="K400" s="36"/>
      <c r="L400" s="36"/>
      <c r="M400" s="36"/>
      <c r="N400" s="36"/>
      <c r="O400" s="36"/>
      <c r="P400" s="36"/>
      <c r="Q400" s="36"/>
      <c r="R400" s="36"/>
      <c r="S400" s="36"/>
      <c r="T400" s="36"/>
    </row>
    <row r="401" spans="1:20" ht="15.75">
      <c r="A401" s="13">
        <v>53723</v>
      </c>
      <c r="B401" s="44">
        <v>31</v>
      </c>
      <c r="C401" s="35">
        <v>122.58</v>
      </c>
      <c r="D401" s="35">
        <v>297.94099999999997</v>
      </c>
      <c r="E401" s="41">
        <v>729.47900000000004</v>
      </c>
      <c r="F401" s="35">
        <v>1150</v>
      </c>
      <c r="G401" s="35">
        <v>100</v>
      </c>
      <c r="H401" s="43">
        <v>600</v>
      </c>
      <c r="I401" s="35">
        <v>695</v>
      </c>
      <c r="J401" s="35">
        <v>50</v>
      </c>
      <c r="K401" s="36"/>
      <c r="L401" s="36"/>
      <c r="M401" s="36"/>
      <c r="N401" s="36"/>
      <c r="O401" s="36"/>
      <c r="P401" s="36"/>
      <c r="Q401" s="36"/>
      <c r="R401" s="36"/>
      <c r="S401" s="36"/>
      <c r="T401" s="36"/>
    </row>
    <row r="402" spans="1:20" ht="15.75">
      <c r="A402" s="13">
        <v>53751</v>
      </c>
      <c r="B402" s="44">
        <v>28</v>
      </c>
      <c r="C402" s="35">
        <v>122.58</v>
      </c>
      <c r="D402" s="35">
        <v>297.94099999999997</v>
      </c>
      <c r="E402" s="41">
        <v>729.47900000000004</v>
      </c>
      <c r="F402" s="35">
        <v>1150</v>
      </c>
      <c r="G402" s="35">
        <v>100</v>
      </c>
      <c r="H402" s="43">
        <v>600</v>
      </c>
      <c r="I402" s="35">
        <v>695</v>
      </c>
      <c r="J402" s="35">
        <v>50</v>
      </c>
      <c r="K402" s="36"/>
      <c r="L402" s="36"/>
      <c r="M402" s="36"/>
      <c r="N402" s="36"/>
      <c r="O402" s="36"/>
      <c r="P402" s="36"/>
      <c r="Q402" s="36"/>
      <c r="R402" s="36"/>
      <c r="S402" s="36"/>
      <c r="T402" s="36"/>
    </row>
    <row r="403" spans="1:20" ht="15.75">
      <c r="A403" s="13">
        <v>53782</v>
      </c>
      <c r="B403" s="44">
        <v>31</v>
      </c>
      <c r="C403" s="35">
        <v>122.58</v>
      </c>
      <c r="D403" s="35">
        <v>297.94099999999997</v>
      </c>
      <c r="E403" s="41">
        <v>729.47900000000004</v>
      </c>
      <c r="F403" s="35">
        <v>1150</v>
      </c>
      <c r="G403" s="35">
        <v>100</v>
      </c>
      <c r="H403" s="43">
        <v>600</v>
      </c>
      <c r="I403" s="35">
        <v>695</v>
      </c>
      <c r="J403" s="35">
        <v>50</v>
      </c>
      <c r="K403" s="36"/>
      <c r="L403" s="36"/>
      <c r="M403" s="36"/>
      <c r="N403" s="36"/>
      <c r="O403" s="36"/>
      <c r="P403" s="36"/>
      <c r="Q403" s="36"/>
      <c r="R403" s="36"/>
      <c r="S403" s="36"/>
      <c r="T403" s="36"/>
    </row>
    <row r="404" spans="1:20" ht="15.75">
      <c r="A404" s="13">
        <v>53812</v>
      </c>
      <c r="B404" s="44">
        <v>30</v>
      </c>
      <c r="C404" s="35">
        <v>141.29300000000001</v>
      </c>
      <c r="D404" s="35">
        <v>267.99299999999999</v>
      </c>
      <c r="E404" s="41">
        <v>829.71400000000006</v>
      </c>
      <c r="F404" s="35">
        <v>1239</v>
      </c>
      <c r="G404" s="35">
        <v>100</v>
      </c>
      <c r="H404" s="43">
        <v>600</v>
      </c>
      <c r="I404" s="35">
        <v>695</v>
      </c>
      <c r="J404" s="35">
        <v>50</v>
      </c>
      <c r="K404" s="36"/>
      <c r="L404" s="36"/>
      <c r="M404" s="36"/>
      <c r="N404" s="36"/>
      <c r="O404" s="36"/>
      <c r="P404" s="36"/>
      <c r="Q404" s="36"/>
      <c r="R404" s="36"/>
      <c r="S404" s="36"/>
      <c r="T404" s="36"/>
    </row>
    <row r="405" spans="1:20" ht="15.75">
      <c r="A405" s="13">
        <v>53843</v>
      </c>
      <c r="B405" s="44">
        <v>31</v>
      </c>
      <c r="C405" s="35">
        <v>194.20500000000001</v>
      </c>
      <c r="D405" s="35">
        <v>267.46600000000001</v>
      </c>
      <c r="E405" s="41">
        <v>812.32899999999995</v>
      </c>
      <c r="F405" s="35">
        <v>1274</v>
      </c>
      <c r="G405" s="35">
        <v>75</v>
      </c>
      <c r="H405" s="43">
        <v>600</v>
      </c>
      <c r="I405" s="35">
        <v>695</v>
      </c>
      <c r="J405" s="35">
        <v>50</v>
      </c>
      <c r="K405" s="36"/>
      <c r="L405" s="36"/>
      <c r="M405" s="36"/>
      <c r="N405" s="36"/>
      <c r="O405" s="36"/>
      <c r="P405" s="36"/>
      <c r="Q405" s="36"/>
      <c r="R405" s="36"/>
      <c r="S405" s="36"/>
      <c r="T405" s="36"/>
    </row>
    <row r="406" spans="1:20" ht="15.75">
      <c r="A406" s="13">
        <v>53873</v>
      </c>
      <c r="B406" s="44">
        <v>30</v>
      </c>
      <c r="C406" s="35">
        <v>194.20500000000001</v>
      </c>
      <c r="D406" s="35">
        <v>267.46600000000001</v>
      </c>
      <c r="E406" s="41">
        <v>812.32899999999995</v>
      </c>
      <c r="F406" s="35">
        <v>1274</v>
      </c>
      <c r="G406" s="35">
        <v>50</v>
      </c>
      <c r="H406" s="43">
        <v>600</v>
      </c>
      <c r="I406" s="35">
        <v>695</v>
      </c>
      <c r="J406" s="35">
        <v>50</v>
      </c>
      <c r="K406" s="36"/>
      <c r="L406" s="36"/>
      <c r="M406" s="36"/>
      <c r="N406" s="36"/>
      <c r="O406" s="36"/>
      <c r="P406" s="36"/>
      <c r="Q406" s="36"/>
      <c r="R406" s="36"/>
      <c r="S406" s="36"/>
      <c r="T406" s="36"/>
    </row>
    <row r="407" spans="1:20" ht="15.75">
      <c r="A407" s="13">
        <v>53904</v>
      </c>
      <c r="B407" s="44">
        <v>31</v>
      </c>
      <c r="C407" s="35">
        <v>194.20500000000001</v>
      </c>
      <c r="D407" s="35">
        <v>267.46600000000001</v>
      </c>
      <c r="E407" s="41">
        <v>812.32899999999995</v>
      </c>
      <c r="F407" s="35">
        <v>1274</v>
      </c>
      <c r="G407" s="35">
        <v>50</v>
      </c>
      <c r="H407" s="43">
        <v>600</v>
      </c>
      <c r="I407" s="35">
        <v>695</v>
      </c>
      <c r="J407" s="35">
        <v>0</v>
      </c>
      <c r="K407" s="36"/>
      <c r="L407" s="36"/>
      <c r="M407" s="36"/>
      <c r="N407" s="36"/>
      <c r="O407" s="36"/>
      <c r="P407" s="36"/>
      <c r="Q407" s="36"/>
      <c r="R407" s="36"/>
      <c r="S407" s="36"/>
      <c r="T407" s="36"/>
    </row>
    <row r="408" spans="1:20" ht="15.75">
      <c r="A408" s="13">
        <v>53935</v>
      </c>
      <c r="B408" s="44">
        <v>31</v>
      </c>
      <c r="C408" s="35">
        <v>194.20500000000001</v>
      </c>
      <c r="D408" s="35">
        <v>267.46600000000001</v>
      </c>
      <c r="E408" s="41">
        <v>812.32899999999995</v>
      </c>
      <c r="F408" s="35">
        <v>1274</v>
      </c>
      <c r="G408" s="35">
        <v>50</v>
      </c>
      <c r="H408" s="43">
        <v>600</v>
      </c>
      <c r="I408" s="35">
        <v>695</v>
      </c>
      <c r="J408" s="35">
        <v>0</v>
      </c>
      <c r="K408" s="36"/>
      <c r="L408" s="36"/>
      <c r="M408" s="36"/>
      <c r="N408" s="36"/>
      <c r="O408" s="36"/>
      <c r="P408" s="36"/>
      <c r="Q408" s="36"/>
      <c r="R408" s="36"/>
      <c r="S408" s="36"/>
      <c r="T408" s="36"/>
    </row>
    <row r="409" spans="1:20" ht="15.75">
      <c r="A409" s="13">
        <v>53965</v>
      </c>
      <c r="B409" s="44">
        <v>30</v>
      </c>
      <c r="C409" s="35">
        <v>194.20500000000001</v>
      </c>
      <c r="D409" s="35">
        <v>267.46600000000001</v>
      </c>
      <c r="E409" s="41">
        <v>812.32899999999995</v>
      </c>
      <c r="F409" s="35">
        <v>1274</v>
      </c>
      <c r="G409" s="35">
        <v>50</v>
      </c>
      <c r="H409" s="43">
        <v>600</v>
      </c>
      <c r="I409" s="35">
        <v>695</v>
      </c>
      <c r="J409" s="35">
        <v>0</v>
      </c>
      <c r="K409" s="36"/>
      <c r="L409" s="36"/>
      <c r="M409" s="36"/>
      <c r="N409" s="36"/>
      <c r="O409" s="36"/>
      <c r="P409" s="36"/>
      <c r="Q409" s="36"/>
      <c r="R409" s="36"/>
      <c r="S409" s="36"/>
      <c r="T409" s="36"/>
    </row>
    <row r="410" spans="1:20" ht="15.75">
      <c r="A410" s="13">
        <v>53996</v>
      </c>
      <c r="B410" s="44">
        <v>31</v>
      </c>
      <c r="C410" s="35">
        <v>131.881</v>
      </c>
      <c r="D410" s="35">
        <v>277.16699999999997</v>
      </c>
      <c r="E410" s="41">
        <v>829.952</v>
      </c>
      <c r="F410" s="35">
        <v>1239</v>
      </c>
      <c r="G410" s="35">
        <v>75</v>
      </c>
      <c r="H410" s="43">
        <v>600</v>
      </c>
      <c r="I410" s="35">
        <v>695</v>
      </c>
      <c r="J410" s="35">
        <v>0</v>
      </c>
      <c r="K410" s="36"/>
      <c r="L410" s="36"/>
      <c r="M410" s="36"/>
      <c r="N410" s="36"/>
      <c r="O410" s="36"/>
      <c r="P410" s="36"/>
      <c r="Q410" s="36"/>
      <c r="R410" s="36"/>
      <c r="S410" s="36"/>
      <c r="T410" s="36"/>
    </row>
    <row r="411" spans="1:20" ht="15.75">
      <c r="A411" s="13">
        <v>54026</v>
      </c>
      <c r="B411" s="44">
        <v>30</v>
      </c>
      <c r="C411" s="35">
        <v>122.58</v>
      </c>
      <c r="D411" s="35">
        <v>297.94099999999997</v>
      </c>
      <c r="E411" s="41">
        <v>729.47900000000004</v>
      </c>
      <c r="F411" s="35">
        <v>1150</v>
      </c>
      <c r="G411" s="35">
        <v>100</v>
      </c>
      <c r="H411" s="43">
        <v>600</v>
      </c>
      <c r="I411" s="35">
        <v>695</v>
      </c>
      <c r="J411" s="35">
        <v>50</v>
      </c>
      <c r="K411" s="36"/>
      <c r="L411" s="36"/>
      <c r="M411" s="36"/>
      <c r="N411" s="36"/>
      <c r="O411" s="36"/>
      <c r="P411" s="36"/>
      <c r="Q411" s="36"/>
      <c r="R411" s="36"/>
      <c r="S411" s="36"/>
      <c r="T411" s="36"/>
    </row>
    <row r="412" spans="1:20" ht="15.75">
      <c r="A412" s="13">
        <v>54057</v>
      </c>
      <c r="B412" s="44">
        <v>31</v>
      </c>
      <c r="C412" s="35">
        <v>122.58</v>
      </c>
      <c r="D412" s="35">
        <v>297.94099999999997</v>
      </c>
      <c r="E412" s="41">
        <v>729.47900000000004</v>
      </c>
      <c r="F412" s="35">
        <v>1150</v>
      </c>
      <c r="G412" s="35">
        <v>100</v>
      </c>
      <c r="H412" s="43">
        <v>600</v>
      </c>
      <c r="I412" s="35">
        <v>695</v>
      </c>
      <c r="J412" s="35">
        <v>50</v>
      </c>
      <c r="K412" s="36"/>
      <c r="L412" s="36"/>
      <c r="M412" s="36"/>
      <c r="N412" s="36"/>
      <c r="O412" s="36"/>
      <c r="P412" s="36"/>
      <c r="Q412" s="36"/>
      <c r="R412" s="36"/>
      <c r="S412" s="36"/>
      <c r="T412" s="36"/>
    </row>
    <row r="413" spans="1:20" ht="15.75">
      <c r="A413" s="13">
        <v>54088</v>
      </c>
      <c r="B413" s="44">
        <v>31</v>
      </c>
      <c r="C413" s="35">
        <v>122.58</v>
      </c>
      <c r="D413" s="35">
        <v>297.94099999999997</v>
      </c>
      <c r="E413" s="41">
        <v>729.47900000000004</v>
      </c>
      <c r="F413" s="35">
        <v>1150</v>
      </c>
      <c r="G413" s="35">
        <v>100</v>
      </c>
      <c r="H413" s="43">
        <v>600</v>
      </c>
      <c r="I413" s="35">
        <v>695</v>
      </c>
      <c r="J413" s="35">
        <v>50</v>
      </c>
      <c r="K413" s="36"/>
      <c r="L413" s="36"/>
      <c r="M413" s="36"/>
      <c r="N413" s="36"/>
      <c r="O413" s="36"/>
      <c r="P413" s="36"/>
      <c r="Q413" s="36"/>
      <c r="R413" s="36"/>
      <c r="S413" s="36"/>
      <c r="T413" s="36"/>
    </row>
    <row r="414" spans="1:20" ht="15.75">
      <c r="A414" s="13">
        <v>54116</v>
      </c>
      <c r="B414" s="44">
        <v>29</v>
      </c>
      <c r="C414" s="35">
        <v>122.58</v>
      </c>
      <c r="D414" s="35">
        <v>297.94099999999997</v>
      </c>
      <c r="E414" s="41">
        <v>729.47900000000004</v>
      </c>
      <c r="F414" s="35">
        <v>1150</v>
      </c>
      <c r="G414" s="35">
        <v>100</v>
      </c>
      <c r="H414" s="43">
        <v>600</v>
      </c>
      <c r="I414" s="35">
        <v>695</v>
      </c>
      <c r="J414" s="35">
        <v>50</v>
      </c>
      <c r="K414" s="36"/>
      <c r="L414" s="36"/>
      <c r="M414" s="36"/>
      <c r="N414" s="36"/>
      <c r="O414" s="36"/>
      <c r="P414" s="36"/>
      <c r="Q414" s="36"/>
      <c r="R414" s="36"/>
      <c r="S414" s="36"/>
      <c r="T414" s="36"/>
    </row>
    <row r="415" spans="1:20" ht="15.75">
      <c r="A415" s="13">
        <v>54148</v>
      </c>
      <c r="B415" s="44">
        <v>31</v>
      </c>
      <c r="C415" s="35">
        <v>122.58</v>
      </c>
      <c r="D415" s="35">
        <v>297.94099999999997</v>
      </c>
      <c r="E415" s="41">
        <v>729.47900000000004</v>
      </c>
      <c r="F415" s="35">
        <v>1150</v>
      </c>
      <c r="G415" s="35">
        <v>100</v>
      </c>
      <c r="H415" s="43">
        <v>600</v>
      </c>
      <c r="I415" s="35">
        <v>695</v>
      </c>
      <c r="J415" s="35">
        <v>50</v>
      </c>
      <c r="K415" s="36"/>
      <c r="L415" s="36"/>
      <c r="M415" s="36"/>
      <c r="N415" s="36"/>
      <c r="O415" s="36"/>
      <c r="P415" s="36"/>
      <c r="Q415" s="36"/>
      <c r="R415" s="36"/>
      <c r="S415" s="36"/>
      <c r="T415" s="36"/>
    </row>
    <row r="416" spans="1:20" ht="15.75">
      <c r="A416" s="13">
        <v>54178</v>
      </c>
      <c r="B416" s="44">
        <v>30</v>
      </c>
      <c r="C416" s="35">
        <v>141.29300000000001</v>
      </c>
      <c r="D416" s="35">
        <v>267.99299999999999</v>
      </c>
      <c r="E416" s="41">
        <v>829.71400000000006</v>
      </c>
      <c r="F416" s="35">
        <v>1239</v>
      </c>
      <c r="G416" s="35">
        <v>100</v>
      </c>
      <c r="H416" s="43">
        <v>600</v>
      </c>
      <c r="I416" s="35">
        <v>695</v>
      </c>
      <c r="J416" s="35">
        <v>50</v>
      </c>
      <c r="K416" s="36"/>
      <c r="L416" s="36"/>
      <c r="M416" s="36"/>
      <c r="N416" s="36"/>
      <c r="O416" s="36"/>
      <c r="P416" s="36"/>
      <c r="Q416" s="36"/>
      <c r="R416" s="36"/>
      <c r="S416" s="36"/>
      <c r="T416" s="36"/>
    </row>
    <row r="417" spans="1:20" ht="15.75">
      <c r="A417" s="13">
        <v>54209</v>
      </c>
      <c r="B417" s="44">
        <v>31</v>
      </c>
      <c r="C417" s="35">
        <v>194.20500000000001</v>
      </c>
      <c r="D417" s="35">
        <v>267.46600000000001</v>
      </c>
      <c r="E417" s="41">
        <v>812.32899999999995</v>
      </c>
      <c r="F417" s="35">
        <v>1274</v>
      </c>
      <c r="G417" s="35">
        <v>75</v>
      </c>
      <c r="H417" s="43">
        <v>600</v>
      </c>
      <c r="I417" s="35">
        <v>695</v>
      </c>
      <c r="J417" s="35">
        <v>50</v>
      </c>
      <c r="K417" s="36"/>
      <c r="L417" s="36"/>
      <c r="M417" s="36"/>
      <c r="N417" s="36"/>
      <c r="O417" s="36"/>
      <c r="P417" s="36"/>
      <c r="Q417" s="36"/>
      <c r="R417" s="36"/>
      <c r="S417" s="36"/>
      <c r="T417" s="36"/>
    </row>
    <row r="418" spans="1:20" ht="15.75">
      <c r="A418" s="13">
        <v>54239</v>
      </c>
      <c r="B418" s="44">
        <v>30</v>
      </c>
      <c r="C418" s="35">
        <v>194.20500000000001</v>
      </c>
      <c r="D418" s="35">
        <v>267.46600000000001</v>
      </c>
      <c r="E418" s="41">
        <v>812.32899999999995</v>
      </c>
      <c r="F418" s="35">
        <v>1274</v>
      </c>
      <c r="G418" s="35">
        <v>50</v>
      </c>
      <c r="H418" s="43">
        <v>600</v>
      </c>
      <c r="I418" s="35">
        <v>695</v>
      </c>
      <c r="J418" s="35">
        <v>50</v>
      </c>
      <c r="K418" s="36"/>
      <c r="L418" s="36"/>
      <c r="M418" s="36"/>
      <c r="N418" s="36"/>
      <c r="O418" s="36"/>
      <c r="P418" s="36"/>
      <c r="Q418" s="36"/>
      <c r="R418" s="36"/>
      <c r="S418" s="36"/>
      <c r="T418" s="36"/>
    </row>
    <row r="419" spans="1:20" ht="15.75">
      <c r="A419" s="13">
        <v>54270</v>
      </c>
      <c r="B419" s="44">
        <v>31</v>
      </c>
      <c r="C419" s="35">
        <v>194.20500000000001</v>
      </c>
      <c r="D419" s="35">
        <v>267.46600000000001</v>
      </c>
      <c r="E419" s="41">
        <v>812.32899999999995</v>
      </c>
      <c r="F419" s="35">
        <v>1274</v>
      </c>
      <c r="G419" s="35">
        <v>50</v>
      </c>
      <c r="H419" s="43">
        <v>600</v>
      </c>
      <c r="I419" s="35">
        <v>695</v>
      </c>
      <c r="J419" s="35">
        <v>0</v>
      </c>
      <c r="K419" s="36"/>
      <c r="L419" s="36"/>
      <c r="M419" s="36"/>
      <c r="N419" s="36"/>
      <c r="O419" s="36"/>
      <c r="P419" s="36"/>
      <c r="Q419" s="36"/>
      <c r="R419" s="36"/>
      <c r="S419" s="36"/>
      <c r="T419" s="36"/>
    </row>
    <row r="420" spans="1:20" ht="15.75">
      <c r="A420" s="13">
        <v>54301</v>
      </c>
      <c r="B420" s="44">
        <v>31</v>
      </c>
      <c r="C420" s="35">
        <v>194.20500000000001</v>
      </c>
      <c r="D420" s="35">
        <v>267.46600000000001</v>
      </c>
      <c r="E420" s="41">
        <v>812.32899999999995</v>
      </c>
      <c r="F420" s="35">
        <v>1274</v>
      </c>
      <c r="G420" s="35">
        <v>50</v>
      </c>
      <c r="H420" s="43">
        <v>600</v>
      </c>
      <c r="I420" s="35">
        <v>695</v>
      </c>
      <c r="J420" s="35">
        <v>0</v>
      </c>
      <c r="K420" s="36"/>
      <c r="L420" s="36"/>
      <c r="M420" s="36"/>
      <c r="N420" s="36"/>
      <c r="O420" s="36"/>
      <c r="P420" s="36"/>
      <c r="Q420" s="36"/>
      <c r="R420" s="36"/>
      <c r="S420" s="36"/>
      <c r="T420" s="36"/>
    </row>
    <row r="421" spans="1:20" ht="15.75">
      <c r="A421" s="13">
        <v>54331</v>
      </c>
      <c r="B421" s="44">
        <v>30</v>
      </c>
      <c r="C421" s="35">
        <v>194.20500000000001</v>
      </c>
      <c r="D421" s="35">
        <v>267.46600000000001</v>
      </c>
      <c r="E421" s="41">
        <v>812.32899999999995</v>
      </c>
      <c r="F421" s="35">
        <v>1274</v>
      </c>
      <c r="G421" s="35">
        <v>50</v>
      </c>
      <c r="H421" s="43">
        <v>600</v>
      </c>
      <c r="I421" s="35">
        <v>695</v>
      </c>
      <c r="J421" s="35">
        <v>0</v>
      </c>
      <c r="K421" s="36"/>
      <c r="L421" s="36"/>
      <c r="M421" s="36"/>
      <c r="N421" s="36"/>
      <c r="O421" s="36"/>
      <c r="P421" s="36"/>
      <c r="Q421" s="36"/>
      <c r="R421" s="36"/>
      <c r="S421" s="36"/>
      <c r="T421" s="36"/>
    </row>
    <row r="422" spans="1:20" ht="15.75">
      <c r="A422" s="13">
        <v>54362</v>
      </c>
      <c r="B422" s="44">
        <v>31</v>
      </c>
      <c r="C422" s="35">
        <v>131.881</v>
      </c>
      <c r="D422" s="35">
        <v>277.16699999999997</v>
      </c>
      <c r="E422" s="41">
        <v>829.952</v>
      </c>
      <c r="F422" s="35">
        <v>1239</v>
      </c>
      <c r="G422" s="35">
        <v>75</v>
      </c>
      <c r="H422" s="43">
        <v>600</v>
      </c>
      <c r="I422" s="35">
        <v>695</v>
      </c>
      <c r="J422" s="35">
        <v>0</v>
      </c>
      <c r="K422" s="36"/>
      <c r="L422" s="36"/>
      <c r="M422" s="36"/>
      <c r="N422" s="36"/>
      <c r="O422" s="36"/>
      <c r="P422" s="36"/>
      <c r="Q422" s="36"/>
      <c r="R422" s="36"/>
      <c r="S422" s="36"/>
      <c r="T422" s="36"/>
    </row>
    <row r="423" spans="1:20" ht="15.75">
      <c r="A423" s="13">
        <v>54392</v>
      </c>
      <c r="B423" s="44">
        <v>30</v>
      </c>
      <c r="C423" s="35">
        <v>122.58</v>
      </c>
      <c r="D423" s="35">
        <v>297.94099999999997</v>
      </c>
      <c r="E423" s="41">
        <v>729.47900000000004</v>
      </c>
      <c r="F423" s="35">
        <v>1150</v>
      </c>
      <c r="G423" s="35">
        <v>100</v>
      </c>
      <c r="H423" s="43">
        <v>600</v>
      </c>
      <c r="I423" s="35">
        <v>695</v>
      </c>
      <c r="J423" s="35">
        <v>50</v>
      </c>
      <c r="K423" s="36"/>
      <c r="L423" s="36"/>
      <c r="M423" s="36"/>
      <c r="N423" s="36"/>
      <c r="O423" s="36"/>
      <c r="P423" s="36"/>
      <c r="Q423" s="36"/>
      <c r="R423" s="36"/>
      <c r="S423" s="36"/>
      <c r="T423" s="36"/>
    </row>
    <row r="424" spans="1:20" ht="15.75">
      <c r="A424" s="13">
        <v>54423</v>
      </c>
      <c r="B424" s="44">
        <v>31</v>
      </c>
      <c r="C424" s="35">
        <v>122.58</v>
      </c>
      <c r="D424" s="35">
        <v>297.94099999999997</v>
      </c>
      <c r="E424" s="41">
        <v>729.47900000000004</v>
      </c>
      <c r="F424" s="35">
        <v>1150</v>
      </c>
      <c r="G424" s="35">
        <v>100</v>
      </c>
      <c r="H424" s="43">
        <v>600</v>
      </c>
      <c r="I424" s="35">
        <v>695</v>
      </c>
      <c r="J424" s="35">
        <v>50</v>
      </c>
      <c r="K424" s="36"/>
      <c r="L424" s="36"/>
      <c r="M424" s="36"/>
      <c r="N424" s="36"/>
      <c r="O424" s="36"/>
      <c r="P424" s="36"/>
      <c r="Q424" s="36"/>
      <c r="R424" s="36"/>
      <c r="S424" s="36"/>
      <c r="T424" s="36"/>
    </row>
    <row r="425" spans="1:20" ht="15.75">
      <c r="A425" s="13">
        <v>54454</v>
      </c>
      <c r="B425" s="44">
        <v>31</v>
      </c>
      <c r="C425" s="35">
        <v>122.58</v>
      </c>
      <c r="D425" s="35">
        <v>297.94099999999997</v>
      </c>
      <c r="E425" s="41">
        <v>729.47900000000004</v>
      </c>
      <c r="F425" s="35">
        <v>1150</v>
      </c>
      <c r="G425" s="35">
        <v>100</v>
      </c>
      <c r="H425" s="43">
        <v>600</v>
      </c>
      <c r="I425" s="35">
        <v>695</v>
      </c>
      <c r="J425" s="35">
        <v>50</v>
      </c>
      <c r="K425" s="36"/>
      <c r="L425" s="36"/>
      <c r="M425" s="36"/>
      <c r="N425" s="36"/>
      <c r="O425" s="36"/>
      <c r="P425" s="36"/>
      <c r="Q425" s="36"/>
      <c r="R425" s="36"/>
      <c r="S425" s="36"/>
      <c r="T425" s="36"/>
    </row>
    <row r="426" spans="1:20" ht="15.75">
      <c r="A426" s="13">
        <v>54482</v>
      </c>
      <c r="B426" s="44">
        <v>28</v>
      </c>
      <c r="C426" s="35">
        <v>122.58</v>
      </c>
      <c r="D426" s="35">
        <v>297.94099999999997</v>
      </c>
      <c r="E426" s="41">
        <v>729.47900000000004</v>
      </c>
      <c r="F426" s="35">
        <v>1150</v>
      </c>
      <c r="G426" s="35">
        <v>100</v>
      </c>
      <c r="H426" s="43">
        <v>600</v>
      </c>
      <c r="I426" s="35">
        <v>695</v>
      </c>
      <c r="J426" s="35">
        <v>50</v>
      </c>
      <c r="K426" s="36"/>
      <c r="L426" s="36"/>
      <c r="M426" s="36"/>
      <c r="N426" s="36"/>
      <c r="O426" s="36"/>
      <c r="P426" s="36"/>
      <c r="Q426" s="36"/>
      <c r="R426" s="36"/>
      <c r="S426" s="36"/>
      <c r="T426" s="36"/>
    </row>
    <row r="427" spans="1:20" ht="15.75">
      <c r="A427" s="13">
        <v>54513</v>
      </c>
      <c r="B427" s="44">
        <v>31</v>
      </c>
      <c r="C427" s="35">
        <v>122.58</v>
      </c>
      <c r="D427" s="35">
        <v>297.94099999999997</v>
      </c>
      <c r="E427" s="41">
        <v>729.47900000000004</v>
      </c>
      <c r="F427" s="35">
        <v>1150</v>
      </c>
      <c r="G427" s="35">
        <v>100</v>
      </c>
      <c r="H427" s="43">
        <v>600</v>
      </c>
      <c r="I427" s="35">
        <v>695</v>
      </c>
      <c r="J427" s="35">
        <v>50</v>
      </c>
      <c r="K427" s="36"/>
      <c r="L427" s="36"/>
      <c r="M427" s="36"/>
      <c r="N427" s="36"/>
      <c r="O427" s="36"/>
      <c r="P427" s="36"/>
      <c r="Q427" s="36"/>
      <c r="R427" s="36"/>
      <c r="S427" s="36"/>
      <c r="T427" s="36"/>
    </row>
    <row r="428" spans="1:20" ht="15.75">
      <c r="A428" s="13">
        <v>54543</v>
      </c>
      <c r="B428" s="44">
        <v>30</v>
      </c>
      <c r="C428" s="35">
        <v>141.29300000000001</v>
      </c>
      <c r="D428" s="35">
        <v>267.99299999999999</v>
      </c>
      <c r="E428" s="41">
        <v>829.71400000000006</v>
      </c>
      <c r="F428" s="35">
        <v>1239</v>
      </c>
      <c r="G428" s="35">
        <v>100</v>
      </c>
      <c r="H428" s="43">
        <v>600</v>
      </c>
      <c r="I428" s="35">
        <v>695</v>
      </c>
      <c r="J428" s="35">
        <v>50</v>
      </c>
      <c r="K428" s="36"/>
      <c r="L428" s="36"/>
      <c r="M428" s="36"/>
      <c r="N428" s="36"/>
      <c r="O428" s="36"/>
      <c r="P428" s="36"/>
      <c r="Q428" s="36"/>
      <c r="R428" s="36"/>
      <c r="S428" s="36"/>
      <c r="T428" s="36"/>
    </row>
    <row r="429" spans="1:20" ht="15.75">
      <c r="A429" s="13">
        <v>54574</v>
      </c>
      <c r="B429" s="44">
        <v>31</v>
      </c>
      <c r="C429" s="35">
        <v>194.20500000000001</v>
      </c>
      <c r="D429" s="35">
        <v>267.46600000000001</v>
      </c>
      <c r="E429" s="41">
        <v>812.32899999999995</v>
      </c>
      <c r="F429" s="35">
        <v>1274</v>
      </c>
      <c r="G429" s="35">
        <v>75</v>
      </c>
      <c r="H429" s="43">
        <v>600</v>
      </c>
      <c r="I429" s="35">
        <v>695</v>
      </c>
      <c r="J429" s="35">
        <v>50</v>
      </c>
      <c r="K429" s="36"/>
      <c r="L429" s="36"/>
      <c r="M429" s="36"/>
      <c r="N429" s="36"/>
      <c r="O429" s="36"/>
      <c r="P429" s="36"/>
      <c r="Q429" s="36"/>
      <c r="R429" s="36"/>
      <c r="S429" s="36"/>
      <c r="T429" s="36"/>
    </row>
    <row r="430" spans="1:20" ht="15.75">
      <c r="A430" s="13">
        <v>54604</v>
      </c>
      <c r="B430" s="44">
        <v>30</v>
      </c>
      <c r="C430" s="35">
        <v>194.20500000000001</v>
      </c>
      <c r="D430" s="35">
        <v>267.46600000000001</v>
      </c>
      <c r="E430" s="41">
        <v>812.32899999999995</v>
      </c>
      <c r="F430" s="35">
        <v>1274</v>
      </c>
      <c r="G430" s="35">
        <v>50</v>
      </c>
      <c r="H430" s="43">
        <v>600</v>
      </c>
      <c r="I430" s="35">
        <v>695</v>
      </c>
      <c r="J430" s="35">
        <v>50</v>
      </c>
      <c r="K430" s="36"/>
      <c r="L430" s="36"/>
      <c r="M430" s="36"/>
      <c r="N430" s="36"/>
      <c r="O430" s="36"/>
      <c r="P430" s="36"/>
      <c r="Q430" s="36"/>
      <c r="R430" s="36"/>
      <c r="S430" s="36"/>
      <c r="T430" s="36"/>
    </row>
    <row r="431" spans="1:20" ht="15.75">
      <c r="A431" s="13">
        <v>54635</v>
      </c>
      <c r="B431" s="44">
        <v>31</v>
      </c>
      <c r="C431" s="35">
        <v>194.20500000000001</v>
      </c>
      <c r="D431" s="35">
        <v>267.46600000000001</v>
      </c>
      <c r="E431" s="41">
        <v>812.32899999999995</v>
      </c>
      <c r="F431" s="35">
        <v>1274</v>
      </c>
      <c r="G431" s="35">
        <v>50</v>
      </c>
      <c r="H431" s="43">
        <v>600</v>
      </c>
      <c r="I431" s="35">
        <v>695</v>
      </c>
      <c r="J431" s="35">
        <v>0</v>
      </c>
      <c r="K431" s="36"/>
      <c r="L431" s="36"/>
      <c r="M431" s="36"/>
      <c r="N431" s="36"/>
      <c r="O431" s="36"/>
      <c r="P431" s="36"/>
      <c r="Q431" s="36"/>
      <c r="R431" s="36"/>
      <c r="S431" s="36"/>
      <c r="T431" s="36"/>
    </row>
    <row r="432" spans="1:20" ht="15.75">
      <c r="A432" s="13">
        <v>54666</v>
      </c>
      <c r="B432" s="44">
        <v>31</v>
      </c>
      <c r="C432" s="35">
        <v>194.20500000000001</v>
      </c>
      <c r="D432" s="35">
        <v>267.46600000000001</v>
      </c>
      <c r="E432" s="41">
        <v>812.32899999999995</v>
      </c>
      <c r="F432" s="35">
        <v>1274</v>
      </c>
      <c r="G432" s="35">
        <v>50</v>
      </c>
      <c r="H432" s="43">
        <v>600</v>
      </c>
      <c r="I432" s="35">
        <v>695</v>
      </c>
      <c r="J432" s="35">
        <v>0</v>
      </c>
      <c r="K432" s="36"/>
      <c r="L432" s="36"/>
      <c r="M432" s="36"/>
      <c r="N432" s="36"/>
      <c r="O432" s="36"/>
      <c r="P432" s="36"/>
      <c r="Q432" s="36"/>
      <c r="R432" s="36"/>
      <c r="S432" s="36"/>
      <c r="T432" s="36"/>
    </row>
    <row r="433" spans="1:20" ht="15.75">
      <c r="A433" s="13">
        <v>54696</v>
      </c>
      <c r="B433" s="44">
        <v>30</v>
      </c>
      <c r="C433" s="35">
        <v>194.20500000000001</v>
      </c>
      <c r="D433" s="35">
        <v>267.46600000000001</v>
      </c>
      <c r="E433" s="41">
        <v>812.32899999999995</v>
      </c>
      <c r="F433" s="35">
        <v>1274</v>
      </c>
      <c r="G433" s="35">
        <v>50</v>
      </c>
      <c r="H433" s="43">
        <v>600</v>
      </c>
      <c r="I433" s="35">
        <v>695</v>
      </c>
      <c r="J433" s="35">
        <v>0</v>
      </c>
      <c r="K433" s="36"/>
      <c r="L433" s="36"/>
      <c r="M433" s="36"/>
      <c r="N433" s="36"/>
      <c r="O433" s="36"/>
      <c r="P433" s="36"/>
      <c r="Q433" s="36"/>
      <c r="R433" s="36"/>
      <c r="S433" s="36"/>
      <c r="T433" s="36"/>
    </row>
    <row r="434" spans="1:20" ht="15.75">
      <c r="A434" s="13">
        <v>54727</v>
      </c>
      <c r="B434" s="44">
        <v>31</v>
      </c>
      <c r="C434" s="35">
        <v>131.881</v>
      </c>
      <c r="D434" s="35">
        <v>277.16699999999997</v>
      </c>
      <c r="E434" s="41">
        <v>829.952</v>
      </c>
      <c r="F434" s="35">
        <v>1239</v>
      </c>
      <c r="G434" s="35">
        <v>75</v>
      </c>
      <c r="H434" s="43">
        <v>600</v>
      </c>
      <c r="I434" s="35">
        <v>695</v>
      </c>
      <c r="J434" s="35">
        <v>0</v>
      </c>
      <c r="K434" s="36"/>
      <c r="L434" s="36"/>
      <c r="M434" s="36"/>
      <c r="N434" s="36"/>
      <c r="O434" s="36"/>
      <c r="P434" s="36"/>
      <c r="Q434" s="36"/>
      <c r="R434" s="36"/>
      <c r="S434" s="36"/>
      <c r="T434" s="36"/>
    </row>
    <row r="435" spans="1:20" ht="15.75">
      <c r="A435" s="13">
        <v>54757</v>
      </c>
      <c r="B435" s="44">
        <v>30</v>
      </c>
      <c r="C435" s="35">
        <v>122.58</v>
      </c>
      <c r="D435" s="35">
        <v>297.94099999999997</v>
      </c>
      <c r="E435" s="41">
        <v>729.47900000000004</v>
      </c>
      <c r="F435" s="35">
        <v>1150</v>
      </c>
      <c r="G435" s="35">
        <v>100</v>
      </c>
      <c r="H435" s="43">
        <v>600</v>
      </c>
      <c r="I435" s="35">
        <v>695</v>
      </c>
      <c r="J435" s="35">
        <v>50</v>
      </c>
      <c r="K435" s="36"/>
      <c r="L435" s="36"/>
      <c r="M435" s="36"/>
      <c r="N435" s="36"/>
      <c r="O435" s="36"/>
      <c r="P435" s="36"/>
      <c r="Q435" s="36"/>
      <c r="R435" s="36"/>
      <c r="S435" s="36"/>
      <c r="T435" s="36"/>
    </row>
    <row r="436" spans="1:20" ht="15.75">
      <c r="A436" s="13">
        <v>54788</v>
      </c>
      <c r="B436" s="44">
        <v>31</v>
      </c>
      <c r="C436" s="35">
        <v>122.58</v>
      </c>
      <c r="D436" s="35">
        <v>297.94099999999997</v>
      </c>
      <c r="E436" s="41">
        <v>729.47900000000004</v>
      </c>
      <c r="F436" s="35">
        <v>1150</v>
      </c>
      <c r="G436" s="35">
        <v>100</v>
      </c>
      <c r="H436" s="43">
        <v>600</v>
      </c>
      <c r="I436" s="35">
        <v>695</v>
      </c>
      <c r="J436" s="35">
        <v>50</v>
      </c>
      <c r="K436" s="36"/>
      <c r="L436" s="36"/>
      <c r="M436" s="36"/>
      <c r="N436" s="36"/>
      <c r="O436" s="36"/>
      <c r="P436" s="36"/>
      <c r="Q436" s="36"/>
      <c r="R436" s="36"/>
      <c r="S436" s="36"/>
      <c r="T436" s="36"/>
    </row>
    <row r="437" spans="1:20" ht="15.75">
      <c r="A437" s="13">
        <v>54819</v>
      </c>
      <c r="B437" s="44">
        <v>31</v>
      </c>
      <c r="C437" s="35">
        <v>122.58</v>
      </c>
      <c r="D437" s="35">
        <v>297.94099999999997</v>
      </c>
      <c r="E437" s="41">
        <v>729.47900000000004</v>
      </c>
      <c r="F437" s="35">
        <v>1150</v>
      </c>
      <c r="G437" s="35">
        <v>100</v>
      </c>
      <c r="H437" s="43">
        <v>600</v>
      </c>
      <c r="I437" s="35">
        <v>695</v>
      </c>
      <c r="J437" s="35">
        <v>50</v>
      </c>
      <c r="K437" s="36"/>
      <c r="L437" s="36"/>
      <c r="M437" s="36"/>
      <c r="N437" s="36"/>
      <c r="O437" s="36"/>
      <c r="P437" s="36"/>
      <c r="Q437" s="36"/>
      <c r="R437" s="36"/>
      <c r="S437" s="36"/>
      <c r="T437" s="36"/>
    </row>
    <row r="438" spans="1:20" ht="15.75">
      <c r="A438" s="13">
        <v>54847</v>
      </c>
      <c r="B438" s="44">
        <v>28</v>
      </c>
      <c r="C438" s="35">
        <v>122.58</v>
      </c>
      <c r="D438" s="35">
        <v>297.94099999999997</v>
      </c>
      <c r="E438" s="41">
        <v>729.47900000000004</v>
      </c>
      <c r="F438" s="35">
        <v>1150</v>
      </c>
      <c r="G438" s="35">
        <v>100</v>
      </c>
      <c r="H438" s="43">
        <v>600</v>
      </c>
      <c r="I438" s="35">
        <v>695</v>
      </c>
      <c r="J438" s="35">
        <v>50</v>
      </c>
      <c r="K438" s="36"/>
      <c r="L438" s="36"/>
      <c r="M438" s="36"/>
      <c r="N438" s="36"/>
      <c r="O438" s="36"/>
      <c r="P438" s="36"/>
      <c r="Q438" s="36"/>
      <c r="R438" s="36"/>
      <c r="S438" s="36"/>
      <c r="T438" s="36"/>
    </row>
    <row r="439" spans="1:20" ht="15.75">
      <c r="A439" s="13">
        <v>54878</v>
      </c>
      <c r="B439" s="44">
        <v>31</v>
      </c>
      <c r="C439" s="35">
        <v>122.58</v>
      </c>
      <c r="D439" s="35">
        <v>297.94099999999997</v>
      </c>
      <c r="E439" s="41">
        <v>729.47900000000004</v>
      </c>
      <c r="F439" s="35">
        <v>1150</v>
      </c>
      <c r="G439" s="35">
        <v>100</v>
      </c>
      <c r="H439" s="43">
        <v>600</v>
      </c>
      <c r="I439" s="35">
        <v>695</v>
      </c>
      <c r="J439" s="35">
        <v>50</v>
      </c>
      <c r="K439" s="36"/>
      <c r="L439" s="36"/>
      <c r="M439" s="36"/>
      <c r="N439" s="36"/>
      <c r="O439" s="36"/>
      <c r="P439" s="36"/>
      <c r="Q439" s="36"/>
      <c r="R439" s="36"/>
      <c r="S439" s="36"/>
      <c r="T439" s="36"/>
    </row>
    <row r="440" spans="1:20" ht="15.75">
      <c r="A440" s="13">
        <v>54908</v>
      </c>
      <c r="B440" s="44">
        <v>30</v>
      </c>
      <c r="C440" s="35">
        <v>141.29300000000001</v>
      </c>
      <c r="D440" s="35">
        <v>267.99299999999999</v>
      </c>
      <c r="E440" s="41">
        <v>829.71400000000006</v>
      </c>
      <c r="F440" s="35">
        <v>1239</v>
      </c>
      <c r="G440" s="35">
        <v>100</v>
      </c>
      <c r="H440" s="43">
        <v>600</v>
      </c>
      <c r="I440" s="35">
        <v>695</v>
      </c>
      <c r="J440" s="35">
        <v>50</v>
      </c>
      <c r="K440" s="36"/>
      <c r="L440" s="36"/>
      <c r="M440" s="36"/>
      <c r="N440" s="36"/>
      <c r="O440" s="36"/>
      <c r="P440" s="36"/>
      <c r="Q440" s="36"/>
      <c r="R440" s="36"/>
      <c r="S440" s="36"/>
      <c r="T440" s="36"/>
    </row>
    <row r="441" spans="1:20" ht="15.75">
      <c r="A441" s="13">
        <v>54939</v>
      </c>
      <c r="B441" s="44">
        <v>31</v>
      </c>
      <c r="C441" s="35">
        <v>194.20500000000001</v>
      </c>
      <c r="D441" s="35">
        <v>267.46600000000001</v>
      </c>
      <c r="E441" s="41">
        <v>812.32899999999995</v>
      </c>
      <c r="F441" s="35">
        <v>1274</v>
      </c>
      <c r="G441" s="35">
        <v>75</v>
      </c>
      <c r="H441" s="43">
        <v>600</v>
      </c>
      <c r="I441" s="35">
        <v>695</v>
      </c>
      <c r="J441" s="35">
        <v>50</v>
      </c>
      <c r="K441" s="36"/>
      <c r="L441" s="36"/>
      <c r="M441" s="36"/>
      <c r="N441" s="36"/>
      <c r="O441" s="36"/>
      <c r="P441" s="36"/>
      <c r="Q441" s="36"/>
      <c r="R441" s="36"/>
      <c r="S441" s="36"/>
      <c r="T441" s="36"/>
    </row>
    <row r="442" spans="1:20" ht="15.75">
      <c r="A442" s="13">
        <v>54969</v>
      </c>
      <c r="B442" s="44">
        <v>30</v>
      </c>
      <c r="C442" s="35">
        <v>194.20500000000001</v>
      </c>
      <c r="D442" s="35">
        <v>267.46600000000001</v>
      </c>
      <c r="E442" s="41">
        <v>812.32899999999995</v>
      </c>
      <c r="F442" s="35">
        <v>1274</v>
      </c>
      <c r="G442" s="35">
        <v>50</v>
      </c>
      <c r="H442" s="43">
        <v>600</v>
      </c>
      <c r="I442" s="35">
        <v>695</v>
      </c>
      <c r="J442" s="35">
        <v>50</v>
      </c>
      <c r="K442" s="36"/>
      <c r="L442" s="36"/>
      <c r="M442" s="36"/>
      <c r="N442" s="36"/>
      <c r="O442" s="36"/>
      <c r="P442" s="36"/>
      <c r="Q442" s="36"/>
      <c r="R442" s="36"/>
      <c r="S442" s="36"/>
      <c r="T442" s="36"/>
    </row>
    <row r="443" spans="1:20" ht="15.75">
      <c r="A443" s="13">
        <v>55000</v>
      </c>
      <c r="B443" s="44">
        <v>31</v>
      </c>
      <c r="C443" s="35">
        <v>194.20500000000001</v>
      </c>
      <c r="D443" s="35">
        <v>267.46600000000001</v>
      </c>
      <c r="E443" s="41">
        <v>812.32899999999995</v>
      </c>
      <c r="F443" s="35">
        <v>1274</v>
      </c>
      <c r="G443" s="35">
        <v>50</v>
      </c>
      <c r="H443" s="43">
        <v>600</v>
      </c>
      <c r="I443" s="35">
        <v>695</v>
      </c>
      <c r="J443" s="35">
        <v>0</v>
      </c>
      <c r="K443" s="36"/>
      <c r="L443" s="36"/>
      <c r="M443" s="36"/>
      <c r="N443" s="36"/>
      <c r="O443" s="36"/>
      <c r="P443" s="36"/>
      <c r="Q443" s="36"/>
      <c r="R443" s="36"/>
      <c r="S443" s="36"/>
      <c r="T443" s="36"/>
    </row>
    <row r="444" spans="1:20" ht="15.75">
      <c r="A444" s="13">
        <v>55031</v>
      </c>
      <c r="B444" s="44">
        <v>31</v>
      </c>
      <c r="C444" s="35">
        <v>194.20500000000001</v>
      </c>
      <c r="D444" s="35">
        <v>267.46600000000001</v>
      </c>
      <c r="E444" s="41">
        <v>812.32899999999995</v>
      </c>
      <c r="F444" s="35">
        <v>1274</v>
      </c>
      <c r="G444" s="35">
        <v>50</v>
      </c>
      <c r="H444" s="43">
        <v>600</v>
      </c>
      <c r="I444" s="35">
        <v>695</v>
      </c>
      <c r="J444" s="35">
        <v>0</v>
      </c>
      <c r="K444" s="36"/>
      <c r="L444" s="36"/>
      <c r="M444" s="36"/>
      <c r="N444" s="36"/>
      <c r="O444" s="36"/>
      <c r="P444" s="36"/>
      <c r="Q444" s="36"/>
      <c r="R444" s="36"/>
      <c r="S444" s="36"/>
      <c r="T444" s="36"/>
    </row>
    <row r="445" spans="1:20" ht="15.75">
      <c r="A445" s="13">
        <v>55061</v>
      </c>
      <c r="B445" s="44">
        <v>30</v>
      </c>
      <c r="C445" s="35">
        <v>194.20500000000001</v>
      </c>
      <c r="D445" s="35">
        <v>267.46600000000001</v>
      </c>
      <c r="E445" s="41">
        <v>812.32899999999995</v>
      </c>
      <c r="F445" s="35">
        <v>1274</v>
      </c>
      <c r="G445" s="35">
        <v>50</v>
      </c>
      <c r="H445" s="43">
        <v>600</v>
      </c>
      <c r="I445" s="35">
        <v>695</v>
      </c>
      <c r="J445" s="35">
        <v>0</v>
      </c>
      <c r="K445" s="36"/>
      <c r="L445" s="36"/>
      <c r="M445" s="36"/>
      <c r="N445" s="36"/>
      <c r="O445" s="36"/>
      <c r="P445" s="36"/>
      <c r="Q445" s="36"/>
      <c r="R445" s="36"/>
      <c r="S445" s="36"/>
      <c r="T445" s="36"/>
    </row>
    <row r="446" spans="1:20" ht="15.75">
      <c r="A446" s="13">
        <v>55092</v>
      </c>
      <c r="B446" s="44">
        <v>31</v>
      </c>
      <c r="C446" s="35">
        <v>131.881</v>
      </c>
      <c r="D446" s="35">
        <v>277.16699999999997</v>
      </c>
      <c r="E446" s="41">
        <v>829.952</v>
      </c>
      <c r="F446" s="35">
        <v>1239</v>
      </c>
      <c r="G446" s="35">
        <v>75</v>
      </c>
      <c r="H446" s="43">
        <v>600</v>
      </c>
      <c r="I446" s="35">
        <v>695</v>
      </c>
      <c r="J446" s="35">
        <v>0</v>
      </c>
      <c r="K446" s="36"/>
      <c r="L446" s="36"/>
      <c r="M446" s="36"/>
      <c r="N446" s="36"/>
      <c r="O446" s="36"/>
      <c r="P446" s="36"/>
      <c r="Q446" s="36"/>
      <c r="R446" s="36"/>
      <c r="S446" s="36"/>
      <c r="T446" s="36"/>
    </row>
    <row r="447" spans="1:20" ht="15.75">
      <c r="A447" s="13">
        <v>55122</v>
      </c>
      <c r="B447" s="44">
        <v>30</v>
      </c>
      <c r="C447" s="35">
        <v>122.58</v>
      </c>
      <c r="D447" s="35">
        <v>297.94099999999997</v>
      </c>
      <c r="E447" s="41">
        <v>729.47900000000004</v>
      </c>
      <c r="F447" s="35">
        <v>1150</v>
      </c>
      <c r="G447" s="35">
        <v>100</v>
      </c>
      <c r="H447" s="43">
        <v>600</v>
      </c>
      <c r="I447" s="35">
        <v>695</v>
      </c>
      <c r="J447" s="35">
        <v>50</v>
      </c>
      <c r="K447" s="36"/>
      <c r="L447" s="36"/>
      <c r="M447" s="36"/>
      <c r="N447" s="36"/>
      <c r="O447" s="36"/>
      <c r="P447" s="36"/>
      <c r="Q447" s="36"/>
      <c r="R447" s="36"/>
      <c r="S447" s="36"/>
      <c r="T447" s="36"/>
    </row>
    <row r="448" spans="1:20" ht="15.75">
      <c r="A448" s="13">
        <v>55153</v>
      </c>
      <c r="B448" s="44">
        <v>31</v>
      </c>
      <c r="C448" s="35">
        <v>122.58</v>
      </c>
      <c r="D448" s="35">
        <v>297.94099999999997</v>
      </c>
      <c r="E448" s="41">
        <v>729.47900000000004</v>
      </c>
      <c r="F448" s="35">
        <v>1150</v>
      </c>
      <c r="G448" s="35">
        <v>100</v>
      </c>
      <c r="H448" s="43">
        <v>600</v>
      </c>
      <c r="I448" s="35">
        <v>695</v>
      </c>
      <c r="J448" s="35">
        <v>50</v>
      </c>
      <c r="K448" s="36"/>
      <c r="L448" s="36"/>
      <c r="M448" s="36"/>
      <c r="N448" s="36"/>
      <c r="O448" s="36"/>
      <c r="P448" s="36"/>
      <c r="Q448" s="36"/>
      <c r="R448" s="36"/>
      <c r="S448" s="36"/>
      <c r="T448" s="36"/>
    </row>
    <row r="449" spans="1:20" ht="15.75">
      <c r="A449" s="13">
        <v>55184</v>
      </c>
      <c r="B449" s="44">
        <v>31</v>
      </c>
      <c r="C449" s="35">
        <v>122.58</v>
      </c>
      <c r="D449" s="35">
        <v>297.94099999999997</v>
      </c>
      <c r="E449" s="41">
        <v>729.47900000000004</v>
      </c>
      <c r="F449" s="35">
        <v>1150</v>
      </c>
      <c r="G449" s="35">
        <v>100</v>
      </c>
      <c r="H449" s="43">
        <v>600</v>
      </c>
      <c r="I449" s="35">
        <v>695</v>
      </c>
      <c r="J449" s="35">
        <v>50</v>
      </c>
      <c r="K449" s="36"/>
      <c r="L449" s="36"/>
      <c r="M449" s="36"/>
      <c r="N449" s="36"/>
      <c r="O449" s="36"/>
      <c r="P449" s="36"/>
      <c r="Q449" s="36"/>
      <c r="R449" s="36"/>
      <c r="S449" s="36"/>
      <c r="T449" s="36"/>
    </row>
    <row r="450" spans="1:20" ht="15.75">
      <c r="A450" s="13">
        <v>55212</v>
      </c>
      <c r="B450" s="44">
        <v>28</v>
      </c>
      <c r="C450" s="35">
        <v>122.58</v>
      </c>
      <c r="D450" s="35">
        <v>297.94099999999997</v>
      </c>
      <c r="E450" s="41">
        <v>729.47900000000004</v>
      </c>
      <c r="F450" s="35">
        <v>1150</v>
      </c>
      <c r="G450" s="35">
        <v>100</v>
      </c>
      <c r="H450" s="43">
        <v>600</v>
      </c>
      <c r="I450" s="35">
        <v>695</v>
      </c>
      <c r="J450" s="35">
        <v>50</v>
      </c>
      <c r="K450" s="36"/>
      <c r="L450" s="36"/>
      <c r="M450" s="36"/>
      <c r="N450" s="36"/>
      <c r="O450" s="36"/>
      <c r="P450" s="36"/>
      <c r="Q450" s="36"/>
      <c r="R450" s="36"/>
      <c r="S450" s="36"/>
      <c r="T450" s="36"/>
    </row>
    <row r="451" spans="1:20" ht="15.75">
      <c r="A451" s="13">
        <v>55243</v>
      </c>
      <c r="B451" s="44">
        <v>31</v>
      </c>
      <c r="C451" s="35">
        <v>122.58</v>
      </c>
      <c r="D451" s="35">
        <v>297.94099999999997</v>
      </c>
      <c r="E451" s="41">
        <v>729.47900000000004</v>
      </c>
      <c r="F451" s="35">
        <v>1150</v>
      </c>
      <c r="G451" s="35">
        <v>100</v>
      </c>
      <c r="H451" s="43">
        <v>600</v>
      </c>
      <c r="I451" s="35">
        <v>695</v>
      </c>
      <c r="J451" s="35">
        <v>50</v>
      </c>
      <c r="K451" s="36"/>
      <c r="L451" s="36"/>
      <c r="M451" s="36"/>
      <c r="N451" s="36"/>
      <c r="O451" s="36"/>
      <c r="P451" s="36"/>
      <c r="Q451" s="36"/>
      <c r="R451" s="36"/>
      <c r="S451" s="36"/>
      <c r="T451" s="36"/>
    </row>
    <row r="452" spans="1:20" ht="15.75">
      <c r="A452" s="13">
        <v>55273</v>
      </c>
      <c r="B452" s="44">
        <v>30</v>
      </c>
      <c r="C452" s="35">
        <v>141.29300000000001</v>
      </c>
      <c r="D452" s="35">
        <v>267.99299999999999</v>
      </c>
      <c r="E452" s="41">
        <v>829.71400000000006</v>
      </c>
      <c r="F452" s="35">
        <v>1239</v>
      </c>
      <c r="G452" s="35">
        <v>100</v>
      </c>
      <c r="H452" s="43">
        <v>600</v>
      </c>
      <c r="I452" s="35">
        <v>695</v>
      </c>
      <c r="J452" s="35">
        <v>50</v>
      </c>
      <c r="K452" s="36"/>
      <c r="L452" s="36"/>
      <c r="M452" s="36"/>
      <c r="N452" s="36"/>
      <c r="O452" s="36"/>
      <c r="P452" s="36"/>
      <c r="Q452" s="36"/>
      <c r="R452" s="36"/>
      <c r="S452" s="36"/>
      <c r="T452" s="36"/>
    </row>
    <row r="453" spans="1:20" ht="15.75">
      <c r="A453" s="13">
        <v>55304</v>
      </c>
      <c r="B453" s="44">
        <v>31</v>
      </c>
      <c r="C453" s="35">
        <v>194.20500000000001</v>
      </c>
      <c r="D453" s="35">
        <v>267.46600000000001</v>
      </c>
      <c r="E453" s="41">
        <v>812.32899999999995</v>
      </c>
      <c r="F453" s="35">
        <v>1274</v>
      </c>
      <c r="G453" s="35">
        <v>75</v>
      </c>
      <c r="H453" s="43">
        <v>600</v>
      </c>
      <c r="I453" s="35">
        <v>695</v>
      </c>
      <c r="J453" s="35">
        <v>50</v>
      </c>
      <c r="K453" s="36"/>
      <c r="L453" s="36"/>
      <c r="M453" s="36"/>
      <c r="N453" s="36"/>
      <c r="O453" s="36"/>
      <c r="P453" s="36"/>
      <c r="Q453" s="36"/>
      <c r="R453" s="36"/>
      <c r="S453" s="36"/>
      <c r="T453" s="36"/>
    </row>
    <row r="454" spans="1:20" ht="15.75">
      <c r="A454" s="13">
        <v>55334</v>
      </c>
      <c r="B454" s="44">
        <v>30</v>
      </c>
      <c r="C454" s="35">
        <v>194.20500000000001</v>
      </c>
      <c r="D454" s="35">
        <v>267.46600000000001</v>
      </c>
      <c r="E454" s="41">
        <v>812.32899999999995</v>
      </c>
      <c r="F454" s="35">
        <v>1274</v>
      </c>
      <c r="G454" s="35">
        <v>50</v>
      </c>
      <c r="H454" s="43">
        <v>600</v>
      </c>
      <c r="I454" s="35">
        <v>695</v>
      </c>
      <c r="J454" s="35">
        <v>50</v>
      </c>
      <c r="K454" s="36"/>
      <c r="L454" s="36"/>
      <c r="M454" s="36"/>
      <c r="N454" s="36"/>
      <c r="O454" s="36"/>
      <c r="P454" s="36"/>
      <c r="Q454" s="36"/>
      <c r="R454" s="36"/>
      <c r="S454" s="36"/>
      <c r="T454" s="36"/>
    </row>
    <row r="455" spans="1:20" ht="15.75">
      <c r="A455" s="13">
        <v>55365</v>
      </c>
      <c r="B455" s="44">
        <v>31</v>
      </c>
      <c r="C455" s="35">
        <v>194.20500000000001</v>
      </c>
      <c r="D455" s="35">
        <v>267.46600000000001</v>
      </c>
      <c r="E455" s="41">
        <v>812.32899999999995</v>
      </c>
      <c r="F455" s="35">
        <v>1274</v>
      </c>
      <c r="G455" s="35">
        <v>50</v>
      </c>
      <c r="H455" s="43">
        <v>600</v>
      </c>
      <c r="I455" s="35">
        <v>695</v>
      </c>
      <c r="J455" s="35">
        <v>0</v>
      </c>
      <c r="K455" s="36"/>
      <c r="L455" s="36"/>
      <c r="M455" s="36"/>
      <c r="N455" s="36"/>
      <c r="O455" s="36"/>
      <c r="P455" s="36"/>
      <c r="Q455" s="36"/>
      <c r="R455" s="36"/>
      <c r="S455" s="36"/>
      <c r="T455" s="36"/>
    </row>
    <row r="456" spans="1:20" ht="15.75">
      <c r="A456" s="13">
        <v>55396</v>
      </c>
      <c r="B456" s="44">
        <v>31</v>
      </c>
      <c r="C456" s="35">
        <v>194.20500000000001</v>
      </c>
      <c r="D456" s="35">
        <v>267.46600000000001</v>
      </c>
      <c r="E456" s="41">
        <v>812.32899999999995</v>
      </c>
      <c r="F456" s="35">
        <v>1274</v>
      </c>
      <c r="G456" s="35">
        <v>50</v>
      </c>
      <c r="H456" s="43">
        <v>600</v>
      </c>
      <c r="I456" s="35">
        <v>695</v>
      </c>
      <c r="J456" s="35">
        <v>0</v>
      </c>
      <c r="K456" s="36"/>
      <c r="L456" s="36"/>
      <c r="M456" s="36"/>
      <c r="N456" s="36"/>
      <c r="O456" s="36"/>
      <c r="P456" s="36"/>
      <c r="Q456" s="36"/>
      <c r="R456" s="36"/>
      <c r="S456" s="36"/>
      <c r="T456" s="36"/>
    </row>
    <row r="457" spans="1:20" ht="15.75">
      <c r="A457" s="13">
        <v>55426</v>
      </c>
      <c r="B457" s="44">
        <v>30</v>
      </c>
      <c r="C457" s="35">
        <v>194.20500000000001</v>
      </c>
      <c r="D457" s="35">
        <v>267.46600000000001</v>
      </c>
      <c r="E457" s="41">
        <v>812.32899999999995</v>
      </c>
      <c r="F457" s="35">
        <v>1274</v>
      </c>
      <c r="G457" s="35">
        <v>50</v>
      </c>
      <c r="H457" s="43">
        <v>600</v>
      </c>
      <c r="I457" s="35">
        <v>695</v>
      </c>
      <c r="J457" s="35">
        <v>0</v>
      </c>
      <c r="K457" s="36"/>
      <c r="L457" s="36"/>
      <c r="M457" s="36"/>
      <c r="N457" s="36"/>
      <c r="O457" s="36"/>
      <c r="P457" s="36"/>
      <c r="Q457" s="36"/>
      <c r="R457" s="36"/>
      <c r="S457" s="36"/>
      <c r="T457" s="36"/>
    </row>
    <row r="458" spans="1:20" ht="15.75">
      <c r="A458" s="13">
        <v>55457</v>
      </c>
      <c r="B458" s="44">
        <v>31</v>
      </c>
      <c r="C458" s="35">
        <v>131.881</v>
      </c>
      <c r="D458" s="35">
        <v>277.16699999999997</v>
      </c>
      <c r="E458" s="41">
        <v>829.952</v>
      </c>
      <c r="F458" s="35">
        <v>1239</v>
      </c>
      <c r="G458" s="35">
        <v>75</v>
      </c>
      <c r="H458" s="43">
        <v>600</v>
      </c>
      <c r="I458" s="35">
        <v>695</v>
      </c>
      <c r="J458" s="35">
        <v>0</v>
      </c>
      <c r="K458" s="36"/>
      <c r="L458" s="36"/>
      <c r="M458" s="36"/>
      <c r="N458" s="36"/>
      <c r="O458" s="36"/>
      <c r="P458" s="36"/>
      <c r="Q458" s="36"/>
      <c r="R458" s="36"/>
      <c r="S458" s="36"/>
      <c r="T458" s="36"/>
    </row>
    <row r="459" spans="1:20" ht="15.75">
      <c r="A459" s="13">
        <v>55487</v>
      </c>
      <c r="B459" s="44">
        <v>30</v>
      </c>
      <c r="C459" s="35">
        <v>122.58</v>
      </c>
      <c r="D459" s="35">
        <v>297.94099999999997</v>
      </c>
      <c r="E459" s="41">
        <v>729.47900000000004</v>
      </c>
      <c r="F459" s="35">
        <v>1150</v>
      </c>
      <c r="G459" s="35">
        <v>100</v>
      </c>
      <c r="H459" s="43">
        <v>600</v>
      </c>
      <c r="I459" s="35">
        <v>695</v>
      </c>
      <c r="J459" s="35">
        <v>50</v>
      </c>
      <c r="K459" s="36"/>
      <c r="L459" s="36"/>
      <c r="M459" s="36"/>
      <c r="N459" s="36"/>
      <c r="O459" s="36"/>
      <c r="P459" s="36"/>
      <c r="Q459" s="36"/>
      <c r="R459" s="36"/>
      <c r="S459" s="36"/>
      <c r="T459" s="36"/>
    </row>
    <row r="460" spans="1:20" ht="15.75">
      <c r="A460" s="13">
        <v>55518</v>
      </c>
      <c r="B460" s="44">
        <v>31</v>
      </c>
      <c r="C460" s="35">
        <v>122.58</v>
      </c>
      <c r="D460" s="35">
        <v>297.94099999999997</v>
      </c>
      <c r="E460" s="41">
        <v>729.47900000000004</v>
      </c>
      <c r="F460" s="35">
        <v>1150</v>
      </c>
      <c r="G460" s="35">
        <v>100</v>
      </c>
      <c r="H460" s="43">
        <v>600</v>
      </c>
      <c r="I460" s="35">
        <v>695</v>
      </c>
      <c r="J460" s="35">
        <v>50</v>
      </c>
      <c r="K460" s="36"/>
      <c r="L460" s="36"/>
      <c r="M460" s="36"/>
      <c r="N460" s="36"/>
      <c r="O460" s="36"/>
      <c r="P460" s="36"/>
      <c r="Q460" s="36"/>
      <c r="R460" s="36"/>
      <c r="S460" s="36"/>
      <c r="T460" s="36"/>
    </row>
    <row r="461" spans="1:20" ht="15.75">
      <c r="A461" s="13">
        <v>55549</v>
      </c>
      <c r="B461" s="44">
        <v>31</v>
      </c>
      <c r="C461" s="35">
        <v>122.58</v>
      </c>
      <c r="D461" s="35">
        <v>297.94099999999997</v>
      </c>
      <c r="E461" s="41">
        <v>729.47900000000004</v>
      </c>
      <c r="F461" s="35">
        <v>1150</v>
      </c>
      <c r="G461" s="35">
        <v>100</v>
      </c>
      <c r="H461" s="43">
        <v>600</v>
      </c>
      <c r="I461" s="35">
        <v>695</v>
      </c>
      <c r="J461" s="35">
        <v>50</v>
      </c>
      <c r="K461" s="36"/>
      <c r="L461" s="36"/>
      <c r="M461" s="36"/>
      <c r="N461" s="36"/>
      <c r="O461" s="36"/>
      <c r="P461" s="36"/>
      <c r="Q461" s="36"/>
      <c r="R461" s="36"/>
      <c r="S461" s="36"/>
      <c r="T461" s="36"/>
    </row>
    <row r="462" spans="1:20" ht="15.75">
      <c r="A462" s="13">
        <v>55577</v>
      </c>
      <c r="B462" s="44">
        <v>29</v>
      </c>
      <c r="C462" s="35">
        <v>122.58</v>
      </c>
      <c r="D462" s="35">
        <v>297.94099999999997</v>
      </c>
      <c r="E462" s="41">
        <v>729.47900000000004</v>
      </c>
      <c r="F462" s="35">
        <v>1150</v>
      </c>
      <c r="G462" s="35">
        <v>100</v>
      </c>
      <c r="H462" s="43">
        <v>600</v>
      </c>
      <c r="I462" s="35">
        <v>695</v>
      </c>
      <c r="J462" s="35">
        <v>50</v>
      </c>
      <c r="K462" s="36"/>
      <c r="L462" s="36"/>
      <c r="M462" s="36"/>
      <c r="N462" s="36"/>
      <c r="O462" s="36"/>
      <c r="P462" s="36"/>
      <c r="Q462" s="36"/>
      <c r="R462" s="36"/>
      <c r="S462" s="36"/>
      <c r="T462" s="36"/>
    </row>
    <row r="463" spans="1:20" ht="15.75">
      <c r="A463" s="13">
        <v>55609</v>
      </c>
      <c r="B463" s="44">
        <v>31</v>
      </c>
      <c r="C463" s="35">
        <v>122.58</v>
      </c>
      <c r="D463" s="35">
        <v>297.94099999999997</v>
      </c>
      <c r="E463" s="41">
        <v>729.47900000000004</v>
      </c>
      <c r="F463" s="35">
        <v>1150</v>
      </c>
      <c r="G463" s="35">
        <v>100</v>
      </c>
      <c r="H463" s="43">
        <v>600</v>
      </c>
      <c r="I463" s="35">
        <v>695</v>
      </c>
      <c r="J463" s="35">
        <v>50</v>
      </c>
      <c r="K463" s="36"/>
      <c r="L463" s="36"/>
      <c r="M463" s="36"/>
      <c r="N463" s="36"/>
      <c r="O463" s="36"/>
      <c r="P463" s="36"/>
      <c r="Q463" s="36"/>
      <c r="R463" s="36"/>
      <c r="S463" s="36"/>
      <c r="T463" s="36"/>
    </row>
    <row r="464" spans="1:20" ht="15.75">
      <c r="A464" s="13">
        <v>55639</v>
      </c>
      <c r="B464" s="44">
        <v>30</v>
      </c>
      <c r="C464" s="35">
        <v>141.29300000000001</v>
      </c>
      <c r="D464" s="35">
        <v>267.99299999999999</v>
      </c>
      <c r="E464" s="41">
        <v>829.71400000000006</v>
      </c>
      <c r="F464" s="35">
        <v>1239</v>
      </c>
      <c r="G464" s="35">
        <v>100</v>
      </c>
      <c r="H464" s="43">
        <v>600</v>
      </c>
      <c r="I464" s="35">
        <v>695</v>
      </c>
      <c r="J464" s="35">
        <v>50</v>
      </c>
      <c r="K464" s="36"/>
      <c r="L464" s="36"/>
      <c r="M464" s="36"/>
      <c r="N464" s="36"/>
      <c r="O464" s="36"/>
      <c r="P464" s="36"/>
      <c r="Q464" s="36"/>
      <c r="R464" s="36"/>
      <c r="S464" s="36"/>
      <c r="T464" s="36"/>
    </row>
    <row r="465" spans="1:20" ht="15.75">
      <c r="A465" s="13">
        <v>55670</v>
      </c>
      <c r="B465" s="44">
        <v>31</v>
      </c>
      <c r="C465" s="35">
        <v>194.20500000000001</v>
      </c>
      <c r="D465" s="35">
        <v>267.46600000000001</v>
      </c>
      <c r="E465" s="41">
        <v>812.32899999999995</v>
      </c>
      <c r="F465" s="35">
        <v>1274</v>
      </c>
      <c r="G465" s="35">
        <v>75</v>
      </c>
      <c r="H465" s="43">
        <v>600</v>
      </c>
      <c r="I465" s="35">
        <v>695</v>
      </c>
      <c r="J465" s="35">
        <v>50</v>
      </c>
      <c r="K465" s="36"/>
      <c r="L465" s="36"/>
      <c r="M465" s="36"/>
      <c r="N465" s="36"/>
      <c r="O465" s="36"/>
      <c r="P465" s="36"/>
      <c r="Q465" s="36"/>
      <c r="R465" s="36"/>
      <c r="S465" s="36"/>
      <c r="T465" s="36"/>
    </row>
    <row r="466" spans="1:20" ht="15.75">
      <c r="A466" s="13">
        <v>55700</v>
      </c>
      <c r="B466" s="44">
        <v>30</v>
      </c>
      <c r="C466" s="35">
        <v>194.20500000000001</v>
      </c>
      <c r="D466" s="35">
        <v>267.46600000000001</v>
      </c>
      <c r="E466" s="41">
        <v>812.32899999999995</v>
      </c>
      <c r="F466" s="35">
        <v>1274</v>
      </c>
      <c r="G466" s="35">
        <v>50</v>
      </c>
      <c r="H466" s="43">
        <v>600</v>
      </c>
      <c r="I466" s="35">
        <v>695</v>
      </c>
      <c r="J466" s="35">
        <v>50</v>
      </c>
      <c r="K466" s="36"/>
      <c r="L466" s="36"/>
      <c r="M466" s="36"/>
      <c r="N466" s="36"/>
      <c r="O466" s="36"/>
      <c r="P466" s="36"/>
      <c r="Q466" s="36"/>
      <c r="R466" s="36"/>
      <c r="S466" s="36"/>
      <c r="T466" s="36"/>
    </row>
    <row r="467" spans="1:20" ht="15.75">
      <c r="A467" s="13">
        <v>55731</v>
      </c>
      <c r="B467" s="44">
        <v>31</v>
      </c>
      <c r="C467" s="35">
        <v>194.20500000000001</v>
      </c>
      <c r="D467" s="35">
        <v>267.46600000000001</v>
      </c>
      <c r="E467" s="41">
        <v>812.32899999999995</v>
      </c>
      <c r="F467" s="35">
        <v>1274</v>
      </c>
      <c r="G467" s="35">
        <v>50</v>
      </c>
      <c r="H467" s="43">
        <v>600</v>
      </c>
      <c r="I467" s="35">
        <v>695</v>
      </c>
      <c r="J467" s="35">
        <v>0</v>
      </c>
      <c r="K467" s="36"/>
      <c r="L467" s="36"/>
      <c r="M467" s="36"/>
      <c r="N467" s="36"/>
      <c r="O467" s="36"/>
      <c r="P467" s="36"/>
      <c r="Q467" s="36"/>
      <c r="R467" s="36"/>
      <c r="S467" s="36"/>
      <c r="T467" s="36"/>
    </row>
    <row r="468" spans="1:20" ht="15.75">
      <c r="A468" s="13">
        <v>55762</v>
      </c>
      <c r="B468" s="44">
        <v>31</v>
      </c>
      <c r="C468" s="35">
        <v>194.20500000000001</v>
      </c>
      <c r="D468" s="35">
        <v>267.46600000000001</v>
      </c>
      <c r="E468" s="41">
        <v>812.32899999999995</v>
      </c>
      <c r="F468" s="35">
        <v>1274</v>
      </c>
      <c r="G468" s="35">
        <v>50</v>
      </c>
      <c r="H468" s="43">
        <v>600</v>
      </c>
      <c r="I468" s="35">
        <v>695</v>
      </c>
      <c r="J468" s="35">
        <v>0</v>
      </c>
      <c r="K468" s="36"/>
      <c r="L468" s="36"/>
      <c r="M468" s="36"/>
      <c r="N468" s="36"/>
      <c r="O468" s="36"/>
      <c r="P468" s="36"/>
      <c r="Q468" s="36"/>
      <c r="R468" s="36"/>
      <c r="S468" s="36"/>
      <c r="T468" s="36"/>
    </row>
    <row r="469" spans="1:20" ht="15.75">
      <c r="A469" s="13">
        <v>55792</v>
      </c>
      <c r="B469" s="44">
        <v>30</v>
      </c>
      <c r="C469" s="35">
        <v>194.20500000000001</v>
      </c>
      <c r="D469" s="35">
        <v>267.46600000000001</v>
      </c>
      <c r="E469" s="41">
        <v>812.32899999999995</v>
      </c>
      <c r="F469" s="35">
        <v>1274</v>
      </c>
      <c r="G469" s="35">
        <v>50</v>
      </c>
      <c r="H469" s="43">
        <v>600</v>
      </c>
      <c r="I469" s="35">
        <v>695</v>
      </c>
      <c r="J469" s="35">
        <v>0</v>
      </c>
      <c r="K469" s="36"/>
      <c r="L469" s="36"/>
      <c r="M469" s="36"/>
      <c r="N469" s="36"/>
      <c r="O469" s="36"/>
      <c r="P469" s="36"/>
      <c r="Q469" s="36"/>
      <c r="R469" s="36"/>
      <c r="S469" s="36"/>
      <c r="T469" s="36"/>
    </row>
    <row r="470" spans="1:20" ht="15.75">
      <c r="A470" s="13">
        <v>55823</v>
      </c>
      <c r="B470" s="44">
        <v>31</v>
      </c>
      <c r="C470" s="35">
        <v>131.881</v>
      </c>
      <c r="D470" s="35">
        <v>277.16699999999997</v>
      </c>
      <c r="E470" s="41">
        <v>829.952</v>
      </c>
      <c r="F470" s="35">
        <v>1239</v>
      </c>
      <c r="G470" s="35">
        <v>75</v>
      </c>
      <c r="H470" s="43">
        <v>600</v>
      </c>
      <c r="I470" s="35">
        <v>695</v>
      </c>
      <c r="J470" s="35">
        <v>0</v>
      </c>
      <c r="K470" s="36"/>
      <c r="L470" s="36"/>
      <c r="M470" s="36"/>
      <c r="N470" s="36"/>
      <c r="O470" s="36"/>
      <c r="P470" s="36"/>
      <c r="Q470" s="36"/>
      <c r="R470" s="36"/>
      <c r="S470" s="36"/>
      <c r="T470" s="36"/>
    </row>
    <row r="471" spans="1:20" ht="15.75">
      <c r="A471" s="13">
        <v>55853</v>
      </c>
      <c r="B471" s="44">
        <v>30</v>
      </c>
      <c r="C471" s="35">
        <v>122.58</v>
      </c>
      <c r="D471" s="35">
        <v>297.94099999999997</v>
      </c>
      <c r="E471" s="41">
        <v>729.47900000000004</v>
      </c>
      <c r="F471" s="35">
        <v>1150</v>
      </c>
      <c r="G471" s="35">
        <v>100</v>
      </c>
      <c r="H471" s="43">
        <v>600</v>
      </c>
      <c r="I471" s="35">
        <v>695</v>
      </c>
      <c r="J471" s="35">
        <v>50</v>
      </c>
      <c r="K471" s="36"/>
      <c r="L471" s="36"/>
      <c r="M471" s="36"/>
      <c r="N471" s="36"/>
      <c r="O471" s="36"/>
      <c r="P471" s="36"/>
      <c r="Q471" s="36"/>
      <c r="R471" s="36"/>
      <c r="S471" s="36"/>
      <c r="T471" s="36"/>
    </row>
    <row r="472" spans="1:20" ht="15.75">
      <c r="A472" s="13">
        <v>55884</v>
      </c>
      <c r="B472" s="44">
        <v>31</v>
      </c>
      <c r="C472" s="35">
        <v>122.58</v>
      </c>
      <c r="D472" s="35">
        <v>297.94099999999997</v>
      </c>
      <c r="E472" s="41">
        <v>729.47900000000004</v>
      </c>
      <c r="F472" s="35">
        <v>1150</v>
      </c>
      <c r="G472" s="35">
        <v>100</v>
      </c>
      <c r="H472" s="43">
        <v>600</v>
      </c>
      <c r="I472" s="35">
        <v>695</v>
      </c>
      <c r="J472" s="35">
        <v>50</v>
      </c>
      <c r="K472" s="36"/>
      <c r="L472" s="36"/>
      <c r="M472" s="36"/>
      <c r="N472" s="36"/>
      <c r="O472" s="36"/>
      <c r="P472" s="36"/>
      <c r="Q472" s="36"/>
      <c r="R472" s="36"/>
      <c r="S472" s="36"/>
      <c r="T472" s="36"/>
    </row>
    <row r="473" spans="1:20" ht="15.75">
      <c r="A473" s="13">
        <v>55915</v>
      </c>
      <c r="B473" s="44">
        <v>31</v>
      </c>
      <c r="C473" s="35">
        <v>122.58</v>
      </c>
      <c r="D473" s="35">
        <v>297.94099999999997</v>
      </c>
      <c r="E473" s="41">
        <v>729.47900000000004</v>
      </c>
      <c r="F473" s="35">
        <v>1150</v>
      </c>
      <c r="G473" s="35">
        <v>100</v>
      </c>
      <c r="H473" s="43">
        <v>600</v>
      </c>
      <c r="I473" s="35">
        <v>695</v>
      </c>
      <c r="J473" s="35">
        <v>50</v>
      </c>
      <c r="K473" s="36"/>
      <c r="L473" s="36"/>
      <c r="M473" s="36"/>
      <c r="N473" s="36"/>
      <c r="O473" s="36"/>
      <c r="P473" s="36"/>
      <c r="Q473" s="36"/>
      <c r="R473" s="36"/>
      <c r="S473" s="36"/>
      <c r="T473" s="36"/>
    </row>
    <row r="474" spans="1:20" ht="15.75">
      <c r="A474" s="13">
        <v>55943</v>
      </c>
      <c r="B474" s="44">
        <v>28</v>
      </c>
      <c r="C474" s="35">
        <v>122.58</v>
      </c>
      <c r="D474" s="35">
        <v>297.94099999999997</v>
      </c>
      <c r="E474" s="41">
        <v>729.47900000000004</v>
      </c>
      <c r="F474" s="35">
        <v>1150</v>
      </c>
      <c r="G474" s="35">
        <v>100</v>
      </c>
      <c r="H474" s="43">
        <v>600</v>
      </c>
      <c r="I474" s="35">
        <v>695</v>
      </c>
      <c r="J474" s="35">
        <v>50</v>
      </c>
      <c r="K474" s="36"/>
      <c r="L474" s="36"/>
      <c r="M474" s="36"/>
      <c r="N474" s="36"/>
      <c r="O474" s="36"/>
      <c r="P474" s="36"/>
      <c r="Q474" s="36"/>
      <c r="R474" s="36"/>
      <c r="S474" s="36"/>
      <c r="T474" s="36"/>
    </row>
    <row r="475" spans="1:20" ht="15.75">
      <c r="A475" s="13">
        <v>55974</v>
      </c>
      <c r="B475" s="44">
        <v>31</v>
      </c>
      <c r="C475" s="35">
        <v>122.58</v>
      </c>
      <c r="D475" s="35">
        <v>297.94099999999997</v>
      </c>
      <c r="E475" s="41">
        <v>729.47900000000004</v>
      </c>
      <c r="F475" s="35">
        <v>1150</v>
      </c>
      <c r="G475" s="35">
        <v>100</v>
      </c>
      <c r="H475" s="43">
        <v>600</v>
      </c>
      <c r="I475" s="35">
        <v>695</v>
      </c>
      <c r="J475" s="35">
        <v>50</v>
      </c>
      <c r="K475" s="36"/>
      <c r="L475" s="36"/>
      <c r="M475" s="36"/>
      <c r="N475" s="36"/>
      <c r="O475" s="36"/>
      <c r="P475" s="36"/>
      <c r="Q475" s="36"/>
      <c r="R475" s="36"/>
      <c r="S475" s="36"/>
      <c r="T475" s="36"/>
    </row>
    <row r="476" spans="1:20" ht="15.75">
      <c r="A476" s="13">
        <v>56004</v>
      </c>
      <c r="B476" s="44">
        <v>30</v>
      </c>
      <c r="C476" s="35">
        <v>141.29300000000001</v>
      </c>
      <c r="D476" s="35">
        <v>267.99299999999999</v>
      </c>
      <c r="E476" s="41">
        <v>829.71400000000006</v>
      </c>
      <c r="F476" s="35">
        <v>1239</v>
      </c>
      <c r="G476" s="35">
        <v>100</v>
      </c>
      <c r="H476" s="43">
        <v>600</v>
      </c>
      <c r="I476" s="35">
        <v>695</v>
      </c>
      <c r="J476" s="35">
        <v>50</v>
      </c>
      <c r="K476" s="36"/>
      <c r="L476" s="36"/>
      <c r="M476" s="36"/>
      <c r="N476" s="36"/>
      <c r="O476" s="36"/>
      <c r="P476" s="36"/>
      <c r="Q476" s="36"/>
      <c r="R476" s="36"/>
      <c r="S476" s="36"/>
      <c r="T476" s="36"/>
    </row>
    <row r="477" spans="1:20" ht="15.75">
      <c r="A477" s="13">
        <v>56035</v>
      </c>
      <c r="B477" s="44">
        <v>31</v>
      </c>
      <c r="C477" s="35">
        <v>194.20500000000001</v>
      </c>
      <c r="D477" s="35">
        <v>267.46600000000001</v>
      </c>
      <c r="E477" s="41">
        <v>812.32899999999995</v>
      </c>
      <c r="F477" s="35">
        <v>1274</v>
      </c>
      <c r="G477" s="35">
        <v>75</v>
      </c>
      <c r="H477" s="43">
        <v>600</v>
      </c>
      <c r="I477" s="35">
        <v>695</v>
      </c>
      <c r="J477" s="35">
        <v>50</v>
      </c>
      <c r="K477" s="36"/>
      <c r="L477" s="36"/>
      <c r="M477" s="36"/>
      <c r="N477" s="36"/>
      <c r="O477" s="36"/>
      <c r="P477" s="36"/>
      <c r="Q477" s="36"/>
      <c r="R477" s="36"/>
      <c r="S477" s="36"/>
      <c r="T477" s="36"/>
    </row>
    <row r="478" spans="1:20" ht="15.75">
      <c r="A478" s="13">
        <v>56065</v>
      </c>
      <c r="B478" s="44">
        <v>30</v>
      </c>
      <c r="C478" s="35">
        <v>194.20500000000001</v>
      </c>
      <c r="D478" s="35">
        <v>267.46600000000001</v>
      </c>
      <c r="E478" s="41">
        <v>812.32899999999995</v>
      </c>
      <c r="F478" s="35">
        <v>1274</v>
      </c>
      <c r="G478" s="35">
        <v>50</v>
      </c>
      <c r="H478" s="43">
        <v>600</v>
      </c>
      <c r="I478" s="35">
        <v>695</v>
      </c>
      <c r="J478" s="35">
        <v>50</v>
      </c>
      <c r="K478" s="36"/>
      <c r="L478" s="36"/>
      <c r="M478" s="36"/>
      <c r="N478" s="36"/>
      <c r="O478" s="36"/>
      <c r="P478" s="36"/>
      <c r="Q478" s="36"/>
      <c r="R478" s="36"/>
      <c r="S478" s="36"/>
      <c r="T478" s="36"/>
    </row>
    <row r="479" spans="1:20" ht="15.75">
      <c r="A479" s="13">
        <v>56096</v>
      </c>
      <c r="B479" s="44">
        <v>31</v>
      </c>
      <c r="C479" s="35">
        <v>194.20500000000001</v>
      </c>
      <c r="D479" s="35">
        <v>267.46600000000001</v>
      </c>
      <c r="E479" s="41">
        <v>812.32899999999995</v>
      </c>
      <c r="F479" s="35">
        <v>1274</v>
      </c>
      <c r="G479" s="35">
        <v>50</v>
      </c>
      <c r="H479" s="43">
        <v>600</v>
      </c>
      <c r="I479" s="35">
        <v>695</v>
      </c>
      <c r="J479" s="35">
        <v>0</v>
      </c>
      <c r="K479" s="36"/>
      <c r="L479" s="36"/>
      <c r="M479" s="36"/>
      <c r="N479" s="36"/>
      <c r="O479" s="36"/>
      <c r="P479" s="36"/>
      <c r="Q479" s="36"/>
      <c r="R479" s="36"/>
      <c r="S479" s="36"/>
      <c r="T479" s="36"/>
    </row>
    <row r="480" spans="1:20" ht="15.75">
      <c r="A480" s="13">
        <v>56127</v>
      </c>
      <c r="B480" s="44">
        <v>31</v>
      </c>
      <c r="C480" s="35">
        <v>194.20500000000001</v>
      </c>
      <c r="D480" s="35">
        <v>267.46600000000001</v>
      </c>
      <c r="E480" s="41">
        <v>812.32899999999995</v>
      </c>
      <c r="F480" s="35">
        <v>1274</v>
      </c>
      <c r="G480" s="35">
        <v>50</v>
      </c>
      <c r="H480" s="43">
        <v>600</v>
      </c>
      <c r="I480" s="35">
        <v>695</v>
      </c>
      <c r="J480" s="35">
        <v>0</v>
      </c>
      <c r="K480" s="36"/>
      <c r="L480" s="36"/>
      <c r="M480" s="36"/>
      <c r="N480" s="36"/>
      <c r="O480" s="36"/>
      <c r="P480" s="36"/>
      <c r="Q480" s="36"/>
      <c r="R480" s="36"/>
      <c r="S480" s="36"/>
      <c r="T480" s="36"/>
    </row>
    <row r="481" spans="1:20" ht="15.75">
      <c r="A481" s="13">
        <v>56157</v>
      </c>
      <c r="B481" s="44">
        <v>30</v>
      </c>
      <c r="C481" s="35">
        <v>194.20500000000001</v>
      </c>
      <c r="D481" s="35">
        <v>267.46600000000001</v>
      </c>
      <c r="E481" s="41">
        <v>812.32899999999995</v>
      </c>
      <c r="F481" s="35">
        <v>1274</v>
      </c>
      <c r="G481" s="35">
        <v>50</v>
      </c>
      <c r="H481" s="43">
        <v>600</v>
      </c>
      <c r="I481" s="35">
        <v>695</v>
      </c>
      <c r="J481" s="35">
        <v>0</v>
      </c>
      <c r="K481" s="36"/>
      <c r="L481" s="36"/>
      <c r="M481" s="36"/>
      <c r="N481" s="36"/>
      <c r="O481" s="36"/>
      <c r="P481" s="36"/>
      <c r="Q481" s="36"/>
      <c r="R481" s="36"/>
      <c r="S481" s="36"/>
      <c r="T481" s="36"/>
    </row>
    <row r="482" spans="1:20" ht="15.75">
      <c r="A482" s="13">
        <v>56188</v>
      </c>
      <c r="B482" s="44">
        <v>31</v>
      </c>
      <c r="C482" s="35">
        <v>131.881</v>
      </c>
      <c r="D482" s="35">
        <v>277.16699999999997</v>
      </c>
      <c r="E482" s="41">
        <v>829.952</v>
      </c>
      <c r="F482" s="35">
        <v>1239</v>
      </c>
      <c r="G482" s="35">
        <v>75</v>
      </c>
      <c r="H482" s="43">
        <v>600</v>
      </c>
      <c r="I482" s="35">
        <v>695</v>
      </c>
      <c r="J482" s="35">
        <v>0</v>
      </c>
      <c r="K482" s="36"/>
      <c r="L482" s="36"/>
      <c r="M482" s="36"/>
      <c r="N482" s="36"/>
      <c r="O482" s="36"/>
      <c r="P482" s="36"/>
      <c r="Q482" s="36"/>
      <c r="R482" s="36"/>
      <c r="S482" s="36"/>
      <c r="T482" s="36"/>
    </row>
    <row r="483" spans="1:20" ht="15.75">
      <c r="A483" s="13">
        <v>56218</v>
      </c>
      <c r="B483" s="44">
        <v>30</v>
      </c>
      <c r="C483" s="35">
        <v>122.58</v>
      </c>
      <c r="D483" s="35">
        <v>297.94099999999997</v>
      </c>
      <c r="E483" s="41">
        <v>729.47900000000004</v>
      </c>
      <c r="F483" s="35">
        <v>1150</v>
      </c>
      <c r="G483" s="35">
        <v>100</v>
      </c>
      <c r="H483" s="43">
        <v>600</v>
      </c>
      <c r="I483" s="35">
        <v>695</v>
      </c>
      <c r="J483" s="35">
        <v>50</v>
      </c>
      <c r="K483" s="36"/>
      <c r="L483" s="36"/>
      <c r="M483" s="36"/>
      <c r="N483" s="36"/>
      <c r="O483" s="36"/>
      <c r="P483" s="36"/>
      <c r="Q483" s="36"/>
      <c r="R483" s="36"/>
      <c r="S483" s="36"/>
      <c r="T483" s="36"/>
    </row>
    <row r="484" spans="1:20" ht="15.75">
      <c r="A484" s="13">
        <v>56249</v>
      </c>
      <c r="B484" s="44">
        <v>31</v>
      </c>
      <c r="C484" s="35">
        <v>122.58</v>
      </c>
      <c r="D484" s="35">
        <v>297.94099999999997</v>
      </c>
      <c r="E484" s="41">
        <v>729.47900000000004</v>
      </c>
      <c r="F484" s="35">
        <v>1150</v>
      </c>
      <c r="G484" s="35">
        <v>100</v>
      </c>
      <c r="H484" s="43">
        <v>600</v>
      </c>
      <c r="I484" s="35">
        <v>695</v>
      </c>
      <c r="J484" s="35">
        <v>50</v>
      </c>
      <c r="K484" s="36"/>
      <c r="L484" s="36"/>
      <c r="M484" s="36"/>
      <c r="N484" s="36"/>
      <c r="O484" s="36"/>
      <c r="P484" s="36"/>
      <c r="Q484" s="36"/>
      <c r="R484" s="36"/>
      <c r="S484" s="36"/>
      <c r="T484" s="36"/>
    </row>
    <row r="485" spans="1:20" ht="15.75">
      <c r="A485" s="13">
        <v>56280</v>
      </c>
      <c r="B485" s="44">
        <v>31</v>
      </c>
      <c r="C485" s="35">
        <v>122.58</v>
      </c>
      <c r="D485" s="35">
        <v>297.94099999999997</v>
      </c>
      <c r="E485" s="41">
        <v>729.47900000000004</v>
      </c>
      <c r="F485" s="35">
        <v>1150</v>
      </c>
      <c r="G485" s="35">
        <v>100</v>
      </c>
      <c r="H485" s="43">
        <v>600</v>
      </c>
      <c r="I485" s="35">
        <v>695</v>
      </c>
      <c r="J485" s="35">
        <v>50</v>
      </c>
      <c r="K485" s="36"/>
      <c r="L485" s="36"/>
      <c r="M485" s="36"/>
      <c r="N485" s="36"/>
      <c r="O485" s="36"/>
      <c r="P485" s="36"/>
      <c r="Q485" s="36"/>
      <c r="R485" s="36"/>
      <c r="S485" s="36"/>
      <c r="T485" s="36"/>
    </row>
    <row r="486" spans="1:20" ht="15.75">
      <c r="A486" s="13">
        <v>56308</v>
      </c>
      <c r="B486" s="44">
        <v>28</v>
      </c>
      <c r="C486" s="35">
        <v>122.58</v>
      </c>
      <c r="D486" s="35">
        <v>297.94099999999997</v>
      </c>
      <c r="E486" s="41">
        <v>729.47900000000004</v>
      </c>
      <c r="F486" s="35">
        <v>1150</v>
      </c>
      <c r="G486" s="35">
        <v>100</v>
      </c>
      <c r="H486" s="43">
        <v>600</v>
      </c>
      <c r="I486" s="35">
        <v>695</v>
      </c>
      <c r="J486" s="35">
        <v>50</v>
      </c>
      <c r="K486" s="36"/>
      <c r="L486" s="36"/>
      <c r="M486" s="36"/>
      <c r="N486" s="36"/>
      <c r="O486" s="36"/>
      <c r="P486" s="36"/>
      <c r="Q486" s="36"/>
      <c r="R486" s="36"/>
      <c r="S486" s="36"/>
      <c r="T486" s="36"/>
    </row>
    <row r="487" spans="1:20" ht="15.75">
      <c r="A487" s="13">
        <v>56339</v>
      </c>
      <c r="B487" s="44">
        <v>31</v>
      </c>
      <c r="C487" s="35">
        <v>122.58</v>
      </c>
      <c r="D487" s="35">
        <v>297.94099999999997</v>
      </c>
      <c r="E487" s="41">
        <v>729.47900000000004</v>
      </c>
      <c r="F487" s="35">
        <v>1150</v>
      </c>
      <c r="G487" s="35">
        <v>100</v>
      </c>
      <c r="H487" s="43">
        <v>600</v>
      </c>
      <c r="I487" s="35">
        <v>695</v>
      </c>
      <c r="J487" s="35">
        <v>50</v>
      </c>
      <c r="K487" s="36"/>
      <c r="L487" s="36"/>
      <c r="M487" s="36"/>
      <c r="N487" s="36"/>
      <c r="O487" s="36"/>
      <c r="P487" s="36"/>
      <c r="Q487" s="36"/>
      <c r="R487" s="36"/>
      <c r="S487" s="36"/>
      <c r="T487" s="36"/>
    </row>
    <row r="488" spans="1:20" ht="15.75">
      <c r="A488" s="13">
        <v>56369</v>
      </c>
      <c r="B488" s="44">
        <v>30</v>
      </c>
      <c r="C488" s="35">
        <v>141.29300000000001</v>
      </c>
      <c r="D488" s="35">
        <v>267.99299999999999</v>
      </c>
      <c r="E488" s="41">
        <v>829.71400000000006</v>
      </c>
      <c r="F488" s="35">
        <v>1239</v>
      </c>
      <c r="G488" s="35">
        <v>100</v>
      </c>
      <c r="H488" s="43">
        <v>600</v>
      </c>
      <c r="I488" s="35">
        <v>695</v>
      </c>
      <c r="J488" s="35">
        <v>50</v>
      </c>
      <c r="K488" s="36"/>
      <c r="L488" s="36"/>
      <c r="M488" s="36"/>
      <c r="N488" s="36"/>
      <c r="O488" s="36"/>
      <c r="P488" s="36"/>
      <c r="Q488" s="36"/>
      <c r="R488" s="36"/>
      <c r="S488" s="36"/>
      <c r="T488" s="36"/>
    </row>
    <row r="489" spans="1:20" ht="15.75">
      <c r="A489" s="13">
        <v>56400</v>
      </c>
      <c r="B489" s="44">
        <v>31</v>
      </c>
      <c r="C489" s="35">
        <v>194.20500000000001</v>
      </c>
      <c r="D489" s="35">
        <v>267.46600000000001</v>
      </c>
      <c r="E489" s="41">
        <v>812.32899999999995</v>
      </c>
      <c r="F489" s="35">
        <v>1274</v>
      </c>
      <c r="G489" s="35">
        <v>75</v>
      </c>
      <c r="H489" s="43">
        <v>600</v>
      </c>
      <c r="I489" s="35">
        <v>695</v>
      </c>
      <c r="J489" s="35">
        <v>50</v>
      </c>
      <c r="K489" s="36"/>
      <c r="L489" s="36"/>
      <c r="M489" s="36"/>
      <c r="N489" s="36"/>
      <c r="O489" s="36"/>
      <c r="P489" s="36"/>
      <c r="Q489" s="36"/>
      <c r="R489" s="36"/>
      <c r="S489" s="36"/>
      <c r="T489" s="36"/>
    </row>
    <row r="490" spans="1:20" ht="15.75">
      <c r="A490" s="13">
        <v>56430</v>
      </c>
      <c r="B490" s="44">
        <v>30</v>
      </c>
      <c r="C490" s="35">
        <v>194.20500000000001</v>
      </c>
      <c r="D490" s="35">
        <v>267.46600000000001</v>
      </c>
      <c r="E490" s="41">
        <v>812.32899999999995</v>
      </c>
      <c r="F490" s="35">
        <v>1274</v>
      </c>
      <c r="G490" s="35">
        <v>50</v>
      </c>
      <c r="H490" s="43">
        <v>600</v>
      </c>
      <c r="I490" s="35">
        <v>695</v>
      </c>
      <c r="J490" s="35">
        <v>50</v>
      </c>
      <c r="K490" s="36"/>
      <c r="L490" s="36"/>
      <c r="M490" s="36"/>
      <c r="N490" s="36"/>
      <c r="O490" s="36"/>
      <c r="P490" s="36"/>
      <c r="Q490" s="36"/>
      <c r="R490" s="36"/>
      <c r="S490" s="36"/>
      <c r="T490" s="36"/>
    </row>
    <row r="491" spans="1:20" ht="15.75">
      <c r="A491" s="13">
        <v>56461</v>
      </c>
      <c r="B491" s="44">
        <v>31</v>
      </c>
      <c r="C491" s="35">
        <v>194.20500000000001</v>
      </c>
      <c r="D491" s="35">
        <v>267.46600000000001</v>
      </c>
      <c r="E491" s="41">
        <v>812.32899999999995</v>
      </c>
      <c r="F491" s="35">
        <v>1274</v>
      </c>
      <c r="G491" s="35">
        <v>50</v>
      </c>
      <c r="H491" s="43">
        <v>600</v>
      </c>
      <c r="I491" s="35">
        <v>695</v>
      </c>
      <c r="J491" s="35">
        <v>0</v>
      </c>
      <c r="K491" s="36"/>
      <c r="L491" s="36"/>
      <c r="M491" s="36"/>
      <c r="N491" s="36"/>
      <c r="O491" s="36"/>
      <c r="P491" s="36"/>
      <c r="Q491" s="36"/>
      <c r="R491" s="36"/>
      <c r="S491" s="36"/>
      <c r="T491" s="36"/>
    </row>
    <row r="492" spans="1:20" ht="15.75">
      <c r="A492" s="13">
        <v>56492</v>
      </c>
      <c r="B492" s="44">
        <v>31</v>
      </c>
      <c r="C492" s="35">
        <v>194.20500000000001</v>
      </c>
      <c r="D492" s="35">
        <v>267.46600000000001</v>
      </c>
      <c r="E492" s="41">
        <v>812.32899999999995</v>
      </c>
      <c r="F492" s="35">
        <v>1274</v>
      </c>
      <c r="G492" s="35">
        <v>50</v>
      </c>
      <c r="H492" s="43">
        <v>600</v>
      </c>
      <c r="I492" s="35">
        <v>695</v>
      </c>
      <c r="J492" s="35">
        <v>0</v>
      </c>
      <c r="K492" s="36"/>
      <c r="L492" s="36"/>
      <c r="M492" s="36"/>
      <c r="N492" s="36"/>
      <c r="O492" s="36"/>
      <c r="P492" s="36"/>
      <c r="Q492" s="36"/>
      <c r="R492" s="36"/>
      <c r="S492" s="36"/>
      <c r="T492" s="36"/>
    </row>
    <row r="493" spans="1:20" ht="15.75">
      <c r="A493" s="13">
        <v>56522</v>
      </c>
      <c r="B493" s="44">
        <v>30</v>
      </c>
      <c r="C493" s="35">
        <v>194.20500000000001</v>
      </c>
      <c r="D493" s="35">
        <v>267.46600000000001</v>
      </c>
      <c r="E493" s="41">
        <v>812.32899999999995</v>
      </c>
      <c r="F493" s="35">
        <v>1274</v>
      </c>
      <c r="G493" s="35">
        <v>50</v>
      </c>
      <c r="H493" s="43">
        <v>600</v>
      </c>
      <c r="I493" s="35">
        <v>695</v>
      </c>
      <c r="J493" s="35">
        <v>0</v>
      </c>
      <c r="K493" s="36"/>
      <c r="L493" s="36"/>
      <c r="M493" s="36"/>
      <c r="N493" s="36"/>
      <c r="O493" s="36"/>
      <c r="P493" s="36"/>
      <c r="Q493" s="36"/>
      <c r="R493" s="36"/>
      <c r="S493" s="36"/>
      <c r="T493" s="36"/>
    </row>
    <row r="494" spans="1:20" ht="15.75">
      <c r="A494" s="13">
        <v>56553</v>
      </c>
      <c r="B494" s="44">
        <v>31</v>
      </c>
      <c r="C494" s="35">
        <v>131.881</v>
      </c>
      <c r="D494" s="35">
        <v>277.16699999999997</v>
      </c>
      <c r="E494" s="41">
        <v>829.952</v>
      </c>
      <c r="F494" s="35">
        <v>1239</v>
      </c>
      <c r="G494" s="35">
        <v>75</v>
      </c>
      <c r="H494" s="43">
        <v>600</v>
      </c>
      <c r="I494" s="35">
        <v>695</v>
      </c>
      <c r="J494" s="35">
        <v>0</v>
      </c>
      <c r="K494" s="36"/>
      <c r="L494" s="36"/>
      <c r="M494" s="36"/>
      <c r="N494" s="36"/>
      <c r="O494" s="36"/>
      <c r="P494" s="36"/>
      <c r="Q494" s="36"/>
      <c r="R494" s="36"/>
      <c r="S494" s="36"/>
      <c r="T494" s="36"/>
    </row>
    <row r="495" spans="1:20" ht="15.75">
      <c r="A495" s="13">
        <v>56583</v>
      </c>
      <c r="B495" s="44">
        <v>30</v>
      </c>
      <c r="C495" s="35">
        <v>122.58</v>
      </c>
      <c r="D495" s="35">
        <v>297.94099999999997</v>
      </c>
      <c r="E495" s="41">
        <v>729.47900000000004</v>
      </c>
      <c r="F495" s="35">
        <v>1150</v>
      </c>
      <c r="G495" s="35">
        <v>100</v>
      </c>
      <c r="H495" s="43">
        <v>600</v>
      </c>
      <c r="I495" s="35">
        <v>695</v>
      </c>
      <c r="J495" s="35">
        <v>50</v>
      </c>
      <c r="K495" s="36"/>
      <c r="L495" s="36"/>
      <c r="M495" s="36"/>
      <c r="N495" s="36"/>
      <c r="O495" s="36"/>
      <c r="P495" s="36"/>
      <c r="Q495" s="36"/>
      <c r="R495" s="36"/>
      <c r="S495" s="36"/>
      <c r="T495" s="36"/>
    </row>
    <row r="496" spans="1:20" ht="15.75">
      <c r="A496" s="13">
        <v>56614</v>
      </c>
      <c r="B496" s="44">
        <v>31</v>
      </c>
      <c r="C496" s="35">
        <v>122.58</v>
      </c>
      <c r="D496" s="35">
        <v>297.94099999999997</v>
      </c>
      <c r="E496" s="41">
        <v>729.47900000000004</v>
      </c>
      <c r="F496" s="35">
        <v>1150</v>
      </c>
      <c r="G496" s="35">
        <v>100</v>
      </c>
      <c r="H496" s="43">
        <v>600</v>
      </c>
      <c r="I496" s="35">
        <v>695</v>
      </c>
      <c r="J496" s="35">
        <v>50</v>
      </c>
      <c r="K496" s="36"/>
      <c r="L496" s="36"/>
      <c r="M496" s="36"/>
      <c r="N496" s="36"/>
      <c r="O496" s="36"/>
      <c r="P496" s="36"/>
      <c r="Q496" s="36"/>
      <c r="R496" s="36"/>
      <c r="S496" s="36"/>
      <c r="T496" s="36"/>
    </row>
    <row r="497" spans="1:20" ht="15.75">
      <c r="A497" s="13">
        <v>56645</v>
      </c>
      <c r="B497" s="44">
        <v>31</v>
      </c>
      <c r="C497" s="35">
        <v>122.58</v>
      </c>
      <c r="D497" s="35">
        <v>297.94099999999997</v>
      </c>
      <c r="E497" s="41">
        <v>729.47900000000004</v>
      </c>
      <c r="F497" s="35">
        <v>1150</v>
      </c>
      <c r="G497" s="35">
        <v>100</v>
      </c>
      <c r="H497" s="43">
        <v>600</v>
      </c>
      <c r="I497" s="35">
        <v>695</v>
      </c>
      <c r="J497" s="35">
        <v>50</v>
      </c>
      <c r="K497" s="36"/>
      <c r="L497" s="36"/>
      <c r="M497" s="36"/>
      <c r="N497" s="36"/>
      <c r="O497" s="36"/>
      <c r="P497" s="36"/>
      <c r="Q497" s="36"/>
      <c r="R497" s="36"/>
      <c r="S497" s="36"/>
      <c r="T497" s="36"/>
    </row>
    <row r="498" spans="1:20" ht="15.75">
      <c r="A498" s="13">
        <v>56673</v>
      </c>
      <c r="B498" s="44">
        <v>28</v>
      </c>
      <c r="C498" s="35">
        <v>122.58</v>
      </c>
      <c r="D498" s="35">
        <v>297.94099999999997</v>
      </c>
      <c r="E498" s="41">
        <v>729.47900000000004</v>
      </c>
      <c r="F498" s="35">
        <v>1150</v>
      </c>
      <c r="G498" s="35">
        <v>100</v>
      </c>
      <c r="H498" s="43">
        <v>600</v>
      </c>
      <c r="I498" s="35">
        <v>695</v>
      </c>
      <c r="J498" s="35">
        <v>50</v>
      </c>
      <c r="K498" s="36"/>
      <c r="L498" s="36"/>
      <c r="M498" s="36"/>
      <c r="N498" s="36"/>
      <c r="O498" s="36"/>
      <c r="P498" s="36"/>
      <c r="Q498" s="36"/>
      <c r="R498" s="36"/>
      <c r="S498" s="36"/>
      <c r="T498" s="36"/>
    </row>
    <row r="499" spans="1:20" ht="15.75">
      <c r="A499" s="13">
        <v>56704</v>
      </c>
      <c r="B499" s="44">
        <v>31</v>
      </c>
      <c r="C499" s="35">
        <v>122.58</v>
      </c>
      <c r="D499" s="35">
        <v>297.94099999999997</v>
      </c>
      <c r="E499" s="41">
        <v>729.47900000000004</v>
      </c>
      <c r="F499" s="35">
        <v>1150</v>
      </c>
      <c r="G499" s="35">
        <v>100</v>
      </c>
      <c r="H499" s="43">
        <v>600</v>
      </c>
      <c r="I499" s="35">
        <v>695</v>
      </c>
      <c r="J499" s="35">
        <v>50</v>
      </c>
      <c r="K499" s="36"/>
      <c r="L499" s="36"/>
      <c r="M499" s="36"/>
      <c r="N499" s="36"/>
      <c r="O499" s="36"/>
      <c r="P499" s="36"/>
      <c r="Q499" s="36"/>
      <c r="R499" s="36"/>
      <c r="S499" s="36"/>
      <c r="T499" s="36"/>
    </row>
    <row r="500" spans="1:20" ht="15.75">
      <c r="A500" s="13">
        <v>56734</v>
      </c>
      <c r="B500" s="44">
        <v>30</v>
      </c>
      <c r="C500" s="35">
        <v>141.29300000000001</v>
      </c>
      <c r="D500" s="35">
        <v>267.99299999999999</v>
      </c>
      <c r="E500" s="41">
        <v>829.71400000000006</v>
      </c>
      <c r="F500" s="35">
        <v>1239</v>
      </c>
      <c r="G500" s="35">
        <v>100</v>
      </c>
      <c r="H500" s="43">
        <v>600</v>
      </c>
      <c r="I500" s="35">
        <v>695</v>
      </c>
      <c r="J500" s="35">
        <v>50</v>
      </c>
      <c r="K500" s="36"/>
      <c r="L500" s="36"/>
      <c r="M500" s="36"/>
      <c r="N500" s="36"/>
      <c r="O500" s="36"/>
      <c r="P500" s="36"/>
      <c r="Q500" s="36"/>
      <c r="R500" s="36"/>
      <c r="S500" s="36"/>
      <c r="T500" s="36"/>
    </row>
    <row r="501" spans="1:20" ht="15.75">
      <c r="A501" s="13">
        <v>56765</v>
      </c>
      <c r="B501" s="44">
        <v>31</v>
      </c>
      <c r="C501" s="35">
        <v>194.20500000000001</v>
      </c>
      <c r="D501" s="35">
        <v>267.46600000000001</v>
      </c>
      <c r="E501" s="41">
        <v>812.32899999999995</v>
      </c>
      <c r="F501" s="35">
        <v>1274</v>
      </c>
      <c r="G501" s="35">
        <v>75</v>
      </c>
      <c r="H501" s="43">
        <v>600</v>
      </c>
      <c r="I501" s="35">
        <v>695</v>
      </c>
      <c r="J501" s="35">
        <v>50</v>
      </c>
      <c r="K501" s="36"/>
      <c r="L501" s="36"/>
      <c r="M501" s="36"/>
      <c r="N501" s="36"/>
      <c r="O501" s="36"/>
      <c r="P501" s="36"/>
      <c r="Q501" s="36"/>
      <c r="R501" s="36"/>
      <c r="S501" s="36"/>
      <c r="T501" s="36"/>
    </row>
    <row r="502" spans="1:20" ht="15.75">
      <c r="A502" s="13">
        <v>56795</v>
      </c>
      <c r="B502" s="44">
        <v>30</v>
      </c>
      <c r="C502" s="35">
        <v>194.20500000000001</v>
      </c>
      <c r="D502" s="35">
        <v>267.46600000000001</v>
      </c>
      <c r="E502" s="41">
        <v>812.32899999999995</v>
      </c>
      <c r="F502" s="35">
        <v>1274</v>
      </c>
      <c r="G502" s="35">
        <v>50</v>
      </c>
      <c r="H502" s="43">
        <v>600</v>
      </c>
      <c r="I502" s="35">
        <v>695</v>
      </c>
      <c r="J502" s="35">
        <v>50</v>
      </c>
      <c r="K502" s="36"/>
      <c r="L502" s="36"/>
      <c r="M502" s="36"/>
      <c r="N502" s="36"/>
      <c r="O502" s="36"/>
      <c r="P502" s="36"/>
      <c r="Q502" s="36"/>
      <c r="R502" s="36"/>
      <c r="S502" s="36"/>
      <c r="T502" s="36"/>
    </row>
    <row r="503" spans="1:20" ht="15.75">
      <c r="A503" s="13">
        <v>56826</v>
      </c>
      <c r="B503" s="44">
        <v>31</v>
      </c>
      <c r="C503" s="35">
        <v>194.20500000000001</v>
      </c>
      <c r="D503" s="35">
        <v>267.46600000000001</v>
      </c>
      <c r="E503" s="41">
        <v>812.32899999999995</v>
      </c>
      <c r="F503" s="35">
        <v>1274</v>
      </c>
      <c r="G503" s="35">
        <v>50</v>
      </c>
      <c r="H503" s="43">
        <v>600</v>
      </c>
      <c r="I503" s="35">
        <v>695</v>
      </c>
      <c r="J503" s="35">
        <v>0</v>
      </c>
      <c r="K503" s="36"/>
      <c r="L503" s="36"/>
      <c r="M503" s="36"/>
      <c r="N503" s="36"/>
      <c r="O503" s="36"/>
      <c r="P503" s="36"/>
      <c r="Q503" s="36"/>
      <c r="R503" s="36"/>
      <c r="S503" s="36"/>
      <c r="T503" s="36"/>
    </row>
    <row r="504" spans="1:20" ht="15.75">
      <c r="A504" s="13">
        <v>56857</v>
      </c>
      <c r="B504" s="44">
        <v>31</v>
      </c>
      <c r="C504" s="35">
        <v>194.20500000000001</v>
      </c>
      <c r="D504" s="35">
        <v>267.46600000000001</v>
      </c>
      <c r="E504" s="41">
        <v>812.32899999999995</v>
      </c>
      <c r="F504" s="35">
        <v>1274</v>
      </c>
      <c r="G504" s="35">
        <v>50</v>
      </c>
      <c r="H504" s="43">
        <v>600</v>
      </c>
      <c r="I504" s="35">
        <v>695</v>
      </c>
      <c r="J504" s="35">
        <v>0</v>
      </c>
      <c r="K504" s="36"/>
      <c r="L504" s="36"/>
      <c r="M504" s="36"/>
      <c r="N504" s="36"/>
      <c r="O504" s="36"/>
      <c r="P504" s="36"/>
      <c r="Q504" s="36"/>
      <c r="R504" s="36"/>
      <c r="S504" s="36"/>
      <c r="T504" s="36"/>
    </row>
    <row r="505" spans="1:20" ht="15.75">
      <c r="A505" s="13">
        <v>56887</v>
      </c>
      <c r="B505" s="44">
        <v>30</v>
      </c>
      <c r="C505" s="35">
        <v>194.20500000000001</v>
      </c>
      <c r="D505" s="35">
        <v>267.46600000000001</v>
      </c>
      <c r="E505" s="41">
        <v>812.32899999999995</v>
      </c>
      <c r="F505" s="35">
        <v>1274</v>
      </c>
      <c r="G505" s="35">
        <v>50</v>
      </c>
      <c r="H505" s="43">
        <v>600</v>
      </c>
      <c r="I505" s="35">
        <v>695</v>
      </c>
      <c r="J505" s="35">
        <v>0</v>
      </c>
      <c r="K505" s="36"/>
      <c r="L505" s="36"/>
      <c r="M505" s="36"/>
      <c r="N505" s="36"/>
      <c r="O505" s="36"/>
      <c r="P505" s="36"/>
      <c r="Q505" s="36"/>
      <c r="R505" s="36"/>
      <c r="S505" s="36"/>
      <c r="T505" s="36"/>
    </row>
    <row r="506" spans="1:20" ht="15.75">
      <c r="A506" s="13">
        <v>56918</v>
      </c>
      <c r="B506" s="44">
        <v>31</v>
      </c>
      <c r="C506" s="35">
        <v>131.881</v>
      </c>
      <c r="D506" s="35">
        <v>277.16699999999997</v>
      </c>
      <c r="E506" s="41">
        <v>829.952</v>
      </c>
      <c r="F506" s="35">
        <v>1239</v>
      </c>
      <c r="G506" s="35">
        <v>75</v>
      </c>
      <c r="H506" s="43">
        <v>600</v>
      </c>
      <c r="I506" s="35">
        <v>695</v>
      </c>
      <c r="J506" s="35">
        <v>0</v>
      </c>
      <c r="K506" s="36"/>
      <c r="L506" s="36"/>
      <c r="M506" s="36"/>
      <c r="N506" s="36"/>
      <c r="O506" s="36"/>
      <c r="P506" s="36"/>
      <c r="Q506" s="36"/>
      <c r="R506" s="36"/>
      <c r="S506" s="36"/>
      <c r="T506" s="36"/>
    </row>
    <row r="507" spans="1:20" ht="15.75">
      <c r="A507" s="13">
        <v>56948</v>
      </c>
      <c r="B507" s="44">
        <v>30</v>
      </c>
      <c r="C507" s="35">
        <v>122.58</v>
      </c>
      <c r="D507" s="35">
        <v>297.94099999999997</v>
      </c>
      <c r="E507" s="41">
        <v>729.47900000000004</v>
      </c>
      <c r="F507" s="35">
        <v>1150</v>
      </c>
      <c r="G507" s="35">
        <v>100</v>
      </c>
      <c r="H507" s="43">
        <v>600</v>
      </c>
      <c r="I507" s="35">
        <v>695</v>
      </c>
      <c r="J507" s="35">
        <v>50</v>
      </c>
      <c r="K507" s="36"/>
      <c r="L507" s="36"/>
      <c r="M507" s="36"/>
      <c r="N507" s="36"/>
      <c r="O507" s="36"/>
      <c r="P507" s="36"/>
      <c r="Q507" s="36"/>
      <c r="R507" s="36"/>
      <c r="S507" s="36"/>
      <c r="T507" s="36"/>
    </row>
    <row r="508" spans="1:20" ht="15.75">
      <c r="A508" s="13">
        <v>56979</v>
      </c>
      <c r="B508" s="44">
        <v>31</v>
      </c>
      <c r="C508" s="35">
        <v>122.58</v>
      </c>
      <c r="D508" s="35">
        <v>297.94099999999997</v>
      </c>
      <c r="E508" s="41">
        <v>729.47900000000004</v>
      </c>
      <c r="F508" s="35">
        <v>1150</v>
      </c>
      <c r="G508" s="35">
        <v>100</v>
      </c>
      <c r="H508" s="43">
        <v>600</v>
      </c>
      <c r="I508" s="35">
        <v>695</v>
      </c>
      <c r="J508" s="35">
        <v>50</v>
      </c>
      <c r="K508" s="36"/>
      <c r="L508" s="36"/>
      <c r="M508" s="36"/>
      <c r="N508" s="36"/>
      <c r="O508" s="36"/>
      <c r="P508" s="36"/>
      <c r="Q508" s="36"/>
      <c r="R508" s="36"/>
      <c r="S508" s="36"/>
      <c r="T508" s="36"/>
    </row>
    <row r="509" spans="1:20" ht="15.75">
      <c r="A509" s="13">
        <v>57010</v>
      </c>
      <c r="B509" s="44">
        <v>31</v>
      </c>
      <c r="C509" s="35">
        <v>122.58</v>
      </c>
      <c r="D509" s="35">
        <v>297.94099999999997</v>
      </c>
      <c r="E509" s="41">
        <v>729.47900000000004</v>
      </c>
      <c r="F509" s="35">
        <v>1150</v>
      </c>
      <c r="G509" s="35">
        <v>100</v>
      </c>
      <c r="H509" s="43">
        <v>600</v>
      </c>
      <c r="I509" s="35">
        <v>695</v>
      </c>
      <c r="J509" s="35">
        <v>50</v>
      </c>
      <c r="K509" s="36"/>
      <c r="L509" s="36"/>
      <c r="M509" s="36"/>
      <c r="N509" s="36"/>
      <c r="O509" s="36"/>
      <c r="P509" s="36"/>
      <c r="Q509" s="36"/>
      <c r="R509" s="36"/>
      <c r="S509" s="36"/>
      <c r="T509" s="36"/>
    </row>
    <row r="510" spans="1:20" ht="15.75">
      <c r="A510" s="13">
        <v>57038</v>
      </c>
      <c r="B510" s="44">
        <v>29</v>
      </c>
      <c r="C510" s="35">
        <v>122.58</v>
      </c>
      <c r="D510" s="35">
        <v>297.94099999999997</v>
      </c>
      <c r="E510" s="41">
        <v>729.47900000000004</v>
      </c>
      <c r="F510" s="35">
        <v>1150</v>
      </c>
      <c r="G510" s="35">
        <v>100</v>
      </c>
      <c r="H510" s="43">
        <v>600</v>
      </c>
      <c r="I510" s="35">
        <v>695</v>
      </c>
      <c r="J510" s="35">
        <v>50</v>
      </c>
      <c r="K510" s="36"/>
      <c r="L510" s="36"/>
      <c r="M510" s="36"/>
      <c r="N510" s="36"/>
      <c r="O510" s="36"/>
      <c r="P510" s="36"/>
      <c r="Q510" s="36"/>
      <c r="R510" s="36"/>
      <c r="S510" s="36"/>
      <c r="T510" s="36"/>
    </row>
    <row r="511" spans="1:20" ht="15.75">
      <c r="A511" s="13">
        <v>57070</v>
      </c>
      <c r="B511" s="44">
        <v>31</v>
      </c>
      <c r="C511" s="35">
        <v>122.58</v>
      </c>
      <c r="D511" s="35">
        <v>297.94099999999997</v>
      </c>
      <c r="E511" s="41">
        <v>729.47900000000004</v>
      </c>
      <c r="F511" s="35">
        <v>1150</v>
      </c>
      <c r="G511" s="35">
        <v>100</v>
      </c>
      <c r="H511" s="43">
        <v>600</v>
      </c>
      <c r="I511" s="35">
        <v>695</v>
      </c>
      <c r="J511" s="35">
        <v>50</v>
      </c>
      <c r="K511" s="36"/>
      <c r="L511" s="36"/>
      <c r="M511" s="36"/>
      <c r="N511" s="36"/>
      <c r="O511" s="36"/>
      <c r="P511" s="36"/>
      <c r="Q511" s="36"/>
      <c r="R511" s="36"/>
      <c r="S511" s="36"/>
      <c r="T511" s="36"/>
    </row>
    <row r="512" spans="1:20" ht="15.75">
      <c r="A512" s="13">
        <v>57100</v>
      </c>
      <c r="B512" s="44">
        <v>30</v>
      </c>
      <c r="C512" s="35">
        <v>141.29300000000001</v>
      </c>
      <c r="D512" s="35">
        <v>267.99299999999999</v>
      </c>
      <c r="E512" s="41">
        <v>829.71400000000006</v>
      </c>
      <c r="F512" s="35">
        <v>1239</v>
      </c>
      <c r="G512" s="35">
        <v>100</v>
      </c>
      <c r="H512" s="43">
        <v>600</v>
      </c>
      <c r="I512" s="35">
        <v>695</v>
      </c>
      <c r="J512" s="35">
        <v>50</v>
      </c>
      <c r="K512" s="36"/>
      <c r="L512" s="36"/>
      <c r="M512" s="36"/>
      <c r="N512" s="36"/>
      <c r="O512" s="36"/>
      <c r="P512" s="36"/>
      <c r="Q512" s="36"/>
      <c r="R512" s="36"/>
      <c r="S512" s="36"/>
      <c r="T512" s="36"/>
    </row>
    <row r="513" spans="1:20" ht="15.75">
      <c r="A513" s="13">
        <v>57131</v>
      </c>
      <c r="B513" s="44">
        <v>31</v>
      </c>
      <c r="C513" s="35">
        <v>194.20500000000001</v>
      </c>
      <c r="D513" s="35">
        <v>267.46600000000001</v>
      </c>
      <c r="E513" s="41">
        <v>812.32899999999995</v>
      </c>
      <c r="F513" s="35">
        <v>1274</v>
      </c>
      <c r="G513" s="35">
        <v>75</v>
      </c>
      <c r="H513" s="43">
        <v>600</v>
      </c>
      <c r="I513" s="35">
        <v>695</v>
      </c>
      <c r="J513" s="35">
        <v>50</v>
      </c>
      <c r="K513" s="36"/>
      <c r="L513" s="36"/>
      <c r="M513" s="36"/>
      <c r="N513" s="36"/>
      <c r="O513" s="36"/>
      <c r="P513" s="36"/>
      <c r="Q513" s="36"/>
      <c r="R513" s="36"/>
      <c r="S513" s="36"/>
      <c r="T513" s="36"/>
    </row>
    <row r="514" spans="1:20" ht="15.75">
      <c r="A514" s="13">
        <v>57161</v>
      </c>
      <c r="B514" s="44">
        <v>30</v>
      </c>
      <c r="C514" s="35">
        <v>194.20500000000001</v>
      </c>
      <c r="D514" s="35">
        <v>267.46600000000001</v>
      </c>
      <c r="E514" s="41">
        <v>812.32899999999995</v>
      </c>
      <c r="F514" s="35">
        <v>1274</v>
      </c>
      <c r="G514" s="35">
        <v>50</v>
      </c>
      <c r="H514" s="43">
        <v>600</v>
      </c>
      <c r="I514" s="35">
        <v>695</v>
      </c>
      <c r="J514" s="35">
        <v>50</v>
      </c>
      <c r="K514" s="36"/>
      <c r="L514" s="36"/>
      <c r="M514" s="36"/>
      <c r="N514" s="36"/>
      <c r="O514" s="36"/>
      <c r="P514" s="36"/>
      <c r="Q514" s="36"/>
      <c r="R514" s="36"/>
      <c r="S514" s="36"/>
      <c r="T514" s="36"/>
    </row>
    <row r="515" spans="1:20" ht="15.75">
      <c r="A515" s="13">
        <v>57192</v>
      </c>
      <c r="B515" s="44">
        <v>31</v>
      </c>
      <c r="C515" s="35">
        <v>194.20500000000001</v>
      </c>
      <c r="D515" s="35">
        <v>267.46600000000001</v>
      </c>
      <c r="E515" s="41">
        <v>812.32899999999995</v>
      </c>
      <c r="F515" s="35">
        <v>1274</v>
      </c>
      <c r="G515" s="35">
        <v>50</v>
      </c>
      <c r="H515" s="43">
        <v>600</v>
      </c>
      <c r="I515" s="35">
        <v>695</v>
      </c>
      <c r="J515" s="35">
        <v>0</v>
      </c>
      <c r="K515" s="36"/>
      <c r="L515" s="36"/>
      <c r="M515" s="36"/>
      <c r="N515" s="36"/>
      <c r="O515" s="36"/>
      <c r="P515" s="36"/>
      <c r="Q515" s="36"/>
      <c r="R515" s="36"/>
      <c r="S515" s="36"/>
      <c r="T515" s="36"/>
    </row>
    <row r="516" spans="1:20" ht="15.75">
      <c r="A516" s="13">
        <v>57223</v>
      </c>
      <c r="B516" s="44">
        <v>31</v>
      </c>
      <c r="C516" s="35">
        <v>194.20500000000001</v>
      </c>
      <c r="D516" s="35">
        <v>267.46600000000001</v>
      </c>
      <c r="E516" s="41">
        <v>812.32899999999995</v>
      </c>
      <c r="F516" s="35">
        <v>1274</v>
      </c>
      <c r="G516" s="35">
        <v>50</v>
      </c>
      <c r="H516" s="43">
        <v>600</v>
      </c>
      <c r="I516" s="35">
        <v>695</v>
      </c>
      <c r="J516" s="35">
        <v>0</v>
      </c>
      <c r="K516" s="36"/>
      <c r="L516" s="36"/>
      <c r="M516" s="36"/>
      <c r="N516" s="36"/>
      <c r="O516" s="36"/>
      <c r="P516" s="36"/>
      <c r="Q516" s="36"/>
      <c r="R516" s="36"/>
      <c r="S516" s="36"/>
      <c r="T516" s="36"/>
    </row>
    <row r="517" spans="1:20" ht="15.75">
      <c r="A517" s="13">
        <v>57253</v>
      </c>
      <c r="B517" s="44">
        <v>30</v>
      </c>
      <c r="C517" s="35">
        <v>194.20500000000001</v>
      </c>
      <c r="D517" s="35">
        <v>267.46600000000001</v>
      </c>
      <c r="E517" s="41">
        <v>812.32899999999995</v>
      </c>
      <c r="F517" s="35">
        <v>1274</v>
      </c>
      <c r="G517" s="35">
        <v>50</v>
      </c>
      <c r="H517" s="43">
        <v>600</v>
      </c>
      <c r="I517" s="35">
        <v>695</v>
      </c>
      <c r="J517" s="35">
        <v>0</v>
      </c>
      <c r="K517" s="36"/>
      <c r="L517" s="36"/>
      <c r="M517" s="36"/>
      <c r="N517" s="36"/>
      <c r="O517" s="36"/>
      <c r="P517" s="36"/>
      <c r="Q517" s="36"/>
      <c r="R517" s="36"/>
      <c r="S517" s="36"/>
      <c r="T517" s="36"/>
    </row>
    <row r="518" spans="1:20" ht="15.75">
      <c r="A518" s="13">
        <v>57284</v>
      </c>
      <c r="B518" s="44">
        <v>31</v>
      </c>
      <c r="C518" s="35">
        <v>131.881</v>
      </c>
      <c r="D518" s="35">
        <v>277.16699999999997</v>
      </c>
      <c r="E518" s="41">
        <v>829.952</v>
      </c>
      <c r="F518" s="35">
        <v>1239</v>
      </c>
      <c r="G518" s="35">
        <v>75</v>
      </c>
      <c r="H518" s="43">
        <v>600</v>
      </c>
      <c r="I518" s="35">
        <v>695</v>
      </c>
      <c r="J518" s="35">
        <v>0</v>
      </c>
      <c r="K518" s="36"/>
      <c r="L518" s="36"/>
      <c r="M518" s="36"/>
      <c r="N518" s="36"/>
      <c r="O518" s="36"/>
      <c r="P518" s="36"/>
      <c r="Q518" s="36"/>
      <c r="R518" s="36"/>
      <c r="S518" s="36"/>
      <c r="T518" s="36"/>
    </row>
    <row r="519" spans="1:20" ht="15.75">
      <c r="A519" s="13">
        <v>57314</v>
      </c>
      <c r="B519" s="44">
        <v>30</v>
      </c>
      <c r="C519" s="35">
        <v>122.58</v>
      </c>
      <c r="D519" s="35">
        <v>297.94099999999997</v>
      </c>
      <c r="E519" s="41">
        <v>729.47900000000004</v>
      </c>
      <c r="F519" s="35">
        <v>1150</v>
      </c>
      <c r="G519" s="35">
        <v>100</v>
      </c>
      <c r="H519" s="43">
        <v>600</v>
      </c>
      <c r="I519" s="35">
        <v>695</v>
      </c>
      <c r="J519" s="35">
        <v>50</v>
      </c>
      <c r="K519" s="36"/>
      <c r="L519" s="36"/>
      <c r="M519" s="36"/>
      <c r="N519" s="36"/>
      <c r="O519" s="36"/>
      <c r="P519" s="36"/>
      <c r="Q519" s="36"/>
      <c r="R519" s="36"/>
      <c r="S519" s="36"/>
      <c r="T519" s="36"/>
    </row>
    <row r="520" spans="1:20" ht="15.75">
      <c r="A520" s="13">
        <v>57345</v>
      </c>
      <c r="B520" s="44">
        <v>31</v>
      </c>
      <c r="C520" s="35">
        <v>122.58</v>
      </c>
      <c r="D520" s="35">
        <v>297.94099999999997</v>
      </c>
      <c r="E520" s="41">
        <v>729.47900000000004</v>
      </c>
      <c r="F520" s="35">
        <v>1150</v>
      </c>
      <c r="G520" s="35">
        <v>100</v>
      </c>
      <c r="H520" s="43">
        <v>600</v>
      </c>
      <c r="I520" s="35">
        <v>695</v>
      </c>
      <c r="J520" s="35">
        <v>50</v>
      </c>
      <c r="K520" s="36"/>
      <c r="L520" s="36"/>
      <c r="M520" s="36"/>
      <c r="N520" s="36"/>
      <c r="O520" s="36"/>
      <c r="P520" s="36"/>
      <c r="Q520" s="36"/>
      <c r="R520" s="36"/>
      <c r="S520" s="36"/>
      <c r="T520" s="36"/>
    </row>
    <row r="521" spans="1:20" ht="15.75">
      <c r="A521" s="13">
        <v>57376</v>
      </c>
      <c r="B521" s="44">
        <v>31</v>
      </c>
      <c r="C521" s="35">
        <v>122.58</v>
      </c>
      <c r="D521" s="35">
        <v>297.94099999999997</v>
      </c>
      <c r="E521" s="41">
        <v>729.47900000000004</v>
      </c>
      <c r="F521" s="35">
        <v>1150</v>
      </c>
      <c r="G521" s="35">
        <v>100</v>
      </c>
      <c r="H521" s="43">
        <v>600</v>
      </c>
      <c r="I521" s="35">
        <v>695</v>
      </c>
      <c r="J521" s="35">
        <v>50</v>
      </c>
      <c r="K521" s="36"/>
      <c r="L521" s="36"/>
      <c r="M521" s="36"/>
      <c r="N521" s="36"/>
      <c r="O521" s="36"/>
      <c r="P521" s="36"/>
      <c r="Q521" s="36"/>
      <c r="R521" s="36"/>
      <c r="S521" s="36"/>
      <c r="T521" s="36"/>
    </row>
    <row r="522" spans="1:20" ht="15.75">
      <c r="A522" s="13">
        <v>57404</v>
      </c>
      <c r="B522" s="44">
        <v>28</v>
      </c>
      <c r="C522" s="35">
        <v>122.58</v>
      </c>
      <c r="D522" s="35">
        <v>297.94099999999997</v>
      </c>
      <c r="E522" s="41">
        <v>729.47900000000004</v>
      </c>
      <c r="F522" s="35">
        <v>1150</v>
      </c>
      <c r="G522" s="35">
        <v>100</v>
      </c>
      <c r="H522" s="43">
        <v>600</v>
      </c>
      <c r="I522" s="35">
        <v>695</v>
      </c>
      <c r="J522" s="35">
        <v>50</v>
      </c>
      <c r="K522" s="36"/>
      <c r="L522" s="36"/>
      <c r="M522" s="36"/>
      <c r="N522" s="36"/>
      <c r="O522" s="36"/>
      <c r="P522" s="36"/>
      <c r="Q522" s="36"/>
      <c r="R522" s="36"/>
      <c r="S522" s="36"/>
      <c r="T522" s="36"/>
    </row>
    <row r="523" spans="1:20" ht="15.75">
      <c r="A523" s="13">
        <v>57435</v>
      </c>
      <c r="B523" s="44">
        <v>31</v>
      </c>
      <c r="C523" s="35">
        <v>122.58</v>
      </c>
      <c r="D523" s="35">
        <v>297.94099999999997</v>
      </c>
      <c r="E523" s="41">
        <v>729.47900000000004</v>
      </c>
      <c r="F523" s="35">
        <v>1150</v>
      </c>
      <c r="G523" s="35">
        <v>100</v>
      </c>
      <c r="H523" s="43">
        <v>600</v>
      </c>
      <c r="I523" s="35">
        <v>695</v>
      </c>
      <c r="J523" s="35">
        <v>50</v>
      </c>
      <c r="K523" s="36"/>
      <c r="L523" s="36"/>
      <c r="M523" s="36"/>
      <c r="N523" s="36"/>
      <c r="O523" s="36"/>
      <c r="P523" s="36"/>
      <c r="Q523" s="36"/>
      <c r="R523" s="36"/>
      <c r="S523" s="36"/>
      <c r="T523" s="36"/>
    </row>
    <row r="524" spans="1:20" ht="15.75">
      <c r="A524" s="13">
        <v>57465</v>
      </c>
      <c r="B524" s="44">
        <v>30</v>
      </c>
      <c r="C524" s="35">
        <v>141.29300000000001</v>
      </c>
      <c r="D524" s="35">
        <v>267.99299999999999</v>
      </c>
      <c r="E524" s="41">
        <v>829.71400000000006</v>
      </c>
      <c r="F524" s="35">
        <v>1239</v>
      </c>
      <c r="G524" s="35">
        <v>100</v>
      </c>
      <c r="H524" s="43">
        <v>600</v>
      </c>
      <c r="I524" s="35">
        <v>695</v>
      </c>
      <c r="J524" s="35">
        <v>50</v>
      </c>
      <c r="K524" s="36"/>
      <c r="L524" s="36"/>
      <c r="M524" s="36"/>
      <c r="N524" s="36"/>
      <c r="O524" s="36"/>
      <c r="P524" s="36"/>
      <c r="Q524" s="36"/>
      <c r="R524" s="36"/>
      <c r="S524" s="36"/>
      <c r="T524" s="36"/>
    </row>
    <row r="525" spans="1:20" ht="15.75">
      <c r="A525" s="13">
        <v>57496</v>
      </c>
      <c r="B525" s="44">
        <v>31</v>
      </c>
      <c r="C525" s="35">
        <v>194.20500000000001</v>
      </c>
      <c r="D525" s="35">
        <v>267.46600000000001</v>
      </c>
      <c r="E525" s="41">
        <v>812.32899999999995</v>
      </c>
      <c r="F525" s="35">
        <v>1274</v>
      </c>
      <c r="G525" s="35">
        <v>75</v>
      </c>
      <c r="H525" s="43">
        <v>600</v>
      </c>
      <c r="I525" s="35">
        <v>695</v>
      </c>
      <c r="J525" s="35">
        <v>50</v>
      </c>
      <c r="K525" s="36"/>
      <c r="L525" s="36"/>
      <c r="M525" s="36"/>
      <c r="N525" s="36"/>
      <c r="O525" s="36"/>
      <c r="P525" s="36"/>
      <c r="Q525" s="36"/>
      <c r="R525" s="36"/>
      <c r="S525" s="36"/>
      <c r="T525" s="36"/>
    </row>
    <row r="526" spans="1:20" ht="15.75">
      <c r="A526" s="13">
        <v>57526</v>
      </c>
      <c r="B526" s="44">
        <v>30</v>
      </c>
      <c r="C526" s="35">
        <v>194.20500000000001</v>
      </c>
      <c r="D526" s="35">
        <v>267.46600000000001</v>
      </c>
      <c r="E526" s="41">
        <v>812.32899999999995</v>
      </c>
      <c r="F526" s="35">
        <v>1274</v>
      </c>
      <c r="G526" s="35">
        <v>50</v>
      </c>
      <c r="H526" s="43">
        <v>600</v>
      </c>
      <c r="I526" s="35">
        <v>695</v>
      </c>
      <c r="J526" s="35">
        <v>50</v>
      </c>
      <c r="K526" s="36"/>
      <c r="L526" s="36"/>
      <c r="M526" s="36"/>
      <c r="N526" s="36"/>
      <c r="O526" s="36"/>
      <c r="P526" s="36"/>
      <c r="Q526" s="36"/>
      <c r="R526" s="36"/>
      <c r="S526" s="36"/>
      <c r="T526" s="36"/>
    </row>
    <row r="527" spans="1:20" ht="15.75">
      <c r="A527" s="13">
        <v>57557</v>
      </c>
      <c r="B527" s="44">
        <v>31</v>
      </c>
      <c r="C527" s="35">
        <v>194.20500000000001</v>
      </c>
      <c r="D527" s="35">
        <v>267.46600000000001</v>
      </c>
      <c r="E527" s="41">
        <v>812.32899999999995</v>
      </c>
      <c r="F527" s="35">
        <v>1274</v>
      </c>
      <c r="G527" s="35">
        <v>50</v>
      </c>
      <c r="H527" s="43">
        <v>600</v>
      </c>
      <c r="I527" s="35">
        <v>695</v>
      </c>
      <c r="J527" s="35">
        <v>0</v>
      </c>
      <c r="K527" s="36"/>
      <c r="L527" s="36"/>
      <c r="M527" s="36"/>
      <c r="N527" s="36"/>
      <c r="O527" s="36"/>
      <c r="P527" s="36"/>
      <c r="Q527" s="36"/>
      <c r="R527" s="36"/>
      <c r="S527" s="36"/>
      <c r="T527" s="36"/>
    </row>
    <row r="528" spans="1:20" ht="15.75">
      <c r="A528" s="13">
        <v>57588</v>
      </c>
      <c r="B528" s="44">
        <v>31</v>
      </c>
      <c r="C528" s="35">
        <v>194.20500000000001</v>
      </c>
      <c r="D528" s="35">
        <v>267.46600000000001</v>
      </c>
      <c r="E528" s="41">
        <v>812.32899999999995</v>
      </c>
      <c r="F528" s="35">
        <v>1274</v>
      </c>
      <c r="G528" s="35">
        <v>50</v>
      </c>
      <c r="H528" s="43">
        <v>600</v>
      </c>
      <c r="I528" s="35">
        <v>695</v>
      </c>
      <c r="J528" s="35">
        <v>0</v>
      </c>
      <c r="K528" s="36"/>
      <c r="L528" s="36"/>
      <c r="M528" s="36"/>
      <c r="N528" s="36"/>
      <c r="O528" s="36"/>
      <c r="P528" s="36"/>
      <c r="Q528" s="36"/>
      <c r="R528" s="36"/>
      <c r="S528" s="36"/>
      <c r="T528" s="36"/>
    </row>
    <row r="529" spans="1:20" ht="15.75">
      <c r="A529" s="13">
        <v>57618</v>
      </c>
      <c r="B529" s="44">
        <v>30</v>
      </c>
      <c r="C529" s="35">
        <v>194.20500000000001</v>
      </c>
      <c r="D529" s="35">
        <v>267.46600000000001</v>
      </c>
      <c r="E529" s="41">
        <v>812.32899999999995</v>
      </c>
      <c r="F529" s="35">
        <v>1274</v>
      </c>
      <c r="G529" s="35">
        <v>50</v>
      </c>
      <c r="H529" s="43">
        <v>600</v>
      </c>
      <c r="I529" s="35">
        <v>695</v>
      </c>
      <c r="J529" s="35">
        <v>0</v>
      </c>
      <c r="K529" s="36"/>
      <c r="L529" s="36"/>
      <c r="M529" s="36"/>
      <c r="N529" s="36"/>
      <c r="O529" s="36"/>
      <c r="P529" s="36"/>
      <c r="Q529" s="36"/>
      <c r="R529" s="36"/>
      <c r="S529" s="36"/>
      <c r="T529" s="36"/>
    </row>
    <row r="530" spans="1:20" ht="15.75">
      <c r="A530" s="13">
        <v>57649</v>
      </c>
      <c r="B530" s="44">
        <v>31</v>
      </c>
      <c r="C530" s="35">
        <v>131.881</v>
      </c>
      <c r="D530" s="35">
        <v>277.16699999999997</v>
      </c>
      <c r="E530" s="41">
        <v>829.952</v>
      </c>
      <c r="F530" s="35">
        <v>1239</v>
      </c>
      <c r="G530" s="35">
        <v>75</v>
      </c>
      <c r="H530" s="43">
        <v>600</v>
      </c>
      <c r="I530" s="35">
        <v>695</v>
      </c>
      <c r="J530" s="35">
        <v>0</v>
      </c>
      <c r="K530" s="36"/>
      <c r="L530" s="36"/>
      <c r="M530" s="36"/>
      <c r="N530" s="36"/>
      <c r="O530" s="36"/>
      <c r="P530" s="36"/>
      <c r="Q530" s="36"/>
      <c r="R530" s="36"/>
      <c r="S530" s="36"/>
      <c r="T530" s="36"/>
    </row>
    <row r="531" spans="1:20" ht="15.75">
      <c r="A531" s="13">
        <v>57679</v>
      </c>
      <c r="B531" s="44">
        <v>30</v>
      </c>
      <c r="C531" s="35">
        <v>122.58</v>
      </c>
      <c r="D531" s="35">
        <v>297.94099999999997</v>
      </c>
      <c r="E531" s="41">
        <v>729.47900000000004</v>
      </c>
      <c r="F531" s="35">
        <v>1150</v>
      </c>
      <c r="G531" s="35">
        <v>100</v>
      </c>
      <c r="H531" s="43">
        <v>600</v>
      </c>
      <c r="I531" s="35">
        <v>695</v>
      </c>
      <c r="J531" s="35">
        <v>50</v>
      </c>
      <c r="K531" s="36"/>
      <c r="L531" s="36"/>
      <c r="M531" s="36"/>
      <c r="N531" s="36"/>
      <c r="O531" s="36"/>
      <c r="P531" s="36"/>
      <c r="Q531" s="36"/>
      <c r="R531" s="36"/>
      <c r="S531" s="36"/>
      <c r="T531" s="36"/>
    </row>
    <row r="532" spans="1:20" ht="15.75">
      <c r="A532" s="13">
        <v>57710</v>
      </c>
      <c r="B532" s="44">
        <v>31</v>
      </c>
      <c r="C532" s="35">
        <v>122.58</v>
      </c>
      <c r="D532" s="35">
        <v>297.94099999999997</v>
      </c>
      <c r="E532" s="41">
        <v>729.47900000000004</v>
      </c>
      <c r="F532" s="35">
        <v>1150</v>
      </c>
      <c r="G532" s="35">
        <v>100</v>
      </c>
      <c r="H532" s="43">
        <v>600</v>
      </c>
      <c r="I532" s="35">
        <v>695</v>
      </c>
      <c r="J532" s="35">
        <v>50</v>
      </c>
      <c r="K532" s="36"/>
      <c r="L532" s="36"/>
      <c r="M532" s="36"/>
      <c r="N532" s="36"/>
      <c r="O532" s="36"/>
      <c r="P532" s="36"/>
      <c r="Q532" s="36"/>
      <c r="R532" s="36"/>
      <c r="S532" s="36"/>
      <c r="T532" s="36"/>
    </row>
    <row r="533" spans="1:20" ht="15.75">
      <c r="A533" s="13">
        <v>57741</v>
      </c>
      <c r="B533" s="44">
        <v>31</v>
      </c>
      <c r="C533" s="35">
        <v>122.58</v>
      </c>
      <c r="D533" s="35">
        <v>297.94099999999997</v>
      </c>
      <c r="E533" s="41">
        <v>729.47900000000004</v>
      </c>
      <c r="F533" s="35">
        <v>1150</v>
      </c>
      <c r="G533" s="35">
        <v>100</v>
      </c>
      <c r="H533" s="43">
        <v>600</v>
      </c>
      <c r="I533" s="35">
        <v>695</v>
      </c>
      <c r="J533" s="35">
        <v>50</v>
      </c>
      <c r="K533" s="36"/>
      <c r="L533" s="36"/>
      <c r="M533" s="36"/>
      <c r="N533" s="36"/>
      <c r="O533" s="36"/>
      <c r="P533" s="36"/>
      <c r="Q533" s="36"/>
      <c r="R533" s="36"/>
      <c r="S533" s="36"/>
      <c r="T533" s="36"/>
    </row>
    <row r="534" spans="1:20" ht="15.75">
      <c r="A534" s="13">
        <v>57769</v>
      </c>
      <c r="B534" s="44">
        <v>28</v>
      </c>
      <c r="C534" s="35">
        <v>122.58</v>
      </c>
      <c r="D534" s="35">
        <v>297.94099999999997</v>
      </c>
      <c r="E534" s="41">
        <v>729.47900000000004</v>
      </c>
      <c r="F534" s="35">
        <v>1150</v>
      </c>
      <c r="G534" s="35">
        <v>100</v>
      </c>
      <c r="H534" s="43">
        <v>600</v>
      </c>
      <c r="I534" s="35">
        <v>695</v>
      </c>
      <c r="J534" s="35">
        <v>50</v>
      </c>
      <c r="K534" s="36"/>
      <c r="L534" s="36"/>
      <c r="M534" s="36"/>
      <c r="N534" s="36"/>
      <c r="O534" s="36"/>
      <c r="P534" s="36"/>
      <c r="Q534" s="36"/>
      <c r="R534" s="36"/>
      <c r="S534" s="36"/>
      <c r="T534" s="36"/>
    </row>
    <row r="535" spans="1:20" ht="15.75">
      <c r="A535" s="13">
        <v>57800</v>
      </c>
      <c r="B535" s="44">
        <v>31</v>
      </c>
      <c r="C535" s="35">
        <v>122.58</v>
      </c>
      <c r="D535" s="35">
        <v>297.94099999999997</v>
      </c>
      <c r="E535" s="41">
        <v>729.47900000000004</v>
      </c>
      <c r="F535" s="35">
        <v>1150</v>
      </c>
      <c r="G535" s="35">
        <v>100</v>
      </c>
      <c r="H535" s="43">
        <v>600</v>
      </c>
      <c r="I535" s="35">
        <v>695</v>
      </c>
      <c r="J535" s="35">
        <v>50</v>
      </c>
      <c r="K535" s="36"/>
      <c r="L535" s="36"/>
      <c r="M535" s="36"/>
      <c r="N535" s="36"/>
      <c r="O535" s="36"/>
      <c r="P535" s="36"/>
      <c r="Q535" s="36"/>
      <c r="R535" s="36"/>
      <c r="S535" s="36"/>
      <c r="T535" s="36"/>
    </row>
    <row r="536" spans="1:20" ht="15.75">
      <c r="A536" s="13">
        <v>57830</v>
      </c>
      <c r="B536" s="44">
        <v>30</v>
      </c>
      <c r="C536" s="35">
        <v>141.29300000000001</v>
      </c>
      <c r="D536" s="35">
        <v>267.99299999999999</v>
      </c>
      <c r="E536" s="41">
        <v>829.71400000000006</v>
      </c>
      <c r="F536" s="35">
        <v>1239</v>
      </c>
      <c r="G536" s="35">
        <v>100</v>
      </c>
      <c r="H536" s="43">
        <v>600</v>
      </c>
      <c r="I536" s="35">
        <v>695</v>
      </c>
      <c r="J536" s="35">
        <v>50</v>
      </c>
      <c r="K536" s="36"/>
      <c r="L536" s="36"/>
      <c r="M536" s="36"/>
      <c r="N536" s="36"/>
      <c r="O536" s="36"/>
      <c r="P536" s="36"/>
      <c r="Q536" s="36"/>
      <c r="R536" s="36"/>
      <c r="S536" s="36"/>
      <c r="T536" s="36"/>
    </row>
    <row r="537" spans="1:20" ht="15.75">
      <c r="A537" s="13">
        <v>57861</v>
      </c>
      <c r="B537" s="44">
        <v>31</v>
      </c>
      <c r="C537" s="35">
        <v>194.20500000000001</v>
      </c>
      <c r="D537" s="35">
        <v>267.46600000000001</v>
      </c>
      <c r="E537" s="41">
        <v>812.32899999999995</v>
      </c>
      <c r="F537" s="35">
        <v>1274</v>
      </c>
      <c r="G537" s="35">
        <v>75</v>
      </c>
      <c r="H537" s="43">
        <v>600</v>
      </c>
      <c r="I537" s="35">
        <v>695</v>
      </c>
      <c r="J537" s="35">
        <v>50</v>
      </c>
      <c r="K537" s="36"/>
      <c r="L537" s="36"/>
      <c r="M537" s="36"/>
      <c r="N537" s="36"/>
      <c r="O537" s="36"/>
      <c r="P537" s="36"/>
      <c r="Q537" s="36"/>
      <c r="R537" s="36"/>
      <c r="S537" s="36"/>
      <c r="T537" s="36"/>
    </row>
    <row r="538" spans="1:20" ht="15.75">
      <c r="A538" s="13">
        <v>57891</v>
      </c>
      <c r="B538" s="44">
        <v>30</v>
      </c>
      <c r="C538" s="35">
        <v>194.20500000000001</v>
      </c>
      <c r="D538" s="35">
        <v>267.46600000000001</v>
      </c>
      <c r="E538" s="41">
        <v>812.32899999999995</v>
      </c>
      <c r="F538" s="35">
        <v>1274</v>
      </c>
      <c r="G538" s="35">
        <v>50</v>
      </c>
      <c r="H538" s="43">
        <v>600</v>
      </c>
      <c r="I538" s="35">
        <v>695</v>
      </c>
      <c r="J538" s="35">
        <v>50</v>
      </c>
      <c r="K538" s="36"/>
      <c r="L538" s="36"/>
      <c r="M538" s="36"/>
      <c r="N538" s="36"/>
      <c r="O538" s="36"/>
      <c r="P538" s="36"/>
      <c r="Q538" s="36"/>
      <c r="R538" s="36"/>
      <c r="S538" s="36"/>
      <c r="T538" s="36"/>
    </row>
    <row r="539" spans="1:20" ht="15.75">
      <c r="A539" s="13">
        <v>57922</v>
      </c>
      <c r="B539" s="44">
        <v>31</v>
      </c>
      <c r="C539" s="35">
        <v>194.20500000000001</v>
      </c>
      <c r="D539" s="35">
        <v>267.46600000000001</v>
      </c>
      <c r="E539" s="41">
        <v>812.32899999999995</v>
      </c>
      <c r="F539" s="35">
        <v>1274</v>
      </c>
      <c r="G539" s="35">
        <v>50</v>
      </c>
      <c r="H539" s="43">
        <v>600</v>
      </c>
      <c r="I539" s="35">
        <v>695</v>
      </c>
      <c r="J539" s="35">
        <v>0</v>
      </c>
      <c r="K539" s="36"/>
      <c r="L539" s="36"/>
      <c r="M539" s="36"/>
      <c r="N539" s="36"/>
      <c r="O539" s="36"/>
      <c r="P539" s="36"/>
      <c r="Q539" s="36"/>
      <c r="R539" s="36"/>
      <c r="S539" s="36"/>
      <c r="T539" s="36"/>
    </row>
    <row r="540" spans="1:20" ht="15.75">
      <c r="A540" s="13">
        <v>57953</v>
      </c>
      <c r="B540" s="44">
        <v>31</v>
      </c>
      <c r="C540" s="35">
        <v>194.20500000000001</v>
      </c>
      <c r="D540" s="35">
        <v>267.46600000000001</v>
      </c>
      <c r="E540" s="41">
        <v>812.32899999999995</v>
      </c>
      <c r="F540" s="35">
        <v>1274</v>
      </c>
      <c r="G540" s="35">
        <v>50</v>
      </c>
      <c r="H540" s="43">
        <v>600</v>
      </c>
      <c r="I540" s="35">
        <v>695</v>
      </c>
      <c r="J540" s="35">
        <v>0</v>
      </c>
      <c r="K540" s="36"/>
      <c r="L540" s="36"/>
      <c r="M540" s="36"/>
      <c r="N540" s="36"/>
      <c r="O540" s="36"/>
      <c r="P540" s="36"/>
      <c r="Q540" s="36"/>
      <c r="R540" s="36"/>
      <c r="S540" s="36"/>
      <c r="T540" s="36"/>
    </row>
    <row r="541" spans="1:20" ht="15.75">
      <c r="A541" s="13">
        <v>57983</v>
      </c>
      <c r="B541" s="44">
        <v>30</v>
      </c>
      <c r="C541" s="35">
        <v>194.20500000000001</v>
      </c>
      <c r="D541" s="35">
        <v>267.46600000000001</v>
      </c>
      <c r="E541" s="41">
        <v>812.32899999999995</v>
      </c>
      <c r="F541" s="35">
        <v>1274</v>
      </c>
      <c r="G541" s="35">
        <v>50</v>
      </c>
      <c r="H541" s="43">
        <v>600</v>
      </c>
      <c r="I541" s="35">
        <v>695</v>
      </c>
      <c r="J541" s="35">
        <v>0</v>
      </c>
      <c r="K541" s="36"/>
      <c r="L541" s="36"/>
      <c r="M541" s="36"/>
      <c r="N541" s="36"/>
      <c r="O541" s="36"/>
      <c r="P541" s="36"/>
      <c r="Q541" s="36"/>
      <c r="R541" s="36"/>
      <c r="S541" s="36"/>
      <c r="T541" s="36"/>
    </row>
    <row r="542" spans="1:20" ht="15.75">
      <c r="A542" s="13">
        <v>58014</v>
      </c>
      <c r="B542" s="44">
        <v>31</v>
      </c>
      <c r="C542" s="35">
        <v>131.881</v>
      </c>
      <c r="D542" s="35">
        <v>277.16699999999997</v>
      </c>
      <c r="E542" s="41">
        <v>829.952</v>
      </c>
      <c r="F542" s="35">
        <v>1239</v>
      </c>
      <c r="G542" s="35">
        <v>75</v>
      </c>
      <c r="H542" s="43">
        <v>600</v>
      </c>
      <c r="I542" s="35">
        <v>695</v>
      </c>
      <c r="J542" s="35">
        <v>0</v>
      </c>
      <c r="K542" s="36"/>
      <c r="L542" s="36"/>
      <c r="M542" s="36"/>
      <c r="N542" s="36"/>
      <c r="O542" s="36"/>
      <c r="P542" s="36"/>
      <c r="Q542" s="36"/>
      <c r="R542" s="36"/>
      <c r="S542" s="36"/>
      <c r="T542" s="36"/>
    </row>
    <row r="543" spans="1:20" ht="15.75">
      <c r="A543" s="13">
        <v>58044</v>
      </c>
      <c r="B543" s="44">
        <v>30</v>
      </c>
      <c r="C543" s="35">
        <v>122.58</v>
      </c>
      <c r="D543" s="35">
        <v>297.94099999999997</v>
      </c>
      <c r="E543" s="41">
        <v>729.47900000000004</v>
      </c>
      <c r="F543" s="35">
        <v>1150</v>
      </c>
      <c r="G543" s="35">
        <v>100</v>
      </c>
      <c r="H543" s="43">
        <v>600</v>
      </c>
      <c r="I543" s="35">
        <v>695</v>
      </c>
      <c r="J543" s="35">
        <v>50</v>
      </c>
      <c r="K543" s="36"/>
      <c r="L543" s="36"/>
      <c r="M543" s="36"/>
      <c r="N543" s="36"/>
      <c r="O543" s="36"/>
      <c r="P543" s="36"/>
      <c r="Q543" s="36"/>
      <c r="R543" s="36"/>
      <c r="S543" s="36"/>
      <c r="T543" s="36"/>
    </row>
    <row r="544" spans="1:20" ht="15.75">
      <c r="A544" s="13">
        <v>58075</v>
      </c>
      <c r="B544" s="44">
        <v>31</v>
      </c>
      <c r="C544" s="35">
        <v>122.58</v>
      </c>
      <c r="D544" s="35">
        <v>297.94099999999997</v>
      </c>
      <c r="E544" s="41">
        <v>729.47900000000004</v>
      </c>
      <c r="F544" s="35">
        <v>1150</v>
      </c>
      <c r="G544" s="35">
        <v>100</v>
      </c>
      <c r="H544" s="43">
        <v>600</v>
      </c>
      <c r="I544" s="35">
        <v>695</v>
      </c>
      <c r="J544" s="35">
        <v>50</v>
      </c>
      <c r="K544" s="36"/>
      <c r="L544" s="36"/>
      <c r="M544" s="36"/>
      <c r="N544" s="36"/>
      <c r="O544" s="36"/>
      <c r="P544" s="36"/>
      <c r="Q544" s="36"/>
      <c r="R544" s="36"/>
      <c r="S544" s="36"/>
      <c r="T544" s="36"/>
    </row>
    <row r="545" spans="1:20" ht="15.75">
      <c r="A545" s="13">
        <v>58106</v>
      </c>
      <c r="B545" s="44">
        <v>31</v>
      </c>
      <c r="C545" s="35">
        <v>122.58</v>
      </c>
      <c r="D545" s="35">
        <v>297.94099999999997</v>
      </c>
      <c r="E545" s="41">
        <v>729.47900000000004</v>
      </c>
      <c r="F545" s="35">
        <v>1150</v>
      </c>
      <c r="G545" s="35">
        <v>100</v>
      </c>
      <c r="H545" s="43">
        <v>600</v>
      </c>
      <c r="I545" s="35">
        <v>695</v>
      </c>
      <c r="J545" s="35">
        <v>50</v>
      </c>
      <c r="K545" s="36"/>
      <c r="L545" s="36"/>
      <c r="M545" s="36"/>
      <c r="N545" s="36"/>
      <c r="O545" s="36"/>
      <c r="P545" s="36"/>
      <c r="Q545" s="36"/>
      <c r="R545" s="36"/>
      <c r="S545" s="36"/>
      <c r="T545" s="36"/>
    </row>
    <row r="546" spans="1:20" ht="15.75">
      <c r="A546" s="13">
        <v>58134</v>
      </c>
      <c r="B546" s="44">
        <v>28</v>
      </c>
      <c r="C546" s="35">
        <v>122.58</v>
      </c>
      <c r="D546" s="35">
        <v>297.94099999999997</v>
      </c>
      <c r="E546" s="41">
        <v>729.47900000000004</v>
      </c>
      <c r="F546" s="35">
        <v>1150</v>
      </c>
      <c r="G546" s="35">
        <v>100</v>
      </c>
      <c r="H546" s="43">
        <v>600</v>
      </c>
      <c r="I546" s="35">
        <v>695</v>
      </c>
      <c r="J546" s="35">
        <v>50</v>
      </c>
      <c r="K546" s="36"/>
      <c r="L546" s="36"/>
      <c r="M546" s="36"/>
      <c r="N546" s="36"/>
      <c r="O546" s="36"/>
      <c r="P546" s="36"/>
      <c r="Q546" s="36"/>
      <c r="R546" s="36"/>
      <c r="S546" s="36"/>
      <c r="T546" s="36"/>
    </row>
    <row r="547" spans="1:20" ht="15.75">
      <c r="A547" s="13">
        <v>58165</v>
      </c>
      <c r="B547" s="44">
        <v>31</v>
      </c>
      <c r="C547" s="35">
        <v>122.58</v>
      </c>
      <c r="D547" s="35">
        <v>297.94099999999997</v>
      </c>
      <c r="E547" s="41">
        <v>729.47900000000004</v>
      </c>
      <c r="F547" s="35">
        <v>1150</v>
      </c>
      <c r="G547" s="35">
        <v>100</v>
      </c>
      <c r="H547" s="43">
        <v>600</v>
      </c>
      <c r="I547" s="35">
        <v>695</v>
      </c>
      <c r="J547" s="35">
        <v>50</v>
      </c>
      <c r="K547" s="36"/>
      <c r="L547" s="36"/>
      <c r="M547" s="36"/>
      <c r="N547" s="36"/>
      <c r="O547" s="36"/>
      <c r="P547" s="36"/>
      <c r="Q547" s="36"/>
      <c r="R547" s="36"/>
      <c r="S547" s="36"/>
      <c r="T547" s="36"/>
    </row>
    <row r="548" spans="1:20" ht="15.75">
      <c r="A548" s="13">
        <v>58195</v>
      </c>
      <c r="B548" s="44">
        <v>30</v>
      </c>
      <c r="C548" s="35">
        <v>141.29300000000001</v>
      </c>
      <c r="D548" s="35">
        <v>267.99299999999999</v>
      </c>
      <c r="E548" s="41">
        <v>829.71400000000006</v>
      </c>
      <c r="F548" s="35">
        <v>1239</v>
      </c>
      <c r="G548" s="35">
        <v>100</v>
      </c>
      <c r="H548" s="43">
        <v>600</v>
      </c>
      <c r="I548" s="35">
        <v>695</v>
      </c>
      <c r="J548" s="35">
        <v>50</v>
      </c>
      <c r="K548" s="36"/>
      <c r="L548" s="36"/>
      <c r="M548" s="36"/>
      <c r="N548" s="36"/>
      <c r="O548" s="36"/>
      <c r="P548" s="36"/>
      <c r="Q548" s="36"/>
      <c r="R548" s="36"/>
      <c r="S548" s="36"/>
      <c r="T548" s="36"/>
    </row>
    <row r="549" spans="1:20" ht="15.75">
      <c r="A549" s="13">
        <v>58226</v>
      </c>
      <c r="B549" s="44">
        <v>31</v>
      </c>
      <c r="C549" s="35">
        <v>194.20500000000001</v>
      </c>
      <c r="D549" s="35">
        <v>267.46600000000001</v>
      </c>
      <c r="E549" s="41">
        <v>812.32899999999995</v>
      </c>
      <c r="F549" s="35">
        <v>1274</v>
      </c>
      <c r="G549" s="35">
        <v>75</v>
      </c>
      <c r="H549" s="43">
        <v>600</v>
      </c>
      <c r="I549" s="35">
        <v>695</v>
      </c>
      <c r="J549" s="35">
        <v>50</v>
      </c>
      <c r="K549" s="36"/>
      <c r="L549" s="36"/>
      <c r="M549" s="36"/>
      <c r="N549" s="36"/>
      <c r="O549" s="36"/>
      <c r="P549" s="36"/>
      <c r="Q549" s="36"/>
      <c r="R549" s="36"/>
      <c r="S549" s="36"/>
      <c r="T549" s="36"/>
    </row>
    <row r="550" spans="1:20" ht="15.75">
      <c r="A550" s="13">
        <v>58256</v>
      </c>
      <c r="B550" s="44">
        <v>30</v>
      </c>
      <c r="C550" s="35">
        <v>194.20500000000001</v>
      </c>
      <c r="D550" s="35">
        <v>267.46600000000001</v>
      </c>
      <c r="E550" s="41">
        <v>812.32899999999995</v>
      </c>
      <c r="F550" s="35">
        <v>1274</v>
      </c>
      <c r="G550" s="35">
        <v>50</v>
      </c>
      <c r="H550" s="43">
        <v>600</v>
      </c>
      <c r="I550" s="35">
        <v>695</v>
      </c>
      <c r="J550" s="35">
        <v>50</v>
      </c>
      <c r="K550" s="36"/>
      <c r="L550" s="36"/>
      <c r="M550" s="36"/>
      <c r="N550" s="36"/>
      <c r="O550" s="36"/>
      <c r="P550" s="36"/>
      <c r="Q550" s="36"/>
      <c r="R550" s="36"/>
      <c r="S550" s="36"/>
      <c r="T550" s="36"/>
    </row>
    <row r="551" spans="1:20" ht="15.75">
      <c r="A551" s="13">
        <v>58287</v>
      </c>
      <c r="B551" s="44">
        <v>31</v>
      </c>
      <c r="C551" s="35">
        <v>194.20500000000001</v>
      </c>
      <c r="D551" s="35">
        <v>267.46600000000001</v>
      </c>
      <c r="E551" s="41">
        <v>812.32899999999995</v>
      </c>
      <c r="F551" s="35">
        <v>1274</v>
      </c>
      <c r="G551" s="35">
        <v>50</v>
      </c>
      <c r="H551" s="43">
        <v>600</v>
      </c>
      <c r="I551" s="35">
        <v>695</v>
      </c>
      <c r="J551" s="35">
        <v>0</v>
      </c>
      <c r="K551" s="36"/>
      <c r="L551" s="36"/>
      <c r="M551" s="36"/>
      <c r="N551" s="36"/>
      <c r="O551" s="36"/>
      <c r="P551" s="36"/>
      <c r="Q551" s="36"/>
      <c r="R551" s="36"/>
      <c r="S551" s="36"/>
      <c r="T551" s="36"/>
    </row>
    <row r="552" spans="1:20" ht="15.75">
      <c r="A552" s="13">
        <v>58318</v>
      </c>
      <c r="B552" s="44">
        <v>31</v>
      </c>
      <c r="C552" s="35">
        <v>194.20500000000001</v>
      </c>
      <c r="D552" s="35">
        <v>267.46600000000001</v>
      </c>
      <c r="E552" s="41">
        <v>812.32899999999995</v>
      </c>
      <c r="F552" s="35">
        <v>1274</v>
      </c>
      <c r="G552" s="35">
        <v>50</v>
      </c>
      <c r="H552" s="43">
        <v>600</v>
      </c>
      <c r="I552" s="35">
        <v>695</v>
      </c>
      <c r="J552" s="35">
        <v>0</v>
      </c>
      <c r="K552" s="36"/>
      <c r="L552" s="36"/>
      <c r="M552" s="36"/>
      <c r="N552" s="36"/>
      <c r="O552" s="36"/>
      <c r="P552" s="36"/>
      <c r="Q552" s="36"/>
      <c r="R552" s="36"/>
      <c r="S552" s="36"/>
      <c r="T552" s="36"/>
    </row>
    <row r="553" spans="1:20" ht="15.75">
      <c r="A553" s="13">
        <v>58348</v>
      </c>
      <c r="B553" s="44">
        <v>30</v>
      </c>
      <c r="C553" s="35">
        <v>194.20500000000001</v>
      </c>
      <c r="D553" s="35">
        <v>267.46600000000001</v>
      </c>
      <c r="E553" s="41">
        <v>812.32899999999995</v>
      </c>
      <c r="F553" s="35">
        <v>1274</v>
      </c>
      <c r="G553" s="35">
        <v>50</v>
      </c>
      <c r="H553" s="43">
        <v>600</v>
      </c>
      <c r="I553" s="35">
        <v>695</v>
      </c>
      <c r="J553" s="35">
        <v>0</v>
      </c>
      <c r="K553" s="36"/>
      <c r="L553" s="36"/>
      <c r="M553" s="36"/>
      <c r="N553" s="36"/>
      <c r="O553" s="36"/>
      <c r="P553" s="36"/>
      <c r="Q553" s="36"/>
      <c r="R553" s="36"/>
      <c r="S553" s="36"/>
      <c r="T553" s="36"/>
    </row>
    <row r="554" spans="1:20" ht="15.75">
      <c r="A554" s="13">
        <v>58379</v>
      </c>
      <c r="B554" s="44">
        <v>31</v>
      </c>
      <c r="C554" s="35">
        <v>131.881</v>
      </c>
      <c r="D554" s="35">
        <v>277.16699999999997</v>
      </c>
      <c r="E554" s="41">
        <v>829.952</v>
      </c>
      <c r="F554" s="35">
        <v>1239</v>
      </c>
      <c r="G554" s="35">
        <v>75</v>
      </c>
      <c r="H554" s="43">
        <v>600</v>
      </c>
      <c r="I554" s="35">
        <v>695</v>
      </c>
      <c r="J554" s="35">
        <v>0</v>
      </c>
      <c r="K554" s="36"/>
      <c r="L554" s="36"/>
      <c r="M554" s="36"/>
      <c r="N554" s="36"/>
      <c r="O554" s="36"/>
      <c r="P554" s="36"/>
      <c r="Q554" s="36"/>
      <c r="R554" s="36"/>
      <c r="S554" s="36"/>
      <c r="T554" s="36"/>
    </row>
    <row r="555" spans="1:20" ht="15.75">
      <c r="A555" s="13">
        <v>58409</v>
      </c>
      <c r="B555" s="44">
        <v>30</v>
      </c>
      <c r="C555" s="35">
        <v>122.58</v>
      </c>
      <c r="D555" s="35">
        <v>297.94099999999997</v>
      </c>
      <c r="E555" s="41">
        <v>729.47900000000004</v>
      </c>
      <c r="F555" s="35">
        <v>1150</v>
      </c>
      <c r="G555" s="35">
        <v>100</v>
      </c>
      <c r="H555" s="43">
        <v>600</v>
      </c>
      <c r="I555" s="35">
        <v>695</v>
      </c>
      <c r="J555" s="35">
        <v>50</v>
      </c>
      <c r="K555" s="36"/>
      <c r="L555" s="36"/>
      <c r="M555" s="36"/>
      <c r="N555" s="36"/>
      <c r="O555" s="36"/>
      <c r="P555" s="36"/>
      <c r="Q555" s="36"/>
      <c r="R555" s="36"/>
      <c r="S555" s="36"/>
      <c r="T555" s="36"/>
    </row>
    <row r="556" spans="1:20" ht="15.75">
      <c r="A556" s="13">
        <v>58440</v>
      </c>
      <c r="B556" s="44">
        <v>31</v>
      </c>
      <c r="C556" s="35">
        <v>122.58</v>
      </c>
      <c r="D556" s="35">
        <v>297.94099999999997</v>
      </c>
      <c r="E556" s="41">
        <v>729.47900000000004</v>
      </c>
      <c r="F556" s="35">
        <v>1150</v>
      </c>
      <c r="G556" s="35">
        <v>100</v>
      </c>
      <c r="H556" s="43">
        <v>600</v>
      </c>
      <c r="I556" s="35">
        <v>695</v>
      </c>
      <c r="J556" s="35">
        <v>50</v>
      </c>
      <c r="K556" s="36"/>
      <c r="L556" s="36"/>
      <c r="M556" s="36"/>
      <c r="N556" s="36"/>
      <c r="O556" s="36"/>
      <c r="P556" s="36"/>
      <c r="Q556" s="36"/>
      <c r="R556" s="36"/>
      <c r="S556" s="36"/>
      <c r="T556" s="36"/>
    </row>
    <row r="557" spans="1:20" ht="15.75">
      <c r="A557" s="13">
        <v>58471</v>
      </c>
      <c r="B557" s="44">
        <v>31</v>
      </c>
      <c r="C557" s="35">
        <v>122.58</v>
      </c>
      <c r="D557" s="35">
        <v>297.94099999999997</v>
      </c>
      <c r="E557" s="41">
        <v>729.47900000000004</v>
      </c>
      <c r="F557" s="35">
        <v>1150</v>
      </c>
      <c r="G557" s="35">
        <v>100</v>
      </c>
      <c r="H557" s="43">
        <v>600</v>
      </c>
      <c r="I557" s="35">
        <v>695</v>
      </c>
      <c r="J557" s="35">
        <v>50</v>
      </c>
      <c r="K557" s="36"/>
      <c r="L557" s="36"/>
      <c r="M557" s="36"/>
      <c r="N557" s="36"/>
      <c r="O557" s="36"/>
      <c r="P557" s="36"/>
      <c r="Q557" s="36"/>
      <c r="R557" s="36"/>
      <c r="S557" s="36"/>
      <c r="T557" s="36"/>
    </row>
    <row r="558" spans="1:20" ht="15.75">
      <c r="A558" s="13">
        <v>58499</v>
      </c>
      <c r="B558" s="44">
        <v>29</v>
      </c>
      <c r="C558" s="35">
        <v>122.58</v>
      </c>
      <c r="D558" s="35">
        <v>297.94099999999997</v>
      </c>
      <c r="E558" s="41">
        <v>729.47900000000004</v>
      </c>
      <c r="F558" s="35">
        <v>1150</v>
      </c>
      <c r="G558" s="35">
        <v>100</v>
      </c>
      <c r="H558" s="43">
        <v>600</v>
      </c>
      <c r="I558" s="35">
        <v>695</v>
      </c>
      <c r="J558" s="35">
        <v>50</v>
      </c>
      <c r="K558" s="36"/>
      <c r="L558" s="36"/>
      <c r="M558" s="36"/>
      <c r="N558" s="36"/>
      <c r="O558" s="36"/>
      <c r="P558" s="36"/>
      <c r="Q558" s="36"/>
      <c r="R558" s="36"/>
      <c r="S558" s="36"/>
      <c r="T558" s="36"/>
    </row>
    <row r="559" spans="1:20" ht="15.75">
      <c r="A559" s="13">
        <v>58531</v>
      </c>
      <c r="B559" s="44">
        <v>31</v>
      </c>
      <c r="C559" s="35">
        <v>122.58</v>
      </c>
      <c r="D559" s="35">
        <v>297.94099999999997</v>
      </c>
      <c r="E559" s="41">
        <v>729.47900000000004</v>
      </c>
      <c r="F559" s="35">
        <v>1150</v>
      </c>
      <c r="G559" s="35">
        <v>100</v>
      </c>
      <c r="H559" s="43">
        <v>600</v>
      </c>
      <c r="I559" s="35">
        <v>695</v>
      </c>
      <c r="J559" s="35">
        <v>50</v>
      </c>
      <c r="K559" s="36"/>
      <c r="L559" s="36"/>
      <c r="M559" s="36"/>
      <c r="N559" s="36"/>
      <c r="O559" s="36"/>
      <c r="P559" s="36"/>
      <c r="Q559" s="36"/>
      <c r="R559" s="36"/>
      <c r="S559" s="36"/>
      <c r="T559" s="36"/>
    </row>
    <row r="560" spans="1:20" ht="15.75">
      <c r="A560" s="13">
        <v>58561</v>
      </c>
      <c r="B560" s="44">
        <v>30</v>
      </c>
      <c r="C560" s="35">
        <v>141.29300000000001</v>
      </c>
      <c r="D560" s="35">
        <v>267.99299999999999</v>
      </c>
      <c r="E560" s="41">
        <v>829.71400000000006</v>
      </c>
      <c r="F560" s="35">
        <v>1239</v>
      </c>
      <c r="G560" s="35">
        <v>100</v>
      </c>
      <c r="H560" s="43">
        <v>600</v>
      </c>
      <c r="I560" s="35">
        <v>695</v>
      </c>
      <c r="J560" s="35">
        <v>50</v>
      </c>
      <c r="K560" s="36"/>
      <c r="L560" s="36"/>
      <c r="M560" s="36"/>
      <c r="N560" s="36"/>
      <c r="O560" s="36"/>
      <c r="P560" s="36"/>
      <c r="Q560" s="36"/>
      <c r="R560" s="36"/>
      <c r="S560" s="36"/>
      <c r="T560" s="36"/>
    </row>
    <row r="561" spans="1:20" ht="15.75">
      <c r="A561" s="13">
        <v>58592</v>
      </c>
      <c r="B561" s="44">
        <v>31</v>
      </c>
      <c r="C561" s="35">
        <v>194.20500000000001</v>
      </c>
      <c r="D561" s="35">
        <v>267.46600000000001</v>
      </c>
      <c r="E561" s="41">
        <v>812.32899999999995</v>
      </c>
      <c r="F561" s="35">
        <v>1274</v>
      </c>
      <c r="G561" s="35">
        <v>75</v>
      </c>
      <c r="H561" s="43">
        <v>600</v>
      </c>
      <c r="I561" s="35">
        <v>695</v>
      </c>
      <c r="J561" s="35">
        <v>50</v>
      </c>
      <c r="K561" s="36"/>
      <c r="L561" s="36"/>
      <c r="M561" s="36"/>
      <c r="N561" s="36"/>
      <c r="O561" s="36"/>
      <c r="P561" s="36"/>
      <c r="Q561" s="36"/>
      <c r="R561" s="36"/>
      <c r="S561" s="36"/>
      <c r="T561" s="36"/>
    </row>
    <row r="562" spans="1:20" ht="15.75">
      <c r="A562" s="13">
        <v>58622</v>
      </c>
      <c r="B562" s="44">
        <v>30</v>
      </c>
      <c r="C562" s="35">
        <v>194.20500000000001</v>
      </c>
      <c r="D562" s="35">
        <v>267.46600000000001</v>
      </c>
      <c r="E562" s="41">
        <v>812.32899999999995</v>
      </c>
      <c r="F562" s="35">
        <v>1274</v>
      </c>
      <c r="G562" s="35">
        <v>50</v>
      </c>
      <c r="H562" s="43">
        <v>600</v>
      </c>
      <c r="I562" s="35">
        <v>695</v>
      </c>
      <c r="J562" s="35">
        <v>50</v>
      </c>
      <c r="K562" s="36"/>
      <c r="L562" s="36"/>
      <c r="M562" s="36"/>
      <c r="N562" s="36"/>
      <c r="O562" s="36"/>
      <c r="P562" s="36"/>
      <c r="Q562" s="36"/>
      <c r="R562" s="36"/>
      <c r="S562" s="36"/>
      <c r="T562" s="36"/>
    </row>
    <row r="563" spans="1:20" ht="15.75">
      <c r="A563" s="13">
        <v>58653</v>
      </c>
      <c r="B563" s="44">
        <v>31</v>
      </c>
      <c r="C563" s="35">
        <v>194.20500000000001</v>
      </c>
      <c r="D563" s="35">
        <v>267.46600000000001</v>
      </c>
      <c r="E563" s="41">
        <v>812.32899999999995</v>
      </c>
      <c r="F563" s="35">
        <v>1274</v>
      </c>
      <c r="G563" s="35">
        <v>50</v>
      </c>
      <c r="H563" s="43">
        <v>600</v>
      </c>
      <c r="I563" s="35">
        <v>695</v>
      </c>
      <c r="J563" s="35">
        <v>0</v>
      </c>
      <c r="K563" s="36"/>
      <c r="L563" s="36"/>
      <c r="M563" s="36"/>
      <c r="N563" s="36"/>
      <c r="O563" s="36"/>
      <c r="P563" s="36"/>
      <c r="Q563" s="36"/>
      <c r="R563" s="36"/>
      <c r="S563" s="36"/>
      <c r="T563" s="36"/>
    </row>
    <row r="564" spans="1:20" ht="15.75">
      <c r="A564" s="13">
        <v>58684</v>
      </c>
      <c r="B564" s="44">
        <v>31</v>
      </c>
      <c r="C564" s="35">
        <v>194.20500000000001</v>
      </c>
      <c r="D564" s="35">
        <v>267.46600000000001</v>
      </c>
      <c r="E564" s="41">
        <v>812.32899999999995</v>
      </c>
      <c r="F564" s="35">
        <v>1274</v>
      </c>
      <c r="G564" s="35">
        <v>50</v>
      </c>
      <c r="H564" s="43">
        <v>600</v>
      </c>
      <c r="I564" s="35">
        <v>695</v>
      </c>
      <c r="J564" s="35">
        <v>0</v>
      </c>
      <c r="K564" s="36"/>
      <c r="L564" s="36"/>
      <c r="M564" s="36"/>
      <c r="N564" s="36"/>
      <c r="O564" s="36"/>
      <c r="P564" s="36"/>
      <c r="Q564" s="36"/>
      <c r="R564" s="36"/>
      <c r="S564" s="36"/>
      <c r="T564" s="36"/>
    </row>
    <row r="565" spans="1:20" ht="15.75">
      <c r="A565" s="13">
        <v>58714</v>
      </c>
      <c r="B565" s="44">
        <v>30</v>
      </c>
      <c r="C565" s="35">
        <v>194.20500000000001</v>
      </c>
      <c r="D565" s="35">
        <v>267.46600000000001</v>
      </c>
      <c r="E565" s="41">
        <v>812.32899999999995</v>
      </c>
      <c r="F565" s="35">
        <v>1274</v>
      </c>
      <c r="G565" s="35">
        <v>50</v>
      </c>
      <c r="H565" s="43">
        <v>600</v>
      </c>
      <c r="I565" s="35">
        <v>695</v>
      </c>
      <c r="J565" s="35">
        <v>0</v>
      </c>
      <c r="K565" s="36"/>
      <c r="L565" s="36"/>
      <c r="M565" s="36"/>
      <c r="N565" s="36"/>
      <c r="O565" s="36"/>
      <c r="P565" s="36"/>
      <c r="Q565" s="36"/>
      <c r="R565" s="36"/>
      <c r="S565" s="36"/>
      <c r="T565" s="36"/>
    </row>
    <row r="566" spans="1:20" ht="15.75">
      <c r="A566" s="13">
        <v>58745</v>
      </c>
      <c r="B566" s="44">
        <v>31</v>
      </c>
      <c r="C566" s="35">
        <v>131.881</v>
      </c>
      <c r="D566" s="35">
        <v>277.16699999999997</v>
      </c>
      <c r="E566" s="41">
        <v>829.952</v>
      </c>
      <c r="F566" s="35">
        <v>1239</v>
      </c>
      <c r="G566" s="35">
        <v>75</v>
      </c>
      <c r="H566" s="43">
        <v>600</v>
      </c>
      <c r="I566" s="35">
        <v>695</v>
      </c>
      <c r="J566" s="35">
        <v>0</v>
      </c>
      <c r="K566" s="36"/>
      <c r="L566" s="36"/>
      <c r="M566" s="36"/>
      <c r="N566" s="36"/>
      <c r="O566" s="36"/>
      <c r="P566" s="36"/>
      <c r="Q566" s="36"/>
      <c r="R566" s="36"/>
      <c r="S566" s="36"/>
      <c r="T566" s="36"/>
    </row>
    <row r="567" spans="1:20" ht="15.75">
      <c r="A567" s="13">
        <v>58775</v>
      </c>
      <c r="B567" s="44">
        <v>30</v>
      </c>
      <c r="C567" s="35">
        <v>122.58</v>
      </c>
      <c r="D567" s="35">
        <v>297.94099999999997</v>
      </c>
      <c r="E567" s="41">
        <v>729.47900000000004</v>
      </c>
      <c r="F567" s="35">
        <v>1150</v>
      </c>
      <c r="G567" s="35">
        <v>100</v>
      </c>
      <c r="H567" s="43">
        <v>600</v>
      </c>
      <c r="I567" s="35">
        <v>695</v>
      </c>
      <c r="J567" s="35">
        <v>50</v>
      </c>
      <c r="K567" s="36"/>
      <c r="L567" s="36"/>
      <c r="M567" s="36"/>
      <c r="N567" s="36"/>
      <c r="O567" s="36"/>
      <c r="P567" s="36"/>
      <c r="Q567" s="36"/>
      <c r="R567" s="36"/>
      <c r="S567" s="36"/>
      <c r="T567" s="36"/>
    </row>
    <row r="568" spans="1:20" ht="15.75">
      <c r="A568" s="13">
        <v>58806</v>
      </c>
      <c r="B568" s="44">
        <v>31</v>
      </c>
      <c r="C568" s="35">
        <v>122.58</v>
      </c>
      <c r="D568" s="35">
        <v>297.94099999999997</v>
      </c>
      <c r="E568" s="41">
        <v>729.47900000000004</v>
      </c>
      <c r="F568" s="35">
        <v>1150</v>
      </c>
      <c r="G568" s="35">
        <v>100</v>
      </c>
      <c r="H568" s="43">
        <v>600</v>
      </c>
      <c r="I568" s="35">
        <v>695</v>
      </c>
      <c r="J568" s="35">
        <v>50</v>
      </c>
      <c r="K568" s="36"/>
      <c r="L568" s="36"/>
      <c r="M568" s="36"/>
      <c r="N568" s="36"/>
      <c r="O568" s="36"/>
      <c r="P568" s="36"/>
      <c r="Q568" s="36"/>
      <c r="R568" s="36"/>
      <c r="S568" s="36"/>
      <c r="T568" s="36"/>
    </row>
    <row r="569" spans="1:20" ht="15.75">
      <c r="A569" s="13">
        <v>58837</v>
      </c>
      <c r="B569" s="44">
        <v>31</v>
      </c>
      <c r="C569" s="35">
        <v>122.58</v>
      </c>
      <c r="D569" s="35">
        <v>297.94099999999997</v>
      </c>
      <c r="E569" s="41">
        <v>729.47900000000004</v>
      </c>
      <c r="F569" s="35">
        <v>1150</v>
      </c>
      <c r="G569" s="35">
        <v>100</v>
      </c>
      <c r="H569" s="43">
        <v>600</v>
      </c>
      <c r="I569" s="35">
        <v>695</v>
      </c>
      <c r="J569" s="35">
        <v>50</v>
      </c>
      <c r="K569" s="36"/>
      <c r="L569" s="36"/>
      <c r="M569" s="36"/>
      <c r="N569" s="36"/>
      <c r="O569" s="36"/>
      <c r="P569" s="36"/>
      <c r="Q569" s="36"/>
      <c r="R569" s="36"/>
      <c r="S569" s="36"/>
      <c r="T569" s="36"/>
    </row>
    <row r="570" spans="1:20" ht="15.75">
      <c r="A570" s="13">
        <v>58865</v>
      </c>
      <c r="B570" s="44">
        <v>28</v>
      </c>
      <c r="C570" s="35">
        <v>122.58</v>
      </c>
      <c r="D570" s="35">
        <v>297.94099999999997</v>
      </c>
      <c r="E570" s="41">
        <v>729.47900000000004</v>
      </c>
      <c r="F570" s="35">
        <v>1150</v>
      </c>
      <c r="G570" s="35">
        <v>100</v>
      </c>
      <c r="H570" s="43">
        <v>600</v>
      </c>
      <c r="I570" s="35">
        <v>695</v>
      </c>
      <c r="J570" s="35">
        <v>50</v>
      </c>
      <c r="K570" s="36"/>
      <c r="L570" s="36"/>
      <c r="M570" s="36"/>
      <c r="N570" s="36"/>
      <c r="O570" s="36"/>
      <c r="P570" s="36"/>
      <c r="Q570" s="36"/>
      <c r="R570" s="36"/>
      <c r="S570" s="36"/>
      <c r="T570" s="36"/>
    </row>
    <row r="571" spans="1:20" ht="15.75">
      <c r="A571" s="13">
        <v>58893</v>
      </c>
      <c r="B571" s="44">
        <v>31</v>
      </c>
      <c r="C571" s="35">
        <v>122.58</v>
      </c>
      <c r="D571" s="35">
        <v>297.94099999999997</v>
      </c>
      <c r="E571" s="41">
        <v>729.47900000000004</v>
      </c>
      <c r="F571" s="35">
        <v>1150</v>
      </c>
      <c r="G571" s="35">
        <v>100</v>
      </c>
      <c r="H571" s="43">
        <v>600</v>
      </c>
      <c r="I571" s="35">
        <v>695</v>
      </c>
      <c r="J571" s="35">
        <v>50</v>
      </c>
      <c r="K571" s="36"/>
      <c r="L571" s="36"/>
      <c r="M571" s="36"/>
      <c r="N571" s="36"/>
      <c r="O571" s="36"/>
      <c r="P571" s="36"/>
      <c r="Q571" s="36"/>
      <c r="R571" s="36"/>
      <c r="S571" s="36"/>
      <c r="T571" s="36"/>
    </row>
    <row r="572" spans="1:20" ht="15.75">
      <c r="A572" s="13">
        <v>58926</v>
      </c>
      <c r="B572" s="44">
        <v>30</v>
      </c>
      <c r="C572" s="35">
        <v>141.29300000000001</v>
      </c>
      <c r="D572" s="35">
        <v>267.99299999999999</v>
      </c>
      <c r="E572" s="41">
        <v>829.71400000000006</v>
      </c>
      <c r="F572" s="35">
        <v>1239</v>
      </c>
      <c r="G572" s="35">
        <v>100</v>
      </c>
      <c r="H572" s="43">
        <v>600</v>
      </c>
      <c r="I572" s="35">
        <v>695</v>
      </c>
      <c r="J572" s="35">
        <v>50</v>
      </c>
      <c r="K572" s="36"/>
      <c r="L572" s="36"/>
      <c r="M572" s="36"/>
      <c r="N572" s="36"/>
      <c r="O572" s="36"/>
      <c r="P572" s="36"/>
      <c r="Q572" s="36"/>
      <c r="R572" s="36"/>
      <c r="S572" s="36"/>
      <c r="T572" s="36"/>
    </row>
    <row r="573" spans="1:20" ht="15.75">
      <c r="A573" s="13">
        <v>58957</v>
      </c>
      <c r="B573" s="44">
        <v>31</v>
      </c>
      <c r="C573" s="35">
        <v>194.20500000000001</v>
      </c>
      <c r="D573" s="35">
        <v>267.46600000000001</v>
      </c>
      <c r="E573" s="41">
        <v>812.32899999999995</v>
      </c>
      <c r="F573" s="35">
        <v>1274</v>
      </c>
      <c r="G573" s="35">
        <v>75</v>
      </c>
      <c r="H573" s="43">
        <v>600</v>
      </c>
      <c r="I573" s="35">
        <v>695</v>
      </c>
      <c r="J573" s="35">
        <v>50</v>
      </c>
      <c r="K573" s="36"/>
      <c r="L573" s="36"/>
      <c r="M573" s="36"/>
      <c r="N573" s="36"/>
      <c r="O573" s="36"/>
      <c r="P573" s="36"/>
      <c r="Q573" s="36"/>
      <c r="R573" s="36"/>
      <c r="S573" s="36"/>
      <c r="T573" s="36"/>
    </row>
    <row r="574" spans="1:20" ht="15.75">
      <c r="A574" s="13">
        <v>58987</v>
      </c>
      <c r="B574" s="44">
        <v>30</v>
      </c>
      <c r="C574" s="35">
        <v>194.20500000000001</v>
      </c>
      <c r="D574" s="35">
        <v>267.46600000000001</v>
      </c>
      <c r="E574" s="41">
        <v>812.32899999999995</v>
      </c>
      <c r="F574" s="35">
        <v>1274</v>
      </c>
      <c r="G574" s="35">
        <v>50</v>
      </c>
      <c r="H574" s="43">
        <v>600</v>
      </c>
      <c r="I574" s="35">
        <v>695</v>
      </c>
      <c r="J574" s="35">
        <v>50</v>
      </c>
      <c r="K574" s="36"/>
      <c r="L574" s="36"/>
      <c r="M574" s="36"/>
      <c r="N574" s="36"/>
      <c r="O574" s="36"/>
      <c r="P574" s="36"/>
      <c r="Q574" s="36"/>
      <c r="R574" s="36"/>
      <c r="S574" s="36"/>
      <c r="T574" s="36"/>
    </row>
    <row r="575" spans="1:20" ht="15.75">
      <c r="A575" s="13">
        <v>59018</v>
      </c>
      <c r="B575" s="44">
        <v>31</v>
      </c>
      <c r="C575" s="35">
        <v>194.20500000000001</v>
      </c>
      <c r="D575" s="35">
        <v>267.46600000000001</v>
      </c>
      <c r="E575" s="41">
        <v>812.32899999999995</v>
      </c>
      <c r="F575" s="35">
        <v>1274</v>
      </c>
      <c r="G575" s="35">
        <v>50</v>
      </c>
      <c r="H575" s="43">
        <v>600</v>
      </c>
      <c r="I575" s="35">
        <v>695</v>
      </c>
      <c r="J575" s="35">
        <v>0</v>
      </c>
      <c r="K575" s="36"/>
      <c r="L575" s="36"/>
      <c r="M575" s="36"/>
      <c r="N575" s="36"/>
      <c r="O575" s="36"/>
      <c r="P575" s="36"/>
      <c r="Q575" s="36"/>
      <c r="R575" s="36"/>
      <c r="S575" s="36"/>
      <c r="T575" s="36"/>
    </row>
    <row r="576" spans="1:20" ht="15.75">
      <c r="A576" s="13">
        <v>59049</v>
      </c>
      <c r="B576" s="44">
        <v>31</v>
      </c>
      <c r="C576" s="35">
        <v>194.20500000000001</v>
      </c>
      <c r="D576" s="35">
        <v>267.46600000000001</v>
      </c>
      <c r="E576" s="41">
        <v>812.32899999999995</v>
      </c>
      <c r="F576" s="35">
        <v>1274</v>
      </c>
      <c r="G576" s="35">
        <v>50</v>
      </c>
      <c r="H576" s="43">
        <v>600</v>
      </c>
      <c r="I576" s="35">
        <v>695</v>
      </c>
      <c r="J576" s="35">
        <v>0</v>
      </c>
      <c r="K576" s="36"/>
      <c r="L576" s="36"/>
      <c r="M576" s="36"/>
      <c r="N576" s="36"/>
      <c r="O576" s="36"/>
      <c r="P576" s="36"/>
      <c r="Q576" s="36"/>
      <c r="R576" s="36"/>
      <c r="S576" s="36"/>
      <c r="T576" s="36"/>
    </row>
    <row r="577" spans="1:20" ht="15.75">
      <c r="A577" s="13">
        <v>59079</v>
      </c>
      <c r="B577" s="44">
        <v>30</v>
      </c>
      <c r="C577" s="35">
        <v>194.20500000000001</v>
      </c>
      <c r="D577" s="35">
        <v>267.46600000000001</v>
      </c>
      <c r="E577" s="41">
        <v>812.32899999999995</v>
      </c>
      <c r="F577" s="35">
        <v>1274</v>
      </c>
      <c r="G577" s="35">
        <v>50</v>
      </c>
      <c r="H577" s="43">
        <v>600</v>
      </c>
      <c r="I577" s="35">
        <v>695</v>
      </c>
      <c r="J577" s="35">
        <v>0</v>
      </c>
      <c r="K577" s="36"/>
      <c r="L577" s="36"/>
      <c r="M577" s="36"/>
      <c r="N577" s="36"/>
      <c r="O577" s="36"/>
      <c r="P577" s="36"/>
      <c r="Q577" s="36"/>
      <c r="R577" s="36"/>
      <c r="S577" s="36"/>
      <c r="T577" s="36"/>
    </row>
    <row r="578" spans="1:20" ht="15.75">
      <c r="A578" s="13">
        <v>59110</v>
      </c>
      <c r="B578" s="44">
        <v>31</v>
      </c>
      <c r="C578" s="35">
        <v>131.881</v>
      </c>
      <c r="D578" s="35">
        <v>277.16699999999997</v>
      </c>
      <c r="E578" s="41">
        <v>829.952</v>
      </c>
      <c r="F578" s="35">
        <v>1239</v>
      </c>
      <c r="G578" s="35">
        <v>75</v>
      </c>
      <c r="H578" s="43">
        <v>600</v>
      </c>
      <c r="I578" s="35">
        <v>695</v>
      </c>
      <c r="J578" s="35">
        <v>0</v>
      </c>
      <c r="K578" s="36"/>
      <c r="L578" s="36"/>
      <c r="M578" s="36"/>
      <c r="N578" s="36"/>
      <c r="O578" s="36"/>
      <c r="P578" s="36"/>
      <c r="Q578" s="36"/>
      <c r="R578" s="36"/>
      <c r="S578" s="36"/>
      <c r="T578" s="36"/>
    </row>
    <row r="579" spans="1:20" ht="15.75">
      <c r="A579" s="13">
        <v>59140</v>
      </c>
      <c r="B579" s="44">
        <v>30</v>
      </c>
      <c r="C579" s="35">
        <v>122.58</v>
      </c>
      <c r="D579" s="35">
        <v>297.94099999999997</v>
      </c>
      <c r="E579" s="41">
        <v>729.47900000000004</v>
      </c>
      <c r="F579" s="35">
        <v>1150</v>
      </c>
      <c r="G579" s="35">
        <v>100</v>
      </c>
      <c r="H579" s="43">
        <v>600</v>
      </c>
      <c r="I579" s="35">
        <v>695</v>
      </c>
      <c r="J579" s="35">
        <v>50</v>
      </c>
      <c r="K579" s="36"/>
      <c r="L579" s="36"/>
      <c r="M579" s="36"/>
      <c r="N579" s="36"/>
      <c r="O579" s="36"/>
      <c r="P579" s="36"/>
      <c r="Q579" s="36"/>
      <c r="R579" s="36"/>
      <c r="S579" s="36"/>
      <c r="T579" s="36"/>
    </row>
    <row r="580" spans="1:20" ht="15.75">
      <c r="A580" s="13">
        <v>59171</v>
      </c>
      <c r="B580" s="44">
        <v>31</v>
      </c>
      <c r="C580" s="35">
        <v>122.58</v>
      </c>
      <c r="D580" s="35">
        <v>297.94099999999997</v>
      </c>
      <c r="E580" s="41">
        <v>729.47900000000004</v>
      </c>
      <c r="F580" s="35">
        <v>1150</v>
      </c>
      <c r="G580" s="35">
        <v>100</v>
      </c>
      <c r="H580" s="43">
        <v>600</v>
      </c>
      <c r="I580" s="35">
        <v>695</v>
      </c>
      <c r="J580" s="35">
        <v>50</v>
      </c>
      <c r="K580" s="36"/>
      <c r="L580" s="36"/>
      <c r="M580" s="36"/>
      <c r="N580" s="36"/>
      <c r="O580" s="36"/>
      <c r="P580" s="36"/>
      <c r="Q580" s="36"/>
      <c r="R580" s="36"/>
      <c r="S580" s="36"/>
      <c r="T580" s="36"/>
    </row>
    <row r="581" spans="1:20" ht="15.75">
      <c r="A581" s="13">
        <v>59202</v>
      </c>
      <c r="B581" s="44">
        <f t="shared" ref="B581:B644" si="0">EOMONTH(A581,0)-EOMONTH(A581,-1)</f>
        <v>31</v>
      </c>
      <c r="C581" s="35">
        <v>122.58</v>
      </c>
      <c r="D581" s="35">
        <v>297.94099999999997</v>
      </c>
      <c r="E581" s="41">
        <v>729.47900000000004</v>
      </c>
      <c r="F581" s="35">
        <v>1150</v>
      </c>
      <c r="G581" s="35">
        <v>100</v>
      </c>
      <c r="H581" s="43">
        <v>600</v>
      </c>
      <c r="I581" s="35">
        <v>695</v>
      </c>
      <c r="J581" s="35">
        <v>50</v>
      </c>
      <c r="K581" s="36"/>
      <c r="L581" s="36"/>
      <c r="M581" s="36"/>
      <c r="N581" s="36"/>
      <c r="O581" s="36"/>
      <c r="P581" s="36"/>
      <c r="Q581" s="36"/>
      <c r="R581" s="36"/>
      <c r="S581" s="36"/>
      <c r="T581" s="36"/>
    </row>
    <row r="582" spans="1:20" ht="15.75">
      <c r="A582" s="13">
        <v>59230</v>
      </c>
      <c r="B582" s="44">
        <f t="shared" si="0"/>
        <v>28</v>
      </c>
      <c r="C582" s="35">
        <v>122.58</v>
      </c>
      <c r="D582" s="35">
        <v>297.94099999999997</v>
      </c>
      <c r="E582" s="41">
        <v>729.47900000000004</v>
      </c>
      <c r="F582" s="35">
        <v>1150</v>
      </c>
      <c r="G582" s="35">
        <v>100</v>
      </c>
      <c r="H582" s="43">
        <v>600</v>
      </c>
      <c r="I582" s="35">
        <v>695</v>
      </c>
      <c r="J582" s="35">
        <v>50</v>
      </c>
      <c r="K582" s="36"/>
      <c r="L582" s="36"/>
      <c r="M582" s="36"/>
      <c r="N582" s="36"/>
      <c r="O582" s="36"/>
      <c r="P582" s="36"/>
      <c r="Q582" s="36"/>
      <c r="R582" s="36"/>
      <c r="S582" s="36"/>
      <c r="T582" s="36"/>
    </row>
    <row r="583" spans="1:20" ht="15.75">
      <c r="A583" s="13">
        <v>59261</v>
      </c>
      <c r="B583" s="44">
        <f t="shared" si="0"/>
        <v>31</v>
      </c>
      <c r="C583" s="35">
        <v>122.58</v>
      </c>
      <c r="D583" s="35">
        <v>297.94099999999997</v>
      </c>
      <c r="E583" s="41">
        <v>729.47900000000004</v>
      </c>
      <c r="F583" s="35">
        <v>1150</v>
      </c>
      <c r="G583" s="35">
        <v>100</v>
      </c>
      <c r="H583" s="43">
        <v>600</v>
      </c>
      <c r="I583" s="35">
        <v>695</v>
      </c>
      <c r="J583" s="35">
        <v>50</v>
      </c>
      <c r="K583" s="36"/>
      <c r="L583" s="36"/>
      <c r="M583" s="36"/>
      <c r="N583" s="36"/>
      <c r="O583" s="36"/>
      <c r="P583" s="36"/>
      <c r="Q583" s="36"/>
      <c r="R583" s="36"/>
      <c r="S583" s="36"/>
      <c r="T583" s="36"/>
    </row>
    <row r="584" spans="1:20" ht="15.75">
      <c r="A584" s="13">
        <v>59291</v>
      </c>
      <c r="B584" s="44">
        <f t="shared" si="0"/>
        <v>30</v>
      </c>
      <c r="C584" s="35">
        <v>141.29300000000001</v>
      </c>
      <c r="D584" s="35">
        <v>267.99299999999999</v>
      </c>
      <c r="E584" s="41">
        <v>829.71400000000006</v>
      </c>
      <c r="F584" s="35">
        <v>1239</v>
      </c>
      <c r="G584" s="35">
        <v>100</v>
      </c>
      <c r="H584" s="43">
        <v>600</v>
      </c>
      <c r="I584" s="35">
        <v>695</v>
      </c>
      <c r="J584" s="35">
        <v>50</v>
      </c>
      <c r="K584" s="36"/>
      <c r="L584" s="36"/>
      <c r="M584" s="36"/>
      <c r="N584" s="36"/>
      <c r="O584" s="36"/>
      <c r="P584" s="36"/>
      <c r="Q584" s="36"/>
      <c r="R584" s="36"/>
      <c r="S584" s="36"/>
      <c r="T584" s="36"/>
    </row>
    <row r="585" spans="1:20" ht="15.75">
      <c r="A585" s="13">
        <v>59322</v>
      </c>
      <c r="B585" s="44">
        <f t="shared" si="0"/>
        <v>31</v>
      </c>
      <c r="C585" s="35">
        <v>194.20500000000001</v>
      </c>
      <c r="D585" s="35">
        <v>267.46600000000001</v>
      </c>
      <c r="E585" s="41">
        <v>812.32899999999995</v>
      </c>
      <c r="F585" s="35">
        <v>1274</v>
      </c>
      <c r="G585" s="35">
        <v>75</v>
      </c>
      <c r="H585" s="43">
        <v>600</v>
      </c>
      <c r="I585" s="35">
        <v>695</v>
      </c>
      <c r="J585" s="35">
        <v>50</v>
      </c>
      <c r="K585" s="36"/>
      <c r="L585" s="36"/>
      <c r="M585" s="36"/>
      <c r="N585" s="36"/>
      <c r="O585" s="36"/>
      <c r="P585" s="36"/>
      <c r="Q585" s="36"/>
      <c r="R585" s="36"/>
      <c r="S585" s="36"/>
      <c r="T585" s="36"/>
    </row>
    <row r="586" spans="1:20" ht="15.75">
      <c r="A586" s="13">
        <v>59352</v>
      </c>
      <c r="B586" s="44">
        <f t="shared" si="0"/>
        <v>30</v>
      </c>
      <c r="C586" s="35">
        <v>194.20500000000001</v>
      </c>
      <c r="D586" s="35">
        <v>267.46600000000001</v>
      </c>
      <c r="E586" s="41">
        <v>812.32899999999995</v>
      </c>
      <c r="F586" s="35">
        <v>1274</v>
      </c>
      <c r="G586" s="35">
        <v>50</v>
      </c>
      <c r="H586" s="43">
        <v>600</v>
      </c>
      <c r="I586" s="35">
        <v>695</v>
      </c>
      <c r="J586" s="35">
        <v>50</v>
      </c>
      <c r="K586" s="36"/>
      <c r="L586" s="36"/>
      <c r="M586" s="36"/>
      <c r="N586" s="36"/>
      <c r="O586" s="36"/>
      <c r="P586" s="36"/>
      <c r="Q586" s="36"/>
      <c r="R586" s="36"/>
      <c r="S586" s="36"/>
      <c r="T586" s="36"/>
    </row>
    <row r="587" spans="1:20" ht="15.75">
      <c r="A587" s="13">
        <v>59383</v>
      </c>
      <c r="B587" s="44">
        <f t="shared" si="0"/>
        <v>31</v>
      </c>
      <c r="C587" s="35">
        <v>194.20500000000001</v>
      </c>
      <c r="D587" s="35">
        <v>267.46600000000001</v>
      </c>
      <c r="E587" s="41">
        <v>812.32899999999995</v>
      </c>
      <c r="F587" s="35">
        <v>1274</v>
      </c>
      <c r="G587" s="35">
        <v>50</v>
      </c>
      <c r="H587" s="43">
        <v>600</v>
      </c>
      <c r="I587" s="35">
        <v>695</v>
      </c>
      <c r="J587" s="35">
        <v>0</v>
      </c>
      <c r="K587" s="36"/>
      <c r="L587" s="36"/>
      <c r="M587" s="36"/>
      <c r="N587" s="36"/>
      <c r="O587" s="36"/>
      <c r="P587" s="36"/>
      <c r="Q587" s="36"/>
      <c r="R587" s="36"/>
      <c r="S587" s="36"/>
      <c r="T587" s="36"/>
    </row>
    <row r="588" spans="1:20" ht="15.75">
      <c r="A588" s="13">
        <v>59414</v>
      </c>
      <c r="B588" s="44">
        <f t="shared" si="0"/>
        <v>31</v>
      </c>
      <c r="C588" s="35">
        <v>194.20500000000001</v>
      </c>
      <c r="D588" s="35">
        <v>267.46600000000001</v>
      </c>
      <c r="E588" s="41">
        <v>812.32899999999995</v>
      </c>
      <c r="F588" s="35">
        <v>1274</v>
      </c>
      <c r="G588" s="35">
        <v>50</v>
      </c>
      <c r="H588" s="43">
        <v>600</v>
      </c>
      <c r="I588" s="35">
        <v>695</v>
      </c>
      <c r="J588" s="35">
        <v>0</v>
      </c>
      <c r="K588" s="36"/>
      <c r="L588" s="36"/>
      <c r="M588" s="36"/>
      <c r="N588" s="36"/>
      <c r="O588" s="36"/>
      <c r="P588" s="36"/>
      <c r="Q588" s="36"/>
      <c r="R588" s="36"/>
      <c r="S588" s="36"/>
      <c r="T588" s="36"/>
    </row>
    <row r="589" spans="1:20" ht="15.75">
      <c r="A589" s="13">
        <v>59444</v>
      </c>
      <c r="B589" s="44">
        <f t="shared" si="0"/>
        <v>30</v>
      </c>
      <c r="C589" s="35">
        <v>194.20500000000001</v>
      </c>
      <c r="D589" s="35">
        <v>267.46600000000001</v>
      </c>
      <c r="E589" s="41">
        <v>812.32899999999995</v>
      </c>
      <c r="F589" s="35">
        <v>1274</v>
      </c>
      <c r="G589" s="35">
        <v>50</v>
      </c>
      <c r="H589" s="43">
        <v>600</v>
      </c>
      <c r="I589" s="35">
        <v>695</v>
      </c>
      <c r="J589" s="35">
        <v>0</v>
      </c>
      <c r="K589" s="36"/>
      <c r="L589" s="36"/>
      <c r="M589" s="36"/>
      <c r="N589" s="36"/>
      <c r="O589" s="36"/>
      <c r="P589" s="36"/>
      <c r="Q589" s="36"/>
      <c r="R589" s="36"/>
      <c r="S589" s="36"/>
      <c r="T589" s="36"/>
    </row>
    <row r="590" spans="1:20" ht="15.75">
      <c r="A590" s="13">
        <v>59475</v>
      </c>
      <c r="B590" s="44">
        <f t="shared" si="0"/>
        <v>31</v>
      </c>
      <c r="C590" s="35">
        <v>131.881</v>
      </c>
      <c r="D590" s="35">
        <v>277.16699999999997</v>
      </c>
      <c r="E590" s="41">
        <v>829.952</v>
      </c>
      <c r="F590" s="35">
        <v>1239</v>
      </c>
      <c r="G590" s="35">
        <v>75</v>
      </c>
      <c r="H590" s="43">
        <v>600</v>
      </c>
      <c r="I590" s="35">
        <v>695</v>
      </c>
      <c r="J590" s="35">
        <v>0</v>
      </c>
      <c r="K590" s="36"/>
      <c r="L590" s="36"/>
      <c r="M590" s="36"/>
      <c r="N590" s="36"/>
      <c r="O590" s="36"/>
      <c r="P590" s="36"/>
      <c r="Q590" s="36"/>
      <c r="R590" s="36"/>
      <c r="S590" s="36"/>
      <c r="T590" s="36"/>
    </row>
    <row r="591" spans="1:20" ht="15.75">
      <c r="A591" s="13">
        <v>59505</v>
      </c>
      <c r="B591" s="44">
        <f t="shared" si="0"/>
        <v>30</v>
      </c>
      <c r="C591" s="35">
        <v>122.58</v>
      </c>
      <c r="D591" s="35">
        <v>297.94099999999997</v>
      </c>
      <c r="E591" s="41">
        <v>729.47900000000004</v>
      </c>
      <c r="F591" s="35">
        <v>1150</v>
      </c>
      <c r="G591" s="35">
        <v>100</v>
      </c>
      <c r="H591" s="43">
        <v>600</v>
      </c>
      <c r="I591" s="35">
        <v>695</v>
      </c>
      <c r="J591" s="35">
        <v>50</v>
      </c>
      <c r="K591" s="36"/>
      <c r="L591" s="36"/>
      <c r="M591" s="36"/>
      <c r="N591" s="36"/>
      <c r="O591" s="36"/>
      <c r="P591" s="36"/>
      <c r="Q591" s="36"/>
      <c r="R591" s="36"/>
      <c r="S591" s="36"/>
      <c r="T591" s="36"/>
    </row>
    <row r="592" spans="1:20" ht="15.75">
      <c r="A592" s="13">
        <v>59536</v>
      </c>
      <c r="B592" s="44">
        <f t="shared" si="0"/>
        <v>31</v>
      </c>
      <c r="C592" s="35">
        <v>122.58</v>
      </c>
      <c r="D592" s="35">
        <v>297.94099999999997</v>
      </c>
      <c r="E592" s="41">
        <v>729.47900000000004</v>
      </c>
      <c r="F592" s="35">
        <v>1150</v>
      </c>
      <c r="G592" s="35">
        <v>100</v>
      </c>
      <c r="H592" s="43">
        <v>600</v>
      </c>
      <c r="I592" s="35">
        <v>695</v>
      </c>
      <c r="J592" s="35">
        <v>50</v>
      </c>
      <c r="K592" s="36"/>
      <c r="L592" s="36"/>
      <c r="M592" s="36"/>
      <c r="N592" s="36"/>
      <c r="O592" s="36"/>
      <c r="P592" s="36"/>
      <c r="Q592" s="36"/>
      <c r="R592" s="36"/>
      <c r="S592" s="36"/>
      <c r="T592" s="36"/>
    </row>
    <row r="593" spans="1:20" ht="15.75">
      <c r="A593" s="13">
        <v>59567</v>
      </c>
      <c r="B593" s="44">
        <f t="shared" si="0"/>
        <v>31</v>
      </c>
      <c r="C593" s="35">
        <v>122.58</v>
      </c>
      <c r="D593" s="35">
        <v>297.94099999999997</v>
      </c>
      <c r="E593" s="41">
        <v>729.47900000000004</v>
      </c>
      <c r="F593" s="35">
        <v>1150</v>
      </c>
      <c r="G593" s="35">
        <v>100</v>
      </c>
      <c r="H593" s="43">
        <v>600</v>
      </c>
      <c r="I593" s="35">
        <v>695</v>
      </c>
      <c r="J593" s="35">
        <v>50</v>
      </c>
      <c r="K593" s="36"/>
      <c r="L593" s="36"/>
      <c r="M593" s="36"/>
      <c r="N593" s="36"/>
      <c r="O593" s="36"/>
      <c r="P593" s="36"/>
      <c r="Q593" s="36"/>
      <c r="R593" s="36"/>
      <c r="S593" s="36"/>
      <c r="T593" s="36"/>
    </row>
    <row r="594" spans="1:20" ht="15.75">
      <c r="A594" s="13">
        <v>59595</v>
      </c>
      <c r="B594" s="44">
        <f t="shared" si="0"/>
        <v>28</v>
      </c>
      <c r="C594" s="35">
        <v>122.58</v>
      </c>
      <c r="D594" s="35">
        <v>297.94099999999997</v>
      </c>
      <c r="E594" s="41">
        <v>729.47900000000004</v>
      </c>
      <c r="F594" s="35">
        <v>1150</v>
      </c>
      <c r="G594" s="35">
        <v>100</v>
      </c>
      <c r="H594" s="43">
        <v>600</v>
      </c>
      <c r="I594" s="35">
        <v>695</v>
      </c>
      <c r="J594" s="35">
        <v>50</v>
      </c>
      <c r="K594" s="36"/>
      <c r="L594" s="36"/>
      <c r="M594" s="36"/>
      <c r="N594" s="36"/>
      <c r="O594" s="36"/>
      <c r="P594" s="36"/>
      <c r="Q594" s="36"/>
      <c r="R594" s="36"/>
      <c r="S594" s="36"/>
      <c r="T594" s="36"/>
    </row>
    <row r="595" spans="1:20" ht="15.75">
      <c r="A595" s="13">
        <v>59626</v>
      </c>
      <c r="B595" s="44">
        <f t="shared" si="0"/>
        <v>31</v>
      </c>
      <c r="C595" s="35">
        <v>122.58</v>
      </c>
      <c r="D595" s="35">
        <v>297.94099999999997</v>
      </c>
      <c r="E595" s="41">
        <v>729.47900000000004</v>
      </c>
      <c r="F595" s="35">
        <v>1150</v>
      </c>
      <c r="G595" s="35">
        <v>100</v>
      </c>
      <c r="H595" s="43">
        <v>600</v>
      </c>
      <c r="I595" s="35">
        <v>695</v>
      </c>
      <c r="J595" s="35">
        <v>50</v>
      </c>
      <c r="K595" s="36"/>
      <c r="L595" s="36"/>
      <c r="M595" s="36"/>
      <c r="N595" s="36"/>
      <c r="O595" s="36"/>
      <c r="P595" s="36"/>
      <c r="Q595" s="36"/>
      <c r="R595" s="36"/>
      <c r="S595" s="36"/>
      <c r="T595" s="36"/>
    </row>
    <row r="596" spans="1:20" ht="15.75">
      <c r="A596" s="13">
        <v>59656</v>
      </c>
      <c r="B596" s="44">
        <f t="shared" si="0"/>
        <v>30</v>
      </c>
      <c r="C596" s="35">
        <v>141.29300000000001</v>
      </c>
      <c r="D596" s="35">
        <v>267.99299999999999</v>
      </c>
      <c r="E596" s="41">
        <v>829.71400000000006</v>
      </c>
      <c r="F596" s="35">
        <v>1239</v>
      </c>
      <c r="G596" s="35">
        <v>100</v>
      </c>
      <c r="H596" s="43">
        <v>600</v>
      </c>
      <c r="I596" s="35">
        <v>695</v>
      </c>
      <c r="J596" s="35">
        <v>50</v>
      </c>
      <c r="K596" s="36"/>
      <c r="L596" s="36"/>
      <c r="M596" s="36"/>
      <c r="N596" s="36"/>
      <c r="O596" s="36"/>
      <c r="P596" s="36"/>
      <c r="Q596" s="36"/>
      <c r="R596" s="36"/>
      <c r="S596" s="36"/>
      <c r="T596" s="36"/>
    </row>
    <row r="597" spans="1:20" ht="15.75">
      <c r="A597" s="13">
        <v>59687</v>
      </c>
      <c r="B597" s="44">
        <f t="shared" si="0"/>
        <v>31</v>
      </c>
      <c r="C597" s="35">
        <v>194.20500000000001</v>
      </c>
      <c r="D597" s="35">
        <v>267.46600000000001</v>
      </c>
      <c r="E597" s="41">
        <v>812.32899999999995</v>
      </c>
      <c r="F597" s="35">
        <v>1274</v>
      </c>
      <c r="G597" s="35">
        <v>75</v>
      </c>
      <c r="H597" s="43">
        <v>600</v>
      </c>
      <c r="I597" s="35">
        <v>695</v>
      </c>
      <c r="J597" s="35">
        <v>50</v>
      </c>
      <c r="K597" s="36"/>
      <c r="L597" s="36"/>
      <c r="M597" s="36"/>
      <c r="N597" s="36"/>
      <c r="O597" s="36"/>
      <c r="P597" s="36"/>
      <c r="Q597" s="36"/>
      <c r="R597" s="36"/>
      <c r="S597" s="36"/>
      <c r="T597" s="36"/>
    </row>
    <row r="598" spans="1:20" ht="15.75">
      <c r="A598" s="13">
        <v>59717</v>
      </c>
      <c r="B598" s="44">
        <f t="shared" si="0"/>
        <v>30</v>
      </c>
      <c r="C598" s="35">
        <v>194.20500000000001</v>
      </c>
      <c r="D598" s="35">
        <v>267.46600000000001</v>
      </c>
      <c r="E598" s="41">
        <v>812.32899999999995</v>
      </c>
      <c r="F598" s="35">
        <v>1274</v>
      </c>
      <c r="G598" s="35">
        <v>50</v>
      </c>
      <c r="H598" s="43">
        <v>600</v>
      </c>
      <c r="I598" s="35">
        <v>695</v>
      </c>
      <c r="J598" s="35">
        <v>50</v>
      </c>
      <c r="K598" s="36"/>
      <c r="L598" s="36"/>
      <c r="M598" s="36"/>
      <c r="N598" s="36"/>
      <c r="O598" s="36"/>
      <c r="P598" s="36"/>
      <c r="Q598" s="36"/>
      <c r="R598" s="36"/>
      <c r="S598" s="36"/>
      <c r="T598" s="36"/>
    </row>
    <row r="599" spans="1:20" ht="15.75">
      <c r="A599" s="13">
        <v>59748</v>
      </c>
      <c r="B599" s="44">
        <f t="shared" si="0"/>
        <v>31</v>
      </c>
      <c r="C599" s="35">
        <v>194.20500000000001</v>
      </c>
      <c r="D599" s="35">
        <v>267.46600000000001</v>
      </c>
      <c r="E599" s="41">
        <v>812.32899999999995</v>
      </c>
      <c r="F599" s="35">
        <v>1274</v>
      </c>
      <c r="G599" s="35">
        <v>50</v>
      </c>
      <c r="H599" s="43">
        <v>600</v>
      </c>
      <c r="I599" s="35">
        <v>695</v>
      </c>
      <c r="J599" s="35">
        <v>0</v>
      </c>
      <c r="K599" s="36"/>
      <c r="L599" s="36"/>
      <c r="M599" s="36"/>
      <c r="N599" s="36"/>
      <c r="O599" s="36"/>
      <c r="P599" s="36"/>
      <c r="Q599" s="36"/>
      <c r="R599" s="36"/>
      <c r="S599" s="36"/>
      <c r="T599" s="36"/>
    </row>
    <row r="600" spans="1:20" ht="15.75">
      <c r="A600" s="13">
        <v>59779</v>
      </c>
      <c r="B600" s="44">
        <f t="shared" si="0"/>
        <v>31</v>
      </c>
      <c r="C600" s="35">
        <v>194.20500000000001</v>
      </c>
      <c r="D600" s="35">
        <v>267.46600000000001</v>
      </c>
      <c r="E600" s="41">
        <v>812.32899999999995</v>
      </c>
      <c r="F600" s="35">
        <v>1274</v>
      </c>
      <c r="G600" s="35">
        <v>50</v>
      </c>
      <c r="H600" s="43">
        <v>600</v>
      </c>
      <c r="I600" s="35">
        <v>695</v>
      </c>
      <c r="J600" s="35">
        <v>0</v>
      </c>
      <c r="K600" s="36"/>
      <c r="L600" s="36"/>
      <c r="M600" s="36"/>
      <c r="N600" s="36"/>
      <c r="O600" s="36"/>
      <c r="P600" s="36"/>
      <c r="Q600" s="36"/>
      <c r="R600" s="36"/>
      <c r="S600" s="36"/>
      <c r="T600" s="36"/>
    </row>
    <row r="601" spans="1:20" ht="15.75">
      <c r="A601" s="13">
        <v>59809</v>
      </c>
      <c r="B601" s="44">
        <f t="shared" si="0"/>
        <v>30</v>
      </c>
      <c r="C601" s="35">
        <v>194.20500000000001</v>
      </c>
      <c r="D601" s="35">
        <v>267.46600000000001</v>
      </c>
      <c r="E601" s="41">
        <v>812.32899999999995</v>
      </c>
      <c r="F601" s="35">
        <v>1274</v>
      </c>
      <c r="G601" s="35">
        <v>50</v>
      </c>
      <c r="H601" s="43">
        <v>600</v>
      </c>
      <c r="I601" s="35">
        <v>695</v>
      </c>
      <c r="J601" s="35">
        <v>0</v>
      </c>
      <c r="K601" s="36"/>
      <c r="L601" s="36"/>
      <c r="M601" s="36"/>
      <c r="N601" s="36"/>
      <c r="O601" s="36"/>
      <c r="P601" s="36"/>
      <c r="Q601" s="36"/>
      <c r="R601" s="36"/>
      <c r="S601" s="36"/>
      <c r="T601" s="36"/>
    </row>
    <row r="602" spans="1:20" ht="15.75">
      <c r="A602" s="13">
        <v>59840</v>
      </c>
      <c r="B602" s="44">
        <f t="shared" si="0"/>
        <v>31</v>
      </c>
      <c r="C602" s="35">
        <v>131.881</v>
      </c>
      <c r="D602" s="35">
        <v>277.16699999999997</v>
      </c>
      <c r="E602" s="41">
        <v>829.952</v>
      </c>
      <c r="F602" s="35">
        <v>1239</v>
      </c>
      <c r="G602" s="35">
        <v>75</v>
      </c>
      <c r="H602" s="43">
        <v>600</v>
      </c>
      <c r="I602" s="35">
        <v>695</v>
      </c>
      <c r="J602" s="35">
        <v>0</v>
      </c>
      <c r="K602" s="36"/>
      <c r="L602" s="36"/>
      <c r="M602" s="36"/>
      <c r="N602" s="36"/>
      <c r="O602" s="36"/>
      <c r="P602" s="36"/>
      <c r="Q602" s="36"/>
      <c r="R602" s="36"/>
      <c r="S602" s="36"/>
      <c r="T602" s="36"/>
    </row>
    <row r="603" spans="1:20" ht="15.75">
      <c r="A603" s="13">
        <v>59870</v>
      </c>
      <c r="B603" s="44">
        <f t="shared" si="0"/>
        <v>30</v>
      </c>
      <c r="C603" s="35">
        <v>122.58</v>
      </c>
      <c r="D603" s="35">
        <v>297.94099999999997</v>
      </c>
      <c r="E603" s="41">
        <v>729.47900000000004</v>
      </c>
      <c r="F603" s="35">
        <v>1150</v>
      </c>
      <c r="G603" s="35">
        <v>100</v>
      </c>
      <c r="H603" s="43">
        <v>600</v>
      </c>
      <c r="I603" s="35">
        <v>695</v>
      </c>
      <c r="J603" s="35">
        <v>50</v>
      </c>
      <c r="K603" s="36"/>
      <c r="L603" s="36"/>
      <c r="M603" s="36"/>
      <c r="N603" s="36"/>
      <c r="O603" s="36"/>
      <c r="P603" s="36"/>
      <c r="Q603" s="36"/>
      <c r="R603" s="36"/>
      <c r="S603" s="36"/>
      <c r="T603" s="36"/>
    </row>
    <row r="604" spans="1:20" ht="15.75">
      <c r="A604" s="13">
        <v>59901</v>
      </c>
      <c r="B604" s="44">
        <f t="shared" si="0"/>
        <v>31</v>
      </c>
      <c r="C604" s="35">
        <v>122.58</v>
      </c>
      <c r="D604" s="35">
        <v>297.94099999999997</v>
      </c>
      <c r="E604" s="41">
        <v>729.47900000000004</v>
      </c>
      <c r="F604" s="35">
        <v>1150</v>
      </c>
      <c r="G604" s="35">
        <v>100</v>
      </c>
      <c r="H604" s="43">
        <v>600</v>
      </c>
      <c r="I604" s="35">
        <v>695</v>
      </c>
      <c r="J604" s="35">
        <v>50</v>
      </c>
      <c r="K604" s="36"/>
      <c r="L604" s="36"/>
      <c r="M604" s="36"/>
      <c r="N604" s="36"/>
      <c r="O604" s="36"/>
      <c r="P604" s="36"/>
      <c r="Q604" s="36"/>
      <c r="R604" s="36"/>
      <c r="S604" s="36"/>
      <c r="T604" s="36"/>
    </row>
    <row r="605" spans="1:20" ht="15.75">
      <c r="A605" s="13">
        <v>59932</v>
      </c>
      <c r="B605" s="44">
        <f t="shared" si="0"/>
        <v>31</v>
      </c>
      <c r="C605" s="35">
        <v>122.58</v>
      </c>
      <c r="D605" s="35">
        <v>297.94099999999997</v>
      </c>
      <c r="E605" s="41">
        <v>729.47900000000004</v>
      </c>
      <c r="F605" s="35">
        <v>1150</v>
      </c>
      <c r="G605" s="35">
        <v>100</v>
      </c>
      <c r="H605" s="43">
        <v>600</v>
      </c>
      <c r="I605" s="35">
        <v>695</v>
      </c>
      <c r="J605" s="35">
        <v>50</v>
      </c>
      <c r="K605" s="36"/>
      <c r="L605" s="36"/>
      <c r="M605" s="36"/>
      <c r="N605" s="36"/>
      <c r="O605" s="36"/>
      <c r="P605" s="36"/>
      <c r="Q605" s="36"/>
      <c r="R605" s="36"/>
      <c r="S605" s="36"/>
      <c r="T605" s="36"/>
    </row>
    <row r="606" spans="1:20" ht="15.75">
      <c r="A606" s="13">
        <v>59961</v>
      </c>
      <c r="B606" s="44">
        <f t="shared" si="0"/>
        <v>29</v>
      </c>
      <c r="C606" s="35">
        <v>122.58</v>
      </c>
      <c r="D606" s="35">
        <v>297.94099999999997</v>
      </c>
      <c r="E606" s="41">
        <v>729.47900000000004</v>
      </c>
      <c r="F606" s="35">
        <v>1150</v>
      </c>
      <c r="G606" s="35">
        <v>100</v>
      </c>
      <c r="H606" s="43">
        <v>600</v>
      </c>
      <c r="I606" s="35">
        <v>695</v>
      </c>
      <c r="J606" s="35">
        <v>50</v>
      </c>
      <c r="K606" s="36"/>
      <c r="L606" s="36"/>
      <c r="M606" s="36"/>
      <c r="N606" s="36"/>
      <c r="O606" s="36"/>
      <c r="P606" s="36"/>
      <c r="Q606" s="36"/>
      <c r="R606" s="36"/>
      <c r="S606" s="36"/>
      <c r="T606" s="36"/>
    </row>
    <row r="607" spans="1:20" ht="15.75">
      <c r="A607" s="13">
        <v>59992</v>
      </c>
      <c r="B607" s="44">
        <f t="shared" si="0"/>
        <v>31</v>
      </c>
      <c r="C607" s="35">
        <v>122.58</v>
      </c>
      <c r="D607" s="35">
        <v>297.94099999999997</v>
      </c>
      <c r="E607" s="41">
        <v>729.47900000000004</v>
      </c>
      <c r="F607" s="35">
        <v>1150</v>
      </c>
      <c r="G607" s="35">
        <v>100</v>
      </c>
      <c r="H607" s="43">
        <v>600</v>
      </c>
      <c r="I607" s="35">
        <v>695</v>
      </c>
      <c r="J607" s="35">
        <v>50</v>
      </c>
      <c r="K607" s="36"/>
      <c r="L607" s="36"/>
      <c r="M607" s="36"/>
      <c r="N607" s="36"/>
      <c r="O607" s="36"/>
      <c r="P607" s="36"/>
      <c r="Q607" s="36"/>
      <c r="R607" s="36"/>
      <c r="S607" s="36"/>
      <c r="T607" s="36"/>
    </row>
    <row r="608" spans="1:20" ht="15.75">
      <c r="A608" s="13">
        <v>60022</v>
      </c>
      <c r="B608" s="44">
        <f t="shared" si="0"/>
        <v>30</v>
      </c>
      <c r="C608" s="35">
        <v>141.29300000000001</v>
      </c>
      <c r="D608" s="35">
        <v>267.99299999999999</v>
      </c>
      <c r="E608" s="41">
        <v>829.71400000000006</v>
      </c>
      <c r="F608" s="35">
        <v>1239</v>
      </c>
      <c r="G608" s="35">
        <v>100</v>
      </c>
      <c r="H608" s="43">
        <v>600</v>
      </c>
      <c r="I608" s="35">
        <v>695</v>
      </c>
      <c r="J608" s="35">
        <v>50</v>
      </c>
      <c r="K608" s="36"/>
      <c r="L608" s="36"/>
      <c r="M608" s="36"/>
      <c r="N608" s="36"/>
      <c r="O608" s="36"/>
      <c r="P608" s="36"/>
      <c r="Q608" s="36"/>
      <c r="R608" s="36"/>
      <c r="S608" s="36"/>
      <c r="T608" s="36"/>
    </row>
    <row r="609" spans="1:20" ht="15.75">
      <c r="A609" s="13">
        <v>60053</v>
      </c>
      <c r="B609" s="44">
        <f t="shared" si="0"/>
        <v>31</v>
      </c>
      <c r="C609" s="35">
        <v>194.20500000000001</v>
      </c>
      <c r="D609" s="35">
        <v>267.46600000000001</v>
      </c>
      <c r="E609" s="41">
        <v>812.32899999999995</v>
      </c>
      <c r="F609" s="35">
        <v>1274</v>
      </c>
      <c r="G609" s="35">
        <v>75</v>
      </c>
      <c r="H609" s="43">
        <v>600</v>
      </c>
      <c r="I609" s="35">
        <v>695</v>
      </c>
      <c r="J609" s="35">
        <v>50</v>
      </c>
      <c r="K609" s="36"/>
      <c r="L609" s="36"/>
      <c r="M609" s="36"/>
      <c r="N609" s="36"/>
      <c r="O609" s="36"/>
      <c r="P609" s="36"/>
      <c r="Q609" s="36"/>
      <c r="R609" s="36"/>
      <c r="S609" s="36"/>
      <c r="T609" s="36"/>
    </row>
    <row r="610" spans="1:20" ht="15.75">
      <c r="A610" s="13">
        <v>60083</v>
      </c>
      <c r="B610" s="44">
        <f t="shared" si="0"/>
        <v>30</v>
      </c>
      <c r="C610" s="35">
        <v>194.20500000000001</v>
      </c>
      <c r="D610" s="35">
        <v>267.46600000000001</v>
      </c>
      <c r="E610" s="41">
        <v>812.32899999999995</v>
      </c>
      <c r="F610" s="35">
        <v>1274</v>
      </c>
      <c r="G610" s="35">
        <v>50</v>
      </c>
      <c r="H610" s="43">
        <v>600</v>
      </c>
      <c r="I610" s="35">
        <v>695</v>
      </c>
      <c r="J610" s="35">
        <v>50</v>
      </c>
      <c r="K610" s="36"/>
      <c r="L610" s="36"/>
      <c r="M610" s="36"/>
      <c r="N610" s="36"/>
      <c r="O610" s="36"/>
      <c r="P610" s="36"/>
      <c r="Q610" s="36"/>
      <c r="R610" s="36"/>
      <c r="S610" s="36"/>
      <c r="T610" s="36"/>
    </row>
    <row r="611" spans="1:20" ht="15.75">
      <c r="A611" s="13">
        <v>60114</v>
      </c>
      <c r="B611" s="44">
        <f t="shared" si="0"/>
        <v>31</v>
      </c>
      <c r="C611" s="35">
        <v>194.20500000000001</v>
      </c>
      <c r="D611" s="35">
        <v>267.46600000000001</v>
      </c>
      <c r="E611" s="41">
        <v>812.32899999999995</v>
      </c>
      <c r="F611" s="35">
        <v>1274</v>
      </c>
      <c r="G611" s="35">
        <v>50</v>
      </c>
      <c r="H611" s="43">
        <v>600</v>
      </c>
      <c r="I611" s="35">
        <v>695</v>
      </c>
      <c r="J611" s="35">
        <v>0</v>
      </c>
      <c r="K611" s="36"/>
      <c r="L611" s="36"/>
      <c r="M611" s="36"/>
      <c r="N611" s="36"/>
      <c r="O611" s="36"/>
      <c r="P611" s="36"/>
      <c r="Q611" s="36"/>
      <c r="R611" s="36"/>
      <c r="S611" s="36"/>
      <c r="T611" s="36"/>
    </row>
    <row r="612" spans="1:20" ht="15.75">
      <c r="A612" s="13">
        <v>60145</v>
      </c>
      <c r="B612" s="44">
        <f t="shared" si="0"/>
        <v>31</v>
      </c>
      <c r="C612" s="35">
        <v>194.20500000000001</v>
      </c>
      <c r="D612" s="35">
        <v>267.46600000000001</v>
      </c>
      <c r="E612" s="41">
        <v>812.32899999999995</v>
      </c>
      <c r="F612" s="35">
        <v>1274</v>
      </c>
      <c r="G612" s="35">
        <v>50</v>
      </c>
      <c r="H612" s="43">
        <v>600</v>
      </c>
      <c r="I612" s="35">
        <v>695</v>
      </c>
      <c r="J612" s="35">
        <v>0</v>
      </c>
      <c r="K612" s="36"/>
      <c r="L612" s="36"/>
      <c r="M612" s="36"/>
      <c r="N612" s="36"/>
      <c r="O612" s="36"/>
      <c r="P612" s="36"/>
      <c r="Q612" s="36"/>
      <c r="R612" s="36"/>
      <c r="S612" s="36"/>
      <c r="T612" s="36"/>
    </row>
    <row r="613" spans="1:20" ht="15.75">
      <c r="A613" s="13">
        <v>60175</v>
      </c>
      <c r="B613" s="44">
        <f t="shared" si="0"/>
        <v>30</v>
      </c>
      <c r="C613" s="35">
        <v>194.20500000000001</v>
      </c>
      <c r="D613" s="35">
        <v>267.46600000000001</v>
      </c>
      <c r="E613" s="41">
        <v>812.32899999999995</v>
      </c>
      <c r="F613" s="35">
        <v>1274</v>
      </c>
      <c r="G613" s="35">
        <v>50</v>
      </c>
      <c r="H613" s="43">
        <v>600</v>
      </c>
      <c r="I613" s="35">
        <v>695</v>
      </c>
      <c r="J613" s="35">
        <v>0</v>
      </c>
      <c r="K613" s="36"/>
      <c r="L613" s="36"/>
      <c r="M613" s="36"/>
      <c r="N613" s="36"/>
      <c r="O613" s="36"/>
      <c r="P613" s="36"/>
      <c r="Q613" s="36"/>
      <c r="R613" s="36"/>
      <c r="S613" s="36"/>
      <c r="T613" s="36"/>
    </row>
    <row r="614" spans="1:20" ht="15.75">
      <c r="A614" s="13">
        <v>60206</v>
      </c>
      <c r="B614" s="44">
        <f t="shared" si="0"/>
        <v>31</v>
      </c>
      <c r="C614" s="35">
        <v>131.881</v>
      </c>
      <c r="D614" s="35">
        <v>277.16699999999997</v>
      </c>
      <c r="E614" s="41">
        <v>829.952</v>
      </c>
      <c r="F614" s="35">
        <v>1239</v>
      </c>
      <c r="G614" s="35">
        <v>75</v>
      </c>
      <c r="H614" s="43">
        <v>600</v>
      </c>
      <c r="I614" s="35">
        <v>695</v>
      </c>
      <c r="J614" s="35">
        <v>0</v>
      </c>
      <c r="K614" s="36"/>
      <c r="L614" s="36"/>
      <c r="M614" s="36"/>
      <c r="N614" s="36"/>
      <c r="O614" s="36"/>
      <c r="P614" s="36"/>
      <c r="Q614" s="36"/>
      <c r="R614" s="36"/>
      <c r="S614" s="36"/>
      <c r="T614" s="36"/>
    </row>
    <row r="615" spans="1:20" ht="15.75">
      <c r="A615" s="13">
        <v>60236</v>
      </c>
      <c r="B615" s="44">
        <f t="shared" si="0"/>
        <v>30</v>
      </c>
      <c r="C615" s="35">
        <v>122.58</v>
      </c>
      <c r="D615" s="35">
        <v>297.94099999999997</v>
      </c>
      <c r="E615" s="41">
        <v>729.47900000000004</v>
      </c>
      <c r="F615" s="35">
        <v>1150</v>
      </c>
      <c r="G615" s="35">
        <v>100</v>
      </c>
      <c r="H615" s="43">
        <v>600</v>
      </c>
      <c r="I615" s="35">
        <v>695</v>
      </c>
      <c r="J615" s="35">
        <v>50</v>
      </c>
      <c r="K615" s="36"/>
      <c r="L615" s="36"/>
      <c r="M615" s="36"/>
      <c r="N615" s="36"/>
      <c r="O615" s="36"/>
      <c r="P615" s="36"/>
      <c r="Q615" s="36"/>
      <c r="R615" s="36"/>
      <c r="S615" s="36"/>
      <c r="T615" s="36"/>
    </row>
    <row r="616" spans="1:20" ht="15.75">
      <c r="A616" s="13">
        <v>60267</v>
      </c>
      <c r="B616" s="44">
        <f t="shared" si="0"/>
        <v>31</v>
      </c>
      <c r="C616" s="35">
        <v>122.58</v>
      </c>
      <c r="D616" s="35">
        <v>297.94099999999997</v>
      </c>
      <c r="E616" s="41">
        <v>729.47900000000004</v>
      </c>
      <c r="F616" s="35">
        <v>1150</v>
      </c>
      <c r="G616" s="35">
        <v>100</v>
      </c>
      <c r="H616" s="43">
        <v>600</v>
      </c>
      <c r="I616" s="35">
        <v>695</v>
      </c>
      <c r="J616" s="35">
        <v>50</v>
      </c>
      <c r="K616" s="36"/>
      <c r="L616" s="36"/>
      <c r="M616" s="36"/>
      <c r="N616" s="36"/>
      <c r="O616" s="36"/>
      <c r="P616" s="36"/>
      <c r="Q616" s="36"/>
      <c r="R616" s="36"/>
      <c r="S616" s="36"/>
      <c r="T616" s="36"/>
    </row>
    <row r="617" spans="1:20" ht="15.75">
      <c r="A617" s="13">
        <v>60298</v>
      </c>
      <c r="B617" s="44">
        <f t="shared" si="0"/>
        <v>31</v>
      </c>
      <c r="C617" s="35">
        <v>122.58</v>
      </c>
      <c r="D617" s="35">
        <v>297.94099999999997</v>
      </c>
      <c r="E617" s="41">
        <v>729.47900000000004</v>
      </c>
      <c r="F617" s="35">
        <v>1150</v>
      </c>
      <c r="G617" s="35">
        <v>100</v>
      </c>
      <c r="H617" s="43">
        <v>600</v>
      </c>
      <c r="I617" s="35">
        <v>695</v>
      </c>
      <c r="J617" s="35">
        <v>50</v>
      </c>
      <c r="K617" s="36"/>
      <c r="L617" s="36"/>
      <c r="M617" s="36"/>
      <c r="N617" s="36"/>
      <c r="O617" s="36"/>
      <c r="P617" s="36"/>
      <c r="Q617" s="36"/>
      <c r="R617" s="36"/>
      <c r="S617" s="36"/>
      <c r="T617" s="36"/>
    </row>
    <row r="618" spans="1:20" ht="15.75">
      <c r="A618" s="13">
        <v>60326</v>
      </c>
      <c r="B618" s="44">
        <f t="shared" si="0"/>
        <v>28</v>
      </c>
      <c r="C618" s="35">
        <v>122.58</v>
      </c>
      <c r="D618" s="35">
        <v>297.94099999999997</v>
      </c>
      <c r="E618" s="41">
        <v>729.47900000000004</v>
      </c>
      <c r="F618" s="35">
        <v>1150</v>
      </c>
      <c r="G618" s="35">
        <v>100</v>
      </c>
      <c r="H618" s="43">
        <v>600</v>
      </c>
      <c r="I618" s="35">
        <v>695</v>
      </c>
      <c r="J618" s="35">
        <v>50</v>
      </c>
      <c r="K618" s="36"/>
      <c r="L618" s="36"/>
      <c r="M618" s="36"/>
      <c r="N618" s="36"/>
      <c r="O618" s="36"/>
      <c r="P618" s="36"/>
      <c r="Q618" s="36"/>
      <c r="R618" s="36"/>
      <c r="S618" s="36"/>
      <c r="T618" s="36"/>
    </row>
    <row r="619" spans="1:20" ht="15.75">
      <c r="A619" s="13">
        <v>60357</v>
      </c>
      <c r="B619" s="44">
        <f t="shared" si="0"/>
        <v>31</v>
      </c>
      <c r="C619" s="35">
        <v>122.58</v>
      </c>
      <c r="D619" s="35">
        <v>297.94099999999997</v>
      </c>
      <c r="E619" s="41">
        <v>729.47900000000004</v>
      </c>
      <c r="F619" s="35">
        <v>1150</v>
      </c>
      <c r="G619" s="35">
        <v>100</v>
      </c>
      <c r="H619" s="43">
        <v>600</v>
      </c>
      <c r="I619" s="35">
        <v>695</v>
      </c>
      <c r="J619" s="35">
        <v>50</v>
      </c>
      <c r="K619" s="36"/>
      <c r="L619" s="36"/>
      <c r="M619" s="36"/>
      <c r="N619" s="36"/>
      <c r="O619" s="36"/>
      <c r="P619" s="36"/>
      <c r="Q619" s="36"/>
      <c r="R619" s="36"/>
      <c r="S619" s="36"/>
      <c r="T619" s="36"/>
    </row>
    <row r="620" spans="1:20" ht="15.75">
      <c r="A620" s="13">
        <v>60387</v>
      </c>
      <c r="B620" s="44">
        <f t="shared" si="0"/>
        <v>30</v>
      </c>
      <c r="C620" s="35">
        <v>141.29300000000001</v>
      </c>
      <c r="D620" s="35">
        <v>267.99299999999999</v>
      </c>
      <c r="E620" s="41">
        <v>829.71400000000006</v>
      </c>
      <c r="F620" s="35">
        <v>1239</v>
      </c>
      <c r="G620" s="35">
        <v>100</v>
      </c>
      <c r="H620" s="43">
        <v>600</v>
      </c>
      <c r="I620" s="35">
        <v>695</v>
      </c>
      <c r="J620" s="35">
        <v>50</v>
      </c>
      <c r="K620" s="36"/>
      <c r="L620" s="36"/>
      <c r="M620" s="36"/>
      <c r="N620" s="36"/>
      <c r="O620" s="36"/>
      <c r="P620" s="36"/>
      <c r="Q620" s="36"/>
      <c r="R620" s="36"/>
      <c r="S620" s="36"/>
      <c r="T620" s="36"/>
    </row>
    <row r="621" spans="1:20" ht="15.75">
      <c r="A621" s="13">
        <v>60418</v>
      </c>
      <c r="B621" s="44">
        <f t="shared" si="0"/>
        <v>31</v>
      </c>
      <c r="C621" s="35">
        <v>194.20500000000001</v>
      </c>
      <c r="D621" s="35">
        <v>267.46600000000001</v>
      </c>
      <c r="E621" s="41">
        <v>812.32899999999995</v>
      </c>
      <c r="F621" s="35">
        <v>1274</v>
      </c>
      <c r="G621" s="35">
        <v>75</v>
      </c>
      <c r="H621" s="43">
        <v>600</v>
      </c>
      <c r="I621" s="35">
        <v>695</v>
      </c>
      <c r="J621" s="35">
        <v>50</v>
      </c>
      <c r="K621" s="36"/>
      <c r="L621" s="36"/>
      <c r="M621" s="36"/>
      <c r="N621" s="36"/>
      <c r="O621" s="36"/>
      <c r="P621" s="36"/>
      <c r="Q621" s="36"/>
      <c r="R621" s="36"/>
      <c r="S621" s="36"/>
      <c r="T621" s="36"/>
    </row>
    <row r="622" spans="1:20" ht="15.75">
      <c r="A622" s="13">
        <v>60448</v>
      </c>
      <c r="B622" s="44">
        <f t="shared" si="0"/>
        <v>30</v>
      </c>
      <c r="C622" s="35">
        <v>194.20500000000001</v>
      </c>
      <c r="D622" s="35">
        <v>267.46600000000001</v>
      </c>
      <c r="E622" s="41">
        <v>812.32899999999995</v>
      </c>
      <c r="F622" s="35">
        <v>1274</v>
      </c>
      <c r="G622" s="35">
        <v>50</v>
      </c>
      <c r="H622" s="43">
        <v>600</v>
      </c>
      <c r="I622" s="35">
        <v>695</v>
      </c>
      <c r="J622" s="35">
        <v>50</v>
      </c>
      <c r="K622" s="36"/>
      <c r="L622" s="36"/>
      <c r="M622" s="36"/>
      <c r="N622" s="36"/>
      <c r="O622" s="36"/>
      <c r="P622" s="36"/>
      <c r="Q622" s="36"/>
      <c r="R622" s="36"/>
      <c r="S622" s="36"/>
      <c r="T622" s="36"/>
    </row>
    <row r="623" spans="1:20" ht="15.75">
      <c r="A623" s="13">
        <v>60479</v>
      </c>
      <c r="B623" s="44">
        <f t="shared" si="0"/>
        <v>31</v>
      </c>
      <c r="C623" s="35">
        <v>194.20500000000001</v>
      </c>
      <c r="D623" s="35">
        <v>267.46600000000001</v>
      </c>
      <c r="E623" s="41">
        <v>812.32899999999995</v>
      </c>
      <c r="F623" s="35">
        <v>1274</v>
      </c>
      <c r="G623" s="35">
        <v>50</v>
      </c>
      <c r="H623" s="43">
        <v>600</v>
      </c>
      <c r="I623" s="35">
        <v>695</v>
      </c>
      <c r="J623" s="35">
        <v>0</v>
      </c>
      <c r="K623" s="36"/>
      <c r="L623" s="36"/>
      <c r="M623" s="36"/>
      <c r="N623" s="36"/>
      <c r="O623" s="36"/>
      <c r="P623" s="36"/>
      <c r="Q623" s="36"/>
      <c r="R623" s="36"/>
      <c r="S623" s="36"/>
      <c r="T623" s="36"/>
    </row>
    <row r="624" spans="1:20" ht="15.75">
      <c r="A624" s="13">
        <v>60510</v>
      </c>
      <c r="B624" s="44">
        <f t="shared" si="0"/>
        <v>31</v>
      </c>
      <c r="C624" s="35">
        <v>194.20500000000001</v>
      </c>
      <c r="D624" s="35">
        <v>267.46600000000001</v>
      </c>
      <c r="E624" s="41">
        <v>812.32899999999995</v>
      </c>
      <c r="F624" s="35">
        <v>1274</v>
      </c>
      <c r="G624" s="35">
        <v>50</v>
      </c>
      <c r="H624" s="43">
        <v>600</v>
      </c>
      <c r="I624" s="35">
        <v>695</v>
      </c>
      <c r="J624" s="35">
        <v>0</v>
      </c>
      <c r="K624" s="36"/>
      <c r="L624" s="36"/>
      <c r="M624" s="36"/>
      <c r="N624" s="36"/>
      <c r="O624" s="36"/>
      <c r="P624" s="36"/>
      <c r="Q624" s="36"/>
      <c r="R624" s="36"/>
      <c r="S624" s="36"/>
      <c r="T624" s="36"/>
    </row>
    <row r="625" spans="1:20" ht="15.75">
      <c r="A625" s="13">
        <v>60540</v>
      </c>
      <c r="B625" s="44">
        <f t="shared" si="0"/>
        <v>30</v>
      </c>
      <c r="C625" s="35">
        <v>194.20500000000001</v>
      </c>
      <c r="D625" s="35">
        <v>267.46600000000001</v>
      </c>
      <c r="E625" s="41">
        <v>812.32899999999995</v>
      </c>
      <c r="F625" s="35">
        <v>1274</v>
      </c>
      <c r="G625" s="35">
        <v>50</v>
      </c>
      <c r="H625" s="43">
        <v>600</v>
      </c>
      <c r="I625" s="35">
        <v>695</v>
      </c>
      <c r="J625" s="35">
        <v>0</v>
      </c>
      <c r="K625" s="36"/>
      <c r="L625" s="36"/>
      <c r="M625" s="36"/>
      <c r="N625" s="36"/>
      <c r="O625" s="36"/>
      <c r="P625" s="36"/>
      <c r="Q625" s="36"/>
      <c r="R625" s="36"/>
      <c r="S625" s="36"/>
      <c r="T625" s="36"/>
    </row>
    <row r="626" spans="1:20" ht="15.75">
      <c r="A626" s="13">
        <v>60571</v>
      </c>
      <c r="B626" s="44">
        <f t="shared" si="0"/>
        <v>31</v>
      </c>
      <c r="C626" s="35">
        <v>131.881</v>
      </c>
      <c r="D626" s="35">
        <v>277.16699999999997</v>
      </c>
      <c r="E626" s="41">
        <v>829.952</v>
      </c>
      <c r="F626" s="35">
        <v>1239</v>
      </c>
      <c r="G626" s="35">
        <v>75</v>
      </c>
      <c r="H626" s="43">
        <v>600</v>
      </c>
      <c r="I626" s="35">
        <v>695</v>
      </c>
      <c r="J626" s="35">
        <v>0</v>
      </c>
      <c r="K626" s="36"/>
      <c r="L626" s="36"/>
      <c r="M626" s="36"/>
      <c r="N626" s="36"/>
      <c r="O626" s="36"/>
      <c r="P626" s="36"/>
      <c r="Q626" s="36"/>
      <c r="R626" s="36"/>
      <c r="S626" s="36"/>
      <c r="T626" s="36"/>
    </row>
    <row r="627" spans="1:20" ht="15.75">
      <c r="A627" s="13">
        <v>60601</v>
      </c>
      <c r="B627" s="44">
        <f t="shared" si="0"/>
        <v>30</v>
      </c>
      <c r="C627" s="35">
        <v>122.58</v>
      </c>
      <c r="D627" s="35">
        <v>297.94099999999997</v>
      </c>
      <c r="E627" s="41">
        <v>729.47900000000004</v>
      </c>
      <c r="F627" s="35">
        <v>1150</v>
      </c>
      <c r="G627" s="35">
        <v>100</v>
      </c>
      <c r="H627" s="43">
        <v>600</v>
      </c>
      <c r="I627" s="35">
        <v>695</v>
      </c>
      <c r="J627" s="35">
        <v>50</v>
      </c>
      <c r="K627" s="36"/>
      <c r="L627" s="36"/>
      <c r="M627" s="36"/>
      <c r="N627" s="36"/>
      <c r="O627" s="36"/>
      <c r="P627" s="36"/>
      <c r="Q627" s="36"/>
      <c r="R627" s="36"/>
      <c r="S627" s="36"/>
      <c r="T627" s="36"/>
    </row>
    <row r="628" spans="1:20" ht="15.75">
      <c r="A628" s="13">
        <v>60632</v>
      </c>
      <c r="B628" s="44">
        <f t="shared" si="0"/>
        <v>31</v>
      </c>
      <c r="C628" s="35">
        <v>122.58</v>
      </c>
      <c r="D628" s="35">
        <v>297.94099999999997</v>
      </c>
      <c r="E628" s="41">
        <v>729.47900000000004</v>
      </c>
      <c r="F628" s="35">
        <v>1150</v>
      </c>
      <c r="G628" s="35">
        <v>100</v>
      </c>
      <c r="H628" s="43">
        <v>600</v>
      </c>
      <c r="I628" s="35">
        <v>695</v>
      </c>
      <c r="J628" s="35">
        <v>50</v>
      </c>
      <c r="K628" s="36"/>
      <c r="L628" s="36"/>
      <c r="M628" s="36"/>
      <c r="N628" s="36"/>
      <c r="O628" s="36"/>
      <c r="P628" s="36"/>
      <c r="Q628" s="36"/>
      <c r="R628" s="36"/>
      <c r="S628" s="36"/>
      <c r="T628" s="36"/>
    </row>
    <row r="629" spans="1:20" ht="15.75">
      <c r="A629" s="13">
        <v>60663</v>
      </c>
      <c r="B629" s="44">
        <f t="shared" si="0"/>
        <v>31</v>
      </c>
      <c r="C629" s="35">
        <v>122.58</v>
      </c>
      <c r="D629" s="35">
        <v>297.94099999999997</v>
      </c>
      <c r="E629" s="41">
        <v>729.47900000000004</v>
      </c>
      <c r="F629" s="35">
        <v>1150</v>
      </c>
      <c r="G629" s="35">
        <v>100</v>
      </c>
      <c r="H629" s="43">
        <v>600</v>
      </c>
      <c r="I629" s="35">
        <v>695</v>
      </c>
      <c r="J629" s="35">
        <v>50</v>
      </c>
      <c r="K629" s="36"/>
      <c r="L629" s="36"/>
      <c r="M629" s="36"/>
      <c r="N629" s="36"/>
      <c r="O629" s="36"/>
      <c r="P629" s="36"/>
      <c r="Q629" s="36"/>
      <c r="R629" s="36"/>
      <c r="S629" s="36"/>
      <c r="T629" s="36"/>
    </row>
    <row r="630" spans="1:20" ht="15.75">
      <c r="A630" s="13">
        <v>60691</v>
      </c>
      <c r="B630" s="44">
        <f t="shared" si="0"/>
        <v>28</v>
      </c>
      <c r="C630" s="35">
        <v>122.58</v>
      </c>
      <c r="D630" s="35">
        <v>297.94099999999997</v>
      </c>
      <c r="E630" s="41">
        <v>729.47900000000004</v>
      </c>
      <c r="F630" s="35">
        <v>1150</v>
      </c>
      <c r="G630" s="35">
        <v>100</v>
      </c>
      <c r="H630" s="43">
        <v>600</v>
      </c>
      <c r="I630" s="35">
        <v>695</v>
      </c>
      <c r="J630" s="35">
        <v>50</v>
      </c>
      <c r="K630" s="36"/>
      <c r="L630" s="36"/>
      <c r="M630" s="36"/>
      <c r="N630" s="36"/>
      <c r="O630" s="36"/>
      <c r="P630" s="36"/>
      <c r="Q630" s="36"/>
      <c r="R630" s="36"/>
      <c r="S630" s="36"/>
      <c r="T630" s="36"/>
    </row>
    <row r="631" spans="1:20" ht="15.75">
      <c r="A631" s="13">
        <v>60722</v>
      </c>
      <c r="B631" s="44">
        <f t="shared" si="0"/>
        <v>31</v>
      </c>
      <c r="C631" s="35">
        <v>122.58</v>
      </c>
      <c r="D631" s="35">
        <v>297.94099999999997</v>
      </c>
      <c r="E631" s="41">
        <v>729.47900000000004</v>
      </c>
      <c r="F631" s="35">
        <v>1150</v>
      </c>
      <c r="G631" s="35">
        <v>100</v>
      </c>
      <c r="H631" s="43">
        <v>600</v>
      </c>
      <c r="I631" s="35">
        <v>695</v>
      </c>
      <c r="J631" s="35">
        <v>50</v>
      </c>
      <c r="K631" s="36"/>
      <c r="L631" s="36"/>
      <c r="M631" s="36"/>
      <c r="N631" s="36"/>
      <c r="O631" s="36"/>
      <c r="P631" s="36"/>
      <c r="Q631" s="36"/>
      <c r="R631" s="36"/>
      <c r="S631" s="36"/>
      <c r="T631" s="36"/>
    </row>
    <row r="632" spans="1:20" ht="15.75">
      <c r="A632" s="13">
        <v>60752</v>
      </c>
      <c r="B632" s="44">
        <f t="shared" si="0"/>
        <v>30</v>
      </c>
      <c r="C632" s="35">
        <v>141.29300000000001</v>
      </c>
      <c r="D632" s="35">
        <v>267.99299999999999</v>
      </c>
      <c r="E632" s="41">
        <v>829.71400000000006</v>
      </c>
      <c r="F632" s="35">
        <v>1239</v>
      </c>
      <c r="G632" s="35">
        <v>100</v>
      </c>
      <c r="H632" s="43">
        <v>600</v>
      </c>
      <c r="I632" s="35">
        <v>695</v>
      </c>
      <c r="J632" s="35">
        <v>50</v>
      </c>
      <c r="K632" s="36"/>
      <c r="L632" s="36"/>
      <c r="M632" s="36"/>
      <c r="N632" s="36"/>
      <c r="O632" s="36"/>
      <c r="P632" s="36"/>
      <c r="Q632" s="36"/>
      <c r="R632" s="36"/>
      <c r="S632" s="36"/>
      <c r="T632" s="36"/>
    </row>
    <row r="633" spans="1:20" ht="15.75">
      <c r="A633" s="13">
        <v>60783</v>
      </c>
      <c r="B633" s="44">
        <f t="shared" si="0"/>
        <v>31</v>
      </c>
      <c r="C633" s="35">
        <v>194.20500000000001</v>
      </c>
      <c r="D633" s="35">
        <v>267.46600000000001</v>
      </c>
      <c r="E633" s="41">
        <v>812.32899999999995</v>
      </c>
      <c r="F633" s="35">
        <v>1274</v>
      </c>
      <c r="G633" s="35">
        <v>75</v>
      </c>
      <c r="H633" s="43">
        <v>600</v>
      </c>
      <c r="I633" s="35">
        <v>695</v>
      </c>
      <c r="J633" s="35">
        <v>50</v>
      </c>
      <c r="K633" s="36"/>
      <c r="L633" s="36"/>
      <c r="M633" s="36"/>
      <c r="N633" s="36"/>
      <c r="O633" s="36"/>
      <c r="P633" s="36"/>
      <c r="Q633" s="36"/>
      <c r="R633" s="36"/>
      <c r="S633" s="36"/>
      <c r="T633" s="36"/>
    </row>
    <row r="634" spans="1:20" ht="15.75">
      <c r="A634" s="13">
        <v>60813</v>
      </c>
      <c r="B634" s="44">
        <f t="shared" si="0"/>
        <v>30</v>
      </c>
      <c r="C634" s="35">
        <v>194.20500000000001</v>
      </c>
      <c r="D634" s="35">
        <v>267.46600000000001</v>
      </c>
      <c r="E634" s="41">
        <v>812.32899999999995</v>
      </c>
      <c r="F634" s="35">
        <v>1274</v>
      </c>
      <c r="G634" s="35">
        <v>50</v>
      </c>
      <c r="H634" s="43">
        <v>600</v>
      </c>
      <c r="I634" s="35">
        <v>695</v>
      </c>
      <c r="J634" s="35">
        <v>50</v>
      </c>
      <c r="K634" s="36"/>
      <c r="L634" s="36"/>
      <c r="M634" s="36"/>
      <c r="N634" s="36"/>
      <c r="O634" s="36"/>
      <c r="P634" s="36"/>
      <c r="Q634" s="36"/>
      <c r="R634" s="36"/>
      <c r="S634" s="36"/>
      <c r="T634" s="36"/>
    </row>
    <row r="635" spans="1:20" ht="15.75">
      <c r="A635" s="13">
        <v>60844</v>
      </c>
      <c r="B635" s="44">
        <f t="shared" si="0"/>
        <v>31</v>
      </c>
      <c r="C635" s="35">
        <v>194.20500000000001</v>
      </c>
      <c r="D635" s="35">
        <v>267.46600000000001</v>
      </c>
      <c r="E635" s="41">
        <v>812.32899999999995</v>
      </c>
      <c r="F635" s="35">
        <v>1274</v>
      </c>
      <c r="G635" s="35">
        <v>50</v>
      </c>
      <c r="H635" s="43">
        <v>600</v>
      </c>
      <c r="I635" s="35">
        <v>695</v>
      </c>
      <c r="J635" s="35">
        <v>0</v>
      </c>
      <c r="K635" s="36"/>
      <c r="L635" s="36"/>
      <c r="M635" s="36"/>
      <c r="N635" s="36"/>
      <c r="O635" s="36"/>
      <c r="P635" s="36"/>
      <c r="Q635" s="36"/>
      <c r="R635" s="36"/>
      <c r="S635" s="36"/>
      <c r="T635" s="36"/>
    </row>
    <row r="636" spans="1:20" ht="15.75">
      <c r="A636" s="13">
        <v>60875</v>
      </c>
      <c r="B636" s="44">
        <f t="shared" si="0"/>
        <v>31</v>
      </c>
      <c r="C636" s="35">
        <v>194.20500000000001</v>
      </c>
      <c r="D636" s="35">
        <v>267.46600000000001</v>
      </c>
      <c r="E636" s="41">
        <v>812.32899999999995</v>
      </c>
      <c r="F636" s="35">
        <v>1274</v>
      </c>
      <c r="G636" s="35">
        <v>50</v>
      </c>
      <c r="H636" s="43">
        <v>600</v>
      </c>
      <c r="I636" s="35">
        <v>695</v>
      </c>
      <c r="J636" s="35">
        <v>0</v>
      </c>
      <c r="K636" s="36"/>
      <c r="L636" s="36"/>
      <c r="M636" s="36"/>
      <c r="N636" s="36"/>
      <c r="O636" s="36"/>
      <c r="P636" s="36"/>
      <c r="Q636" s="36"/>
      <c r="R636" s="36"/>
      <c r="S636" s="36"/>
      <c r="T636" s="36"/>
    </row>
    <row r="637" spans="1:20" ht="15.75">
      <c r="A637" s="13">
        <v>60905</v>
      </c>
      <c r="B637" s="44">
        <f t="shared" si="0"/>
        <v>30</v>
      </c>
      <c r="C637" s="35">
        <v>194.20500000000001</v>
      </c>
      <c r="D637" s="35">
        <v>267.46600000000001</v>
      </c>
      <c r="E637" s="41">
        <v>812.32899999999995</v>
      </c>
      <c r="F637" s="35">
        <v>1274</v>
      </c>
      <c r="G637" s="35">
        <v>50</v>
      </c>
      <c r="H637" s="43">
        <v>600</v>
      </c>
      <c r="I637" s="35">
        <v>695</v>
      </c>
      <c r="J637" s="35">
        <v>0</v>
      </c>
      <c r="K637" s="36"/>
      <c r="L637" s="36"/>
      <c r="M637" s="36"/>
      <c r="N637" s="36"/>
      <c r="O637" s="36"/>
      <c r="P637" s="36"/>
      <c r="Q637" s="36"/>
      <c r="R637" s="36"/>
      <c r="S637" s="36"/>
      <c r="T637" s="36"/>
    </row>
    <row r="638" spans="1:20" ht="15.75">
      <c r="A638" s="13">
        <v>60936</v>
      </c>
      <c r="B638" s="44">
        <f t="shared" si="0"/>
        <v>31</v>
      </c>
      <c r="C638" s="35">
        <v>131.881</v>
      </c>
      <c r="D638" s="35">
        <v>277.16699999999997</v>
      </c>
      <c r="E638" s="41">
        <v>829.952</v>
      </c>
      <c r="F638" s="35">
        <v>1239</v>
      </c>
      <c r="G638" s="35">
        <v>75</v>
      </c>
      <c r="H638" s="43">
        <v>600</v>
      </c>
      <c r="I638" s="35">
        <v>695</v>
      </c>
      <c r="J638" s="35">
        <v>0</v>
      </c>
      <c r="K638" s="36"/>
      <c r="L638" s="36"/>
      <c r="M638" s="36"/>
      <c r="N638" s="36"/>
      <c r="O638" s="36"/>
      <c r="P638" s="36"/>
      <c r="Q638" s="36"/>
      <c r="R638" s="36"/>
      <c r="S638" s="36"/>
      <c r="T638" s="36"/>
    </row>
    <row r="639" spans="1:20" ht="15.75">
      <c r="A639" s="13">
        <v>60966</v>
      </c>
      <c r="B639" s="44">
        <f t="shared" si="0"/>
        <v>30</v>
      </c>
      <c r="C639" s="35">
        <v>122.58</v>
      </c>
      <c r="D639" s="35">
        <v>297.94099999999997</v>
      </c>
      <c r="E639" s="41">
        <v>729.47900000000004</v>
      </c>
      <c r="F639" s="35">
        <v>1150</v>
      </c>
      <c r="G639" s="35">
        <v>100</v>
      </c>
      <c r="H639" s="43">
        <v>600</v>
      </c>
      <c r="I639" s="35">
        <v>695</v>
      </c>
      <c r="J639" s="35">
        <v>50</v>
      </c>
      <c r="K639" s="36"/>
      <c r="L639" s="36"/>
      <c r="M639" s="36"/>
      <c r="N639" s="36"/>
      <c r="O639" s="36"/>
      <c r="P639" s="36"/>
      <c r="Q639" s="36"/>
      <c r="R639" s="36"/>
      <c r="S639" s="36"/>
      <c r="T639" s="36"/>
    </row>
    <row r="640" spans="1:20" ht="15.75">
      <c r="A640" s="13">
        <v>60997</v>
      </c>
      <c r="B640" s="44">
        <f t="shared" si="0"/>
        <v>31</v>
      </c>
      <c r="C640" s="35">
        <v>122.58</v>
      </c>
      <c r="D640" s="35">
        <v>297.94099999999997</v>
      </c>
      <c r="E640" s="41">
        <v>729.47900000000004</v>
      </c>
      <c r="F640" s="35">
        <v>1150</v>
      </c>
      <c r="G640" s="35">
        <v>100</v>
      </c>
      <c r="H640" s="43">
        <v>600</v>
      </c>
      <c r="I640" s="35">
        <v>695</v>
      </c>
      <c r="J640" s="35">
        <v>50</v>
      </c>
      <c r="K640" s="36"/>
      <c r="L640" s="36"/>
      <c r="M640" s="36"/>
      <c r="N640" s="36"/>
      <c r="O640" s="36"/>
      <c r="P640" s="36"/>
      <c r="Q640" s="36"/>
      <c r="R640" s="36"/>
      <c r="S640" s="36"/>
      <c r="T640" s="36"/>
    </row>
    <row r="641" spans="1:20" ht="15.75">
      <c r="A641" s="13">
        <v>61028</v>
      </c>
      <c r="B641" s="44">
        <f t="shared" si="0"/>
        <v>31</v>
      </c>
      <c r="C641" s="35">
        <v>122.58</v>
      </c>
      <c r="D641" s="35">
        <v>297.94099999999997</v>
      </c>
      <c r="E641" s="41">
        <v>729.47900000000004</v>
      </c>
      <c r="F641" s="35">
        <v>1150</v>
      </c>
      <c r="G641" s="35">
        <v>100</v>
      </c>
      <c r="H641" s="43">
        <v>600</v>
      </c>
      <c r="I641" s="35">
        <v>695</v>
      </c>
      <c r="J641" s="35">
        <v>50</v>
      </c>
      <c r="K641" s="36"/>
      <c r="L641" s="36"/>
      <c r="M641" s="36"/>
      <c r="N641" s="36"/>
      <c r="O641" s="36"/>
      <c r="P641" s="36"/>
      <c r="Q641" s="36"/>
      <c r="R641" s="36"/>
      <c r="S641" s="36"/>
      <c r="T641" s="36"/>
    </row>
    <row r="642" spans="1:20" ht="15.75">
      <c r="A642" s="13">
        <v>61056</v>
      </c>
      <c r="B642" s="44">
        <f t="shared" si="0"/>
        <v>28</v>
      </c>
      <c r="C642" s="35">
        <v>122.58</v>
      </c>
      <c r="D642" s="35">
        <v>297.94099999999997</v>
      </c>
      <c r="E642" s="41">
        <v>729.47900000000004</v>
      </c>
      <c r="F642" s="35">
        <v>1150</v>
      </c>
      <c r="G642" s="35">
        <v>100</v>
      </c>
      <c r="H642" s="43">
        <v>600</v>
      </c>
      <c r="I642" s="35">
        <v>695</v>
      </c>
      <c r="J642" s="35">
        <v>50</v>
      </c>
      <c r="K642" s="36"/>
      <c r="L642" s="36"/>
      <c r="M642" s="36"/>
      <c r="N642" s="36"/>
      <c r="O642" s="36"/>
      <c r="P642" s="36"/>
      <c r="Q642" s="36"/>
      <c r="R642" s="36"/>
      <c r="S642" s="36"/>
      <c r="T642" s="36"/>
    </row>
    <row r="643" spans="1:20" ht="15.75">
      <c r="A643" s="13">
        <v>61087</v>
      </c>
      <c r="B643" s="44">
        <f t="shared" si="0"/>
        <v>31</v>
      </c>
      <c r="C643" s="35">
        <v>122.58</v>
      </c>
      <c r="D643" s="35">
        <v>297.94099999999997</v>
      </c>
      <c r="E643" s="41">
        <v>729.47900000000004</v>
      </c>
      <c r="F643" s="35">
        <v>1150</v>
      </c>
      <c r="G643" s="35">
        <v>100</v>
      </c>
      <c r="H643" s="43">
        <v>600</v>
      </c>
      <c r="I643" s="35">
        <v>695</v>
      </c>
      <c r="J643" s="35">
        <v>50</v>
      </c>
      <c r="K643" s="36"/>
      <c r="L643" s="36"/>
      <c r="M643" s="36"/>
      <c r="N643" s="36"/>
      <c r="O643" s="36"/>
      <c r="P643" s="36"/>
      <c r="Q643" s="36"/>
      <c r="R643" s="36"/>
      <c r="S643" s="36"/>
      <c r="T643" s="36"/>
    </row>
    <row r="644" spans="1:20" ht="15.75">
      <c r="A644" s="13">
        <v>61117</v>
      </c>
      <c r="B644" s="44">
        <f t="shared" si="0"/>
        <v>30</v>
      </c>
      <c r="C644" s="35">
        <v>141.29300000000001</v>
      </c>
      <c r="D644" s="35">
        <v>267.99299999999999</v>
      </c>
      <c r="E644" s="41">
        <v>829.71400000000006</v>
      </c>
      <c r="F644" s="35">
        <v>1239</v>
      </c>
      <c r="G644" s="35">
        <v>100</v>
      </c>
      <c r="H644" s="43">
        <v>600</v>
      </c>
      <c r="I644" s="35">
        <v>695</v>
      </c>
      <c r="J644" s="35">
        <v>50</v>
      </c>
      <c r="K644" s="36"/>
      <c r="L644" s="36"/>
      <c r="M644" s="36"/>
      <c r="N644" s="36"/>
      <c r="O644" s="36"/>
      <c r="P644" s="36"/>
      <c r="Q644" s="36"/>
      <c r="R644" s="36"/>
      <c r="S644" s="36"/>
      <c r="T644" s="36"/>
    </row>
    <row r="645" spans="1:20" ht="15.75">
      <c r="A645" s="13">
        <v>61148</v>
      </c>
      <c r="B645" s="44">
        <f t="shared" ref="B645:B708" si="1">EOMONTH(A645,0)-EOMONTH(A645,-1)</f>
        <v>31</v>
      </c>
      <c r="C645" s="35">
        <v>194.20500000000001</v>
      </c>
      <c r="D645" s="35">
        <v>267.46600000000001</v>
      </c>
      <c r="E645" s="41">
        <v>812.32899999999995</v>
      </c>
      <c r="F645" s="35">
        <v>1274</v>
      </c>
      <c r="G645" s="35">
        <v>75</v>
      </c>
      <c r="H645" s="43">
        <v>600</v>
      </c>
      <c r="I645" s="35">
        <v>695</v>
      </c>
      <c r="J645" s="35">
        <v>50</v>
      </c>
      <c r="K645" s="36"/>
      <c r="L645" s="36"/>
      <c r="M645" s="36"/>
      <c r="N645" s="36"/>
      <c r="O645" s="36"/>
      <c r="P645" s="36"/>
      <c r="Q645" s="36"/>
      <c r="R645" s="36"/>
      <c r="S645" s="36"/>
      <c r="T645" s="36"/>
    </row>
    <row r="646" spans="1:20" ht="15.75">
      <c r="A646" s="13">
        <v>61178</v>
      </c>
      <c r="B646" s="44">
        <f t="shared" si="1"/>
        <v>30</v>
      </c>
      <c r="C646" s="35">
        <v>194.20500000000001</v>
      </c>
      <c r="D646" s="35">
        <v>267.46600000000001</v>
      </c>
      <c r="E646" s="41">
        <v>812.32899999999995</v>
      </c>
      <c r="F646" s="35">
        <v>1274</v>
      </c>
      <c r="G646" s="35">
        <v>50</v>
      </c>
      <c r="H646" s="43">
        <v>600</v>
      </c>
      <c r="I646" s="35">
        <v>695</v>
      </c>
      <c r="J646" s="35">
        <v>50</v>
      </c>
      <c r="K646" s="36"/>
      <c r="L646" s="36"/>
      <c r="M646" s="36"/>
      <c r="N646" s="36"/>
      <c r="O646" s="36"/>
      <c r="P646" s="36"/>
      <c r="Q646" s="36"/>
      <c r="R646" s="36"/>
      <c r="S646" s="36"/>
      <c r="T646" s="36"/>
    </row>
    <row r="647" spans="1:20" ht="15.75">
      <c r="A647" s="13">
        <v>61209</v>
      </c>
      <c r="B647" s="44">
        <f t="shared" si="1"/>
        <v>31</v>
      </c>
      <c r="C647" s="35">
        <v>194.20500000000001</v>
      </c>
      <c r="D647" s="35">
        <v>267.46600000000001</v>
      </c>
      <c r="E647" s="41">
        <v>812.32899999999995</v>
      </c>
      <c r="F647" s="35">
        <v>1274</v>
      </c>
      <c r="G647" s="35">
        <v>50</v>
      </c>
      <c r="H647" s="43">
        <v>600</v>
      </c>
      <c r="I647" s="35">
        <v>695</v>
      </c>
      <c r="J647" s="35">
        <v>0</v>
      </c>
      <c r="K647" s="36"/>
      <c r="L647" s="36"/>
      <c r="M647" s="36"/>
      <c r="N647" s="36"/>
      <c r="O647" s="36"/>
      <c r="P647" s="36"/>
      <c r="Q647" s="36"/>
      <c r="R647" s="36"/>
      <c r="S647" s="36"/>
      <c r="T647" s="36"/>
    </row>
    <row r="648" spans="1:20" ht="15.75">
      <c r="A648" s="13">
        <v>61240</v>
      </c>
      <c r="B648" s="44">
        <f t="shared" si="1"/>
        <v>31</v>
      </c>
      <c r="C648" s="35">
        <v>194.20500000000001</v>
      </c>
      <c r="D648" s="35">
        <v>267.46600000000001</v>
      </c>
      <c r="E648" s="41">
        <v>812.32899999999995</v>
      </c>
      <c r="F648" s="35">
        <v>1274</v>
      </c>
      <c r="G648" s="35">
        <v>50</v>
      </c>
      <c r="H648" s="43">
        <v>600</v>
      </c>
      <c r="I648" s="35">
        <v>695</v>
      </c>
      <c r="J648" s="35">
        <v>0</v>
      </c>
      <c r="K648" s="36"/>
      <c r="L648" s="36"/>
      <c r="M648" s="36"/>
      <c r="N648" s="36"/>
      <c r="O648" s="36"/>
      <c r="P648" s="36"/>
      <c r="Q648" s="36"/>
      <c r="R648" s="36"/>
      <c r="S648" s="36"/>
      <c r="T648" s="36"/>
    </row>
    <row r="649" spans="1:20" ht="15.75">
      <c r="A649" s="13">
        <v>61270</v>
      </c>
      <c r="B649" s="44">
        <f t="shared" si="1"/>
        <v>30</v>
      </c>
      <c r="C649" s="35">
        <v>194.20500000000001</v>
      </c>
      <c r="D649" s="35">
        <v>267.46600000000001</v>
      </c>
      <c r="E649" s="41">
        <v>812.32899999999995</v>
      </c>
      <c r="F649" s="35">
        <v>1274</v>
      </c>
      <c r="G649" s="35">
        <v>50</v>
      </c>
      <c r="H649" s="43">
        <v>600</v>
      </c>
      <c r="I649" s="35">
        <v>695</v>
      </c>
      <c r="J649" s="35">
        <v>0</v>
      </c>
      <c r="K649" s="36"/>
      <c r="L649" s="36"/>
      <c r="M649" s="36"/>
      <c r="N649" s="36"/>
      <c r="O649" s="36"/>
      <c r="P649" s="36"/>
      <c r="Q649" s="36"/>
      <c r="R649" s="36"/>
      <c r="S649" s="36"/>
      <c r="T649" s="36"/>
    </row>
    <row r="650" spans="1:20" ht="15.75">
      <c r="A650" s="13">
        <v>61301</v>
      </c>
      <c r="B650" s="44">
        <f t="shared" si="1"/>
        <v>31</v>
      </c>
      <c r="C650" s="35">
        <v>131.881</v>
      </c>
      <c r="D650" s="35">
        <v>277.16699999999997</v>
      </c>
      <c r="E650" s="41">
        <v>829.952</v>
      </c>
      <c r="F650" s="35">
        <v>1239</v>
      </c>
      <c r="G650" s="35">
        <v>75</v>
      </c>
      <c r="H650" s="43">
        <v>600</v>
      </c>
      <c r="I650" s="35">
        <v>695</v>
      </c>
      <c r="J650" s="35">
        <v>0</v>
      </c>
      <c r="K650" s="36"/>
      <c r="L650" s="36"/>
      <c r="M650" s="36"/>
      <c r="N650" s="36"/>
      <c r="O650" s="36"/>
      <c r="P650" s="36"/>
      <c r="Q650" s="36"/>
      <c r="R650" s="36"/>
      <c r="S650" s="36"/>
      <c r="T650" s="36"/>
    </row>
    <row r="651" spans="1:20" ht="15.75">
      <c r="A651" s="13">
        <v>61331</v>
      </c>
      <c r="B651" s="44">
        <f t="shared" si="1"/>
        <v>30</v>
      </c>
      <c r="C651" s="35">
        <v>122.58</v>
      </c>
      <c r="D651" s="35">
        <v>297.94099999999997</v>
      </c>
      <c r="E651" s="41">
        <v>729.47900000000004</v>
      </c>
      <c r="F651" s="35">
        <v>1150</v>
      </c>
      <c r="G651" s="35">
        <v>100</v>
      </c>
      <c r="H651" s="43">
        <v>600</v>
      </c>
      <c r="I651" s="35">
        <v>695</v>
      </c>
      <c r="J651" s="35">
        <v>50</v>
      </c>
      <c r="K651" s="36"/>
      <c r="L651" s="36"/>
      <c r="M651" s="36"/>
      <c r="N651" s="36"/>
      <c r="O651" s="36"/>
      <c r="P651" s="36"/>
      <c r="Q651" s="36"/>
      <c r="R651" s="36"/>
      <c r="S651" s="36"/>
      <c r="T651" s="36"/>
    </row>
    <row r="652" spans="1:20" ht="15.75">
      <c r="A652" s="13">
        <v>61362</v>
      </c>
      <c r="B652" s="44">
        <f t="shared" si="1"/>
        <v>31</v>
      </c>
      <c r="C652" s="35">
        <v>122.58</v>
      </c>
      <c r="D652" s="35">
        <v>297.94099999999997</v>
      </c>
      <c r="E652" s="41">
        <v>729.47900000000004</v>
      </c>
      <c r="F652" s="35">
        <v>1150</v>
      </c>
      <c r="G652" s="35">
        <v>100</v>
      </c>
      <c r="H652" s="43">
        <v>600</v>
      </c>
      <c r="I652" s="35">
        <v>695</v>
      </c>
      <c r="J652" s="35">
        <v>50</v>
      </c>
      <c r="K652" s="36"/>
      <c r="L652" s="36"/>
      <c r="M652" s="36"/>
      <c r="N652" s="36"/>
      <c r="O652" s="36"/>
      <c r="P652" s="36"/>
      <c r="Q652" s="36"/>
      <c r="R652" s="36"/>
      <c r="S652" s="36"/>
      <c r="T652" s="36"/>
    </row>
    <row r="653" spans="1:20" ht="15.75">
      <c r="A653" s="13">
        <v>61393</v>
      </c>
      <c r="B653" s="44">
        <f t="shared" si="1"/>
        <v>31</v>
      </c>
      <c r="C653" s="35">
        <v>122.58</v>
      </c>
      <c r="D653" s="35">
        <v>297.94099999999997</v>
      </c>
      <c r="E653" s="41">
        <v>729.47900000000004</v>
      </c>
      <c r="F653" s="35">
        <v>1150</v>
      </c>
      <c r="G653" s="35">
        <v>100</v>
      </c>
      <c r="H653" s="43">
        <v>600</v>
      </c>
      <c r="I653" s="35">
        <v>695</v>
      </c>
      <c r="J653" s="35">
        <v>50</v>
      </c>
      <c r="K653" s="36"/>
      <c r="L653" s="36"/>
      <c r="M653" s="36"/>
      <c r="N653" s="36"/>
      <c r="O653" s="36"/>
      <c r="P653" s="36"/>
      <c r="Q653" s="36"/>
      <c r="R653" s="36"/>
      <c r="S653" s="36"/>
      <c r="T653" s="36"/>
    </row>
    <row r="654" spans="1:20" ht="15.75">
      <c r="A654" s="13">
        <v>61422</v>
      </c>
      <c r="B654" s="44">
        <f t="shared" si="1"/>
        <v>29</v>
      </c>
      <c r="C654" s="35">
        <v>122.58</v>
      </c>
      <c r="D654" s="35">
        <v>297.94099999999997</v>
      </c>
      <c r="E654" s="41">
        <v>729.47900000000004</v>
      </c>
      <c r="F654" s="35">
        <v>1150</v>
      </c>
      <c r="G654" s="35">
        <v>100</v>
      </c>
      <c r="H654" s="43">
        <v>600</v>
      </c>
      <c r="I654" s="35">
        <v>695</v>
      </c>
      <c r="J654" s="35">
        <v>50</v>
      </c>
      <c r="K654" s="36"/>
      <c r="L654" s="36"/>
      <c r="M654" s="36"/>
      <c r="N654" s="36"/>
      <c r="O654" s="36"/>
      <c r="P654" s="36"/>
      <c r="Q654" s="36"/>
      <c r="R654" s="36"/>
      <c r="S654" s="36"/>
      <c r="T654" s="36"/>
    </row>
    <row r="655" spans="1:20" ht="15.75">
      <c r="A655" s="13">
        <v>61453</v>
      </c>
      <c r="B655" s="44">
        <f t="shared" si="1"/>
        <v>31</v>
      </c>
      <c r="C655" s="35">
        <v>122.58</v>
      </c>
      <c r="D655" s="35">
        <v>297.94099999999997</v>
      </c>
      <c r="E655" s="41">
        <v>729.47900000000004</v>
      </c>
      <c r="F655" s="35">
        <v>1150</v>
      </c>
      <c r="G655" s="35">
        <v>100</v>
      </c>
      <c r="H655" s="43">
        <v>600</v>
      </c>
      <c r="I655" s="35">
        <v>695</v>
      </c>
      <c r="J655" s="35">
        <v>50</v>
      </c>
      <c r="K655" s="36"/>
      <c r="L655" s="36"/>
      <c r="M655" s="36"/>
      <c r="N655" s="36"/>
      <c r="O655" s="36"/>
      <c r="P655" s="36"/>
      <c r="Q655" s="36"/>
      <c r="R655" s="36"/>
      <c r="S655" s="36"/>
      <c r="T655" s="36"/>
    </row>
    <row r="656" spans="1:20" ht="15.75">
      <c r="A656" s="13">
        <v>61483</v>
      </c>
      <c r="B656" s="44">
        <f t="shared" si="1"/>
        <v>30</v>
      </c>
      <c r="C656" s="35">
        <v>141.29300000000001</v>
      </c>
      <c r="D656" s="35">
        <v>267.99299999999999</v>
      </c>
      <c r="E656" s="41">
        <v>829.71400000000006</v>
      </c>
      <c r="F656" s="35">
        <v>1239</v>
      </c>
      <c r="G656" s="35">
        <v>100</v>
      </c>
      <c r="H656" s="43">
        <v>600</v>
      </c>
      <c r="I656" s="35">
        <v>695</v>
      </c>
      <c r="J656" s="35">
        <v>50</v>
      </c>
      <c r="K656" s="36"/>
      <c r="L656" s="36"/>
      <c r="M656" s="36"/>
      <c r="N656" s="36"/>
      <c r="O656" s="36"/>
      <c r="P656" s="36"/>
      <c r="Q656" s="36"/>
      <c r="R656" s="36"/>
      <c r="S656" s="36"/>
      <c r="T656" s="36"/>
    </row>
    <row r="657" spans="1:20" ht="15.75">
      <c r="A657" s="13">
        <v>61514</v>
      </c>
      <c r="B657" s="44">
        <f t="shared" si="1"/>
        <v>31</v>
      </c>
      <c r="C657" s="35">
        <v>194.20500000000001</v>
      </c>
      <c r="D657" s="35">
        <v>267.46600000000001</v>
      </c>
      <c r="E657" s="41">
        <v>812.32899999999995</v>
      </c>
      <c r="F657" s="35">
        <v>1274</v>
      </c>
      <c r="G657" s="35">
        <v>75</v>
      </c>
      <c r="H657" s="43">
        <v>600</v>
      </c>
      <c r="I657" s="35">
        <v>695</v>
      </c>
      <c r="J657" s="35">
        <v>50</v>
      </c>
      <c r="K657" s="36"/>
      <c r="L657" s="36"/>
      <c r="M657" s="36"/>
      <c r="N657" s="36"/>
      <c r="O657" s="36"/>
      <c r="P657" s="36"/>
      <c r="Q657" s="36"/>
      <c r="R657" s="36"/>
      <c r="S657" s="36"/>
      <c r="T657" s="36"/>
    </row>
    <row r="658" spans="1:20" ht="15.75">
      <c r="A658" s="13">
        <v>61544</v>
      </c>
      <c r="B658" s="44">
        <f t="shared" si="1"/>
        <v>30</v>
      </c>
      <c r="C658" s="35">
        <v>194.20500000000001</v>
      </c>
      <c r="D658" s="35">
        <v>267.46600000000001</v>
      </c>
      <c r="E658" s="41">
        <v>812.32899999999995</v>
      </c>
      <c r="F658" s="35">
        <v>1274</v>
      </c>
      <c r="G658" s="35">
        <v>50</v>
      </c>
      <c r="H658" s="43">
        <v>600</v>
      </c>
      <c r="I658" s="35">
        <v>695</v>
      </c>
      <c r="J658" s="35">
        <v>50</v>
      </c>
      <c r="K658" s="36"/>
      <c r="L658" s="36"/>
      <c r="M658" s="36"/>
      <c r="N658" s="36"/>
      <c r="O658" s="36"/>
      <c r="P658" s="36"/>
      <c r="Q658" s="36"/>
      <c r="R658" s="36"/>
      <c r="S658" s="36"/>
      <c r="T658" s="36"/>
    </row>
    <row r="659" spans="1:20" ht="15.75">
      <c r="A659" s="13">
        <v>61575</v>
      </c>
      <c r="B659" s="44">
        <f t="shared" si="1"/>
        <v>31</v>
      </c>
      <c r="C659" s="35">
        <v>194.20500000000001</v>
      </c>
      <c r="D659" s="35">
        <v>267.46600000000001</v>
      </c>
      <c r="E659" s="41">
        <v>812.32899999999995</v>
      </c>
      <c r="F659" s="35">
        <v>1274</v>
      </c>
      <c r="G659" s="35">
        <v>50</v>
      </c>
      <c r="H659" s="43">
        <v>600</v>
      </c>
      <c r="I659" s="35">
        <v>695</v>
      </c>
      <c r="J659" s="35">
        <v>0</v>
      </c>
      <c r="K659" s="36"/>
      <c r="L659" s="36"/>
      <c r="M659" s="36"/>
      <c r="N659" s="36"/>
      <c r="O659" s="36"/>
      <c r="P659" s="36"/>
      <c r="Q659" s="36"/>
      <c r="R659" s="36"/>
      <c r="S659" s="36"/>
      <c r="T659" s="36"/>
    </row>
    <row r="660" spans="1:20" ht="15.75">
      <c r="A660" s="13">
        <v>61606</v>
      </c>
      <c r="B660" s="44">
        <f t="shared" si="1"/>
        <v>31</v>
      </c>
      <c r="C660" s="35">
        <v>194.20500000000001</v>
      </c>
      <c r="D660" s="35">
        <v>267.46600000000001</v>
      </c>
      <c r="E660" s="41">
        <v>812.32899999999995</v>
      </c>
      <c r="F660" s="35">
        <v>1274</v>
      </c>
      <c r="G660" s="35">
        <v>50</v>
      </c>
      <c r="H660" s="43">
        <v>600</v>
      </c>
      <c r="I660" s="35">
        <v>695</v>
      </c>
      <c r="J660" s="35">
        <v>0</v>
      </c>
      <c r="K660" s="36"/>
      <c r="L660" s="36"/>
      <c r="M660" s="36"/>
      <c r="N660" s="36"/>
      <c r="O660" s="36"/>
      <c r="P660" s="36"/>
      <c r="Q660" s="36"/>
      <c r="R660" s="36"/>
      <c r="S660" s="36"/>
      <c r="T660" s="36"/>
    </row>
    <row r="661" spans="1:20" ht="15.75">
      <c r="A661" s="13">
        <v>61636</v>
      </c>
      <c r="B661" s="44">
        <f t="shared" si="1"/>
        <v>30</v>
      </c>
      <c r="C661" s="35">
        <v>194.20500000000001</v>
      </c>
      <c r="D661" s="35">
        <v>267.46600000000001</v>
      </c>
      <c r="E661" s="41">
        <v>812.32899999999995</v>
      </c>
      <c r="F661" s="35">
        <v>1274</v>
      </c>
      <c r="G661" s="35">
        <v>50</v>
      </c>
      <c r="H661" s="43">
        <v>600</v>
      </c>
      <c r="I661" s="35">
        <v>695</v>
      </c>
      <c r="J661" s="35">
        <v>0</v>
      </c>
      <c r="K661" s="36"/>
      <c r="L661" s="36"/>
      <c r="M661" s="36"/>
      <c r="N661" s="36"/>
      <c r="O661" s="36"/>
      <c r="P661" s="36"/>
      <c r="Q661" s="36"/>
      <c r="R661" s="36"/>
      <c r="S661" s="36"/>
      <c r="T661" s="36"/>
    </row>
    <row r="662" spans="1:20" ht="15.75">
      <c r="A662" s="13">
        <v>61667</v>
      </c>
      <c r="B662" s="44">
        <f t="shared" si="1"/>
        <v>31</v>
      </c>
      <c r="C662" s="35">
        <v>131.881</v>
      </c>
      <c r="D662" s="35">
        <v>277.16699999999997</v>
      </c>
      <c r="E662" s="41">
        <v>829.952</v>
      </c>
      <c r="F662" s="35">
        <v>1239</v>
      </c>
      <c r="G662" s="35">
        <v>75</v>
      </c>
      <c r="H662" s="43">
        <v>600</v>
      </c>
      <c r="I662" s="35">
        <v>695</v>
      </c>
      <c r="J662" s="35">
        <v>0</v>
      </c>
      <c r="K662" s="36"/>
      <c r="L662" s="36"/>
      <c r="M662" s="36"/>
      <c r="N662" s="36"/>
      <c r="O662" s="36"/>
      <c r="P662" s="36"/>
      <c r="Q662" s="36"/>
      <c r="R662" s="36"/>
      <c r="S662" s="36"/>
      <c r="T662" s="36"/>
    </row>
    <row r="663" spans="1:20" ht="15.75">
      <c r="A663" s="13">
        <v>61697</v>
      </c>
      <c r="B663" s="44">
        <f t="shared" si="1"/>
        <v>30</v>
      </c>
      <c r="C663" s="35">
        <v>122.58</v>
      </c>
      <c r="D663" s="35">
        <v>297.94099999999997</v>
      </c>
      <c r="E663" s="41">
        <v>729.47900000000004</v>
      </c>
      <c r="F663" s="35">
        <v>1150</v>
      </c>
      <c r="G663" s="35">
        <v>100</v>
      </c>
      <c r="H663" s="43">
        <v>600</v>
      </c>
      <c r="I663" s="35">
        <v>695</v>
      </c>
      <c r="J663" s="35">
        <v>50</v>
      </c>
      <c r="K663" s="36"/>
      <c r="L663" s="36"/>
      <c r="M663" s="36"/>
      <c r="N663" s="36"/>
      <c r="O663" s="36"/>
      <c r="P663" s="36"/>
      <c r="Q663" s="36"/>
      <c r="R663" s="36"/>
      <c r="S663" s="36"/>
      <c r="T663" s="36"/>
    </row>
    <row r="664" spans="1:20" ht="15.75">
      <c r="A664" s="13">
        <v>61728</v>
      </c>
      <c r="B664" s="44">
        <f t="shared" si="1"/>
        <v>31</v>
      </c>
      <c r="C664" s="35">
        <v>122.58</v>
      </c>
      <c r="D664" s="35">
        <v>297.94099999999997</v>
      </c>
      <c r="E664" s="41">
        <v>729.47900000000004</v>
      </c>
      <c r="F664" s="35">
        <v>1150</v>
      </c>
      <c r="G664" s="35">
        <v>100</v>
      </c>
      <c r="H664" s="43">
        <v>600</v>
      </c>
      <c r="I664" s="35">
        <v>695</v>
      </c>
      <c r="J664" s="35">
        <v>50</v>
      </c>
      <c r="K664" s="36"/>
      <c r="L664" s="36"/>
      <c r="M664" s="36"/>
      <c r="N664" s="36"/>
      <c r="O664" s="36"/>
      <c r="P664" s="36"/>
      <c r="Q664" s="36"/>
      <c r="R664" s="36"/>
      <c r="S664" s="36"/>
      <c r="T664" s="36"/>
    </row>
    <row r="665" spans="1:20" ht="15.75">
      <c r="A665" s="13">
        <v>61759</v>
      </c>
      <c r="B665" s="44">
        <f t="shared" si="1"/>
        <v>31</v>
      </c>
      <c r="C665" s="35">
        <v>122.58</v>
      </c>
      <c r="D665" s="35">
        <v>297.94099999999997</v>
      </c>
      <c r="E665" s="41">
        <v>729.47900000000004</v>
      </c>
      <c r="F665" s="35">
        <v>1150</v>
      </c>
      <c r="G665" s="35">
        <v>100</v>
      </c>
      <c r="H665" s="43">
        <v>600</v>
      </c>
      <c r="I665" s="35">
        <v>695</v>
      </c>
      <c r="J665" s="35">
        <v>50</v>
      </c>
      <c r="K665" s="36"/>
      <c r="L665" s="36"/>
      <c r="M665" s="36"/>
      <c r="N665" s="36"/>
      <c r="O665" s="36"/>
      <c r="P665" s="36"/>
      <c r="Q665" s="36"/>
      <c r="R665" s="36"/>
      <c r="S665" s="36"/>
      <c r="T665" s="36"/>
    </row>
    <row r="666" spans="1:20" ht="15.75">
      <c r="A666" s="13">
        <v>61787</v>
      </c>
      <c r="B666" s="44">
        <f t="shared" si="1"/>
        <v>28</v>
      </c>
      <c r="C666" s="35">
        <v>122.58</v>
      </c>
      <c r="D666" s="35">
        <v>297.94099999999997</v>
      </c>
      <c r="E666" s="41">
        <v>729.47900000000004</v>
      </c>
      <c r="F666" s="35">
        <v>1150</v>
      </c>
      <c r="G666" s="35">
        <v>100</v>
      </c>
      <c r="H666" s="43">
        <v>600</v>
      </c>
      <c r="I666" s="35">
        <v>695</v>
      </c>
      <c r="J666" s="35">
        <v>50</v>
      </c>
      <c r="K666" s="36"/>
      <c r="L666" s="36"/>
      <c r="M666" s="36"/>
      <c r="N666" s="36"/>
      <c r="O666" s="36"/>
      <c r="P666" s="36"/>
      <c r="Q666" s="36"/>
      <c r="R666" s="36"/>
      <c r="S666" s="36"/>
      <c r="T666" s="36"/>
    </row>
    <row r="667" spans="1:20" ht="15.75">
      <c r="A667" s="13">
        <v>61818</v>
      </c>
      <c r="B667" s="44">
        <f t="shared" si="1"/>
        <v>31</v>
      </c>
      <c r="C667" s="35">
        <v>122.58</v>
      </c>
      <c r="D667" s="35">
        <v>297.94099999999997</v>
      </c>
      <c r="E667" s="41">
        <v>729.47900000000004</v>
      </c>
      <c r="F667" s="35">
        <v>1150</v>
      </c>
      <c r="G667" s="35">
        <v>100</v>
      </c>
      <c r="H667" s="43">
        <v>600</v>
      </c>
      <c r="I667" s="35">
        <v>695</v>
      </c>
      <c r="J667" s="35">
        <v>50</v>
      </c>
      <c r="K667" s="36"/>
      <c r="L667" s="36"/>
      <c r="M667" s="36"/>
      <c r="N667" s="36"/>
      <c r="O667" s="36"/>
      <c r="P667" s="36"/>
      <c r="Q667" s="36"/>
      <c r="R667" s="36"/>
      <c r="S667" s="36"/>
      <c r="T667" s="36"/>
    </row>
    <row r="668" spans="1:20" ht="15.75">
      <c r="A668" s="13">
        <v>61848</v>
      </c>
      <c r="B668" s="44">
        <f t="shared" si="1"/>
        <v>30</v>
      </c>
      <c r="C668" s="35">
        <v>141.29300000000001</v>
      </c>
      <c r="D668" s="35">
        <v>267.99299999999999</v>
      </c>
      <c r="E668" s="41">
        <v>829.71400000000006</v>
      </c>
      <c r="F668" s="35">
        <v>1239</v>
      </c>
      <c r="G668" s="35">
        <v>100</v>
      </c>
      <c r="H668" s="43">
        <v>600</v>
      </c>
      <c r="I668" s="35">
        <v>695</v>
      </c>
      <c r="J668" s="35">
        <v>50</v>
      </c>
      <c r="K668" s="36"/>
      <c r="L668" s="36"/>
      <c r="M668" s="36"/>
      <c r="N668" s="36"/>
      <c r="O668" s="36"/>
      <c r="P668" s="36"/>
      <c r="Q668" s="36"/>
      <c r="R668" s="36"/>
      <c r="S668" s="36"/>
      <c r="T668" s="36"/>
    </row>
    <row r="669" spans="1:20" ht="15.75">
      <c r="A669" s="13">
        <v>61879</v>
      </c>
      <c r="B669" s="44">
        <f t="shared" si="1"/>
        <v>31</v>
      </c>
      <c r="C669" s="35">
        <v>194.20500000000001</v>
      </c>
      <c r="D669" s="35">
        <v>267.46600000000001</v>
      </c>
      <c r="E669" s="41">
        <v>812.32899999999995</v>
      </c>
      <c r="F669" s="35">
        <v>1274</v>
      </c>
      <c r="G669" s="35">
        <v>75</v>
      </c>
      <c r="H669" s="43">
        <v>600</v>
      </c>
      <c r="I669" s="35">
        <v>695</v>
      </c>
      <c r="J669" s="35">
        <v>50</v>
      </c>
      <c r="K669" s="36"/>
      <c r="L669" s="36"/>
      <c r="M669" s="36"/>
      <c r="N669" s="36"/>
      <c r="O669" s="36"/>
      <c r="P669" s="36"/>
      <c r="Q669" s="36"/>
      <c r="R669" s="36"/>
      <c r="S669" s="36"/>
      <c r="T669" s="36"/>
    </row>
    <row r="670" spans="1:20" ht="15.75">
      <c r="A670" s="13">
        <v>61909</v>
      </c>
      <c r="B670" s="44">
        <f t="shared" si="1"/>
        <v>30</v>
      </c>
      <c r="C670" s="35">
        <v>194.20500000000001</v>
      </c>
      <c r="D670" s="35">
        <v>267.46600000000001</v>
      </c>
      <c r="E670" s="41">
        <v>812.32899999999995</v>
      </c>
      <c r="F670" s="35">
        <v>1274</v>
      </c>
      <c r="G670" s="35">
        <v>50</v>
      </c>
      <c r="H670" s="43">
        <v>600</v>
      </c>
      <c r="I670" s="35">
        <v>695</v>
      </c>
      <c r="J670" s="35">
        <v>50</v>
      </c>
      <c r="K670" s="36"/>
      <c r="L670" s="36"/>
      <c r="M670" s="36"/>
      <c r="N670" s="36"/>
      <c r="O670" s="36"/>
      <c r="P670" s="36"/>
      <c r="Q670" s="36"/>
      <c r="R670" s="36"/>
      <c r="S670" s="36"/>
      <c r="T670" s="36"/>
    </row>
    <row r="671" spans="1:20" ht="15.75">
      <c r="A671" s="13">
        <v>61940</v>
      </c>
      <c r="B671" s="44">
        <f t="shared" si="1"/>
        <v>31</v>
      </c>
      <c r="C671" s="35">
        <v>194.20500000000001</v>
      </c>
      <c r="D671" s="35">
        <v>267.46600000000001</v>
      </c>
      <c r="E671" s="41">
        <v>812.32899999999995</v>
      </c>
      <c r="F671" s="35">
        <v>1274</v>
      </c>
      <c r="G671" s="35">
        <v>50</v>
      </c>
      <c r="H671" s="43">
        <v>600</v>
      </c>
      <c r="I671" s="35">
        <v>695</v>
      </c>
      <c r="J671" s="35">
        <v>0</v>
      </c>
      <c r="K671" s="36"/>
      <c r="L671" s="36"/>
      <c r="M671" s="36"/>
      <c r="N671" s="36"/>
      <c r="O671" s="36"/>
      <c r="P671" s="36"/>
      <c r="Q671" s="36"/>
      <c r="R671" s="36"/>
      <c r="S671" s="36"/>
      <c r="T671" s="36"/>
    </row>
    <row r="672" spans="1:20" ht="15.75">
      <c r="A672" s="13">
        <v>61971</v>
      </c>
      <c r="B672" s="44">
        <f t="shared" si="1"/>
        <v>31</v>
      </c>
      <c r="C672" s="35">
        <v>194.20500000000001</v>
      </c>
      <c r="D672" s="35">
        <v>267.46600000000001</v>
      </c>
      <c r="E672" s="41">
        <v>812.32899999999995</v>
      </c>
      <c r="F672" s="35">
        <v>1274</v>
      </c>
      <c r="G672" s="35">
        <v>50</v>
      </c>
      <c r="H672" s="43">
        <v>600</v>
      </c>
      <c r="I672" s="35">
        <v>695</v>
      </c>
      <c r="J672" s="35">
        <v>0</v>
      </c>
      <c r="K672" s="36"/>
      <c r="L672" s="36"/>
      <c r="M672" s="36"/>
      <c r="N672" s="36"/>
      <c r="O672" s="36"/>
      <c r="P672" s="36"/>
      <c r="Q672" s="36"/>
      <c r="R672" s="36"/>
      <c r="S672" s="36"/>
      <c r="T672" s="36"/>
    </row>
    <row r="673" spans="1:20" ht="15.75">
      <c r="A673" s="13">
        <v>62001</v>
      </c>
      <c r="B673" s="44">
        <f t="shared" si="1"/>
        <v>30</v>
      </c>
      <c r="C673" s="35">
        <v>194.20500000000001</v>
      </c>
      <c r="D673" s="35">
        <v>267.46600000000001</v>
      </c>
      <c r="E673" s="41">
        <v>812.32899999999995</v>
      </c>
      <c r="F673" s="35">
        <v>1274</v>
      </c>
      <c r="G673" s="35">
        <v>50</v>
      </c>
      <c r="H673" s="43">
        <v>600</v>
      </c>
      <c r="I673" s="35">
        <v>695</v>
      </c>
      <c r="J673" s="35">
        <v>0</v>
      </c>
      <c r="K673" s="36"/>
      <c r="L673" s="36"/>
      <c r="M673" s="36"/>
      <c r="N673" s="36"/>
      <c r="O673" s="36"/>
      <c r="P673" s="36"/>
      <c r="Q673" s="36"/>
      <c r="R673" s="36"/>
      <c r="S673" s="36"/>
      <c r="T673" s="36"/>
    </row>
    <row r="674" spans="1:20" ht="15.75">
      <c r="A674" s="13">
        <v>62032</v>
      </c>
      <c r="B674" s="44">
        <f t="shared" si="1"/>
        <v>31</v>
      </c>
      <c r="C674" s="35">
        <v>131.881</v>
      </c>
      <c r="D674" s="35">
        <v>277.16699999999997</v>
      </c>
      <c r="E674" s="41">
        <v>829.952</v>
      </c>
      <c r="F674" s="35">
        <v>1239</v>
      </c>
      <c r="G674" s="35">
        <v>75</v>
      </c>
      <c r="H674" s="43">
        <v>600</v>
      </c>
      <c r="I674" s="35">
        <v>695</v>
      </c>
      <c r="J674" s="35">
        <v>0</v>
      </c>
      <c r="K674" s="36"/>
      <c r="L674" s="36"/>
      <c r="M674" s="36"/>
      <c r="N674" s="36"/>
      <c r="O674" s="36"/>
      <c r="P674" s="36"/>
      <c r="Q674" s="36"/>
      <c r="R674" s="36"/>
      <c r="S674" s="36"/>
      <c r="T674" s="36"/>
    </row>
    <row r="675" spans="1:20" ht="15.75">
      <c r="A675" s="13">
        <v>62062</v>
      </c>
      <c r="B675" s="44">
        <f t="shared" si="1"/>
        <v>30</v>
      </c>
      <c r="C675" s="35">
        <v>122.58</v>
      </c>
      <c r="D675" s="35">
        <v>297.94099999999997</v>
      </c>
      <c r="E675" s="41">
        <v>729.47900000000004</v>
      </c>
      <c r="F675" s="35">
        <v>1150</v>
      </c>
      <c r="G675" s="35">
        <v>100</v>
      </c>
      <c r="H675" s="43">
        <v>600</v>
      </c>
      <c r="I675" s="35">
        <v>695</v>
      </c>
      <c r="J675" s="35">
        <v>50</v>
      </c>
      <c r="K675" s="36"/>
      <c r="L675" s="36"/>
      <c r="M675" s="36"/>
      <c r="N675" s="36"/>
      <c r="O675" s="36"/>
      <c r="P675" s="36"/>
      <c r="Q675" s="36"/>
      <c r="R675" s="36"/>
      <c r="S675" s="36"/>
      <c r="T675" s="36"/>
    </row>
    <row r="676" spans="1:20" ht="15.75">
      <c r="A676" s="13">
        <v>62093</v>
      </c>
      <c r="B676" s="44">
        <f t="shared" si="1"/>
        <v>31</v>
      </c>
      <c r="C676" s="35">
        <v>122.58</v>
      </c>
      <c r="D676" s="35">
        <v>297.94099999999997</v>
      </c>
      <c r="E676" s="41">
        <v>729.47900000000004</v>
      </c>
      <c r="F676" s="35">
        <v>1150</v>
      </c>
      <c r="G676" s="35">
        <v>100</v>
      </c>
      <c r="H676" s="43">
        <v>600</v>
      </c>
      <c r="I676" s="35">
        <v>695</v>
      </c>
      <c r="J676" s="35">
        <v>50</v>
      </c>
      <c r="K676" s="36"/>
      <c r="L676" s="36"/>
      <c r="M676" s="36"/>
      <c r="N676" s="36"/>
      <c r="O676" s="36"/>
      <c r="P676" s="36"/>
      <c r="Q676" s="36"/>
      <c r="R676" s="36"/>
      <c r="S676" s="36"/>
      <c r="T676" s="36"/>
    </row>
    <row r="677" spans="1:20" ht="15.75">
      <c r="A677" s="13">
        <v>62124</v>
      </c>
      <c r="B677" s="44">
        <f t="shared" si="1"/>
        <v>31</v>
      </c>
      <c r="C677" s="35">
        <v>122.58</v>
      </c>
      <c r="D677" s="35">
        <v>297.94099999999997</v>
      </c>
      <c r="E677" s="41">
        <v>729.47900000000004</v>
      </c>
      <c r="F677" s="35">
        <v>1150</v>
      </c>
      <c r="G677" s="35">
        <v>100</v>
      </c>
      <c r="H677" s="43">
        <v>600</v>
      </c>
      <c r="I677" s="35">
        <v>695</v>
      </c>
      <c r="J677" s="35">
        <v>50</v>
      </c>
      <c r="K677" s="36"/>
      <c r="L677" s="36"/>
      <c r="M677" s="36"/>
      <c r="N677" s="36"/>
      <c r="O677" s="36"/>
      <c r="P677" s="36"/>
      <c r="Q677" s="36"/>
      <c r="R677" s="36"/>
      <c r="S677" s="36"/>
      <c r="T677" s="36"/>
    </row>
    <row r="678" spans="1:20" ht="15.75">
      <c r="A678" s="13">
        <v>62152</v>
      </c>
      <c r="B678" s="44">
        <f t="shared" si="1"/>
        <v>28</v>
      </c>
      <c r="C678" s="35">
        <v>122.58</v>
      </c>
      <c r="D678" s="35">
        <v>297.94099999999997</v>
      </c>
      <c r="E678" s="41">
        <v>729.47900000000004</v>
      </c>
      <c r="F678" s="35">
        <v>1150</v>
      </c>
      <c r="G678" s="35">
        <v>100</v>
      </c>
      <c r="H678" s="43">
        <v>600</v>
      </c>
      <c r="I678" s="35">
        <v>695</v>
      </c>
      <c r="J678" s="35">
        <v>50</v>
      </c>
      <c r="K678" s="36"/>
      <c r="L678" s="36"/>
      <c r="M678" s="36"/>
      <c r="N678" s="36"/>
      <c r="O678" s="36"/>
      <c r="P678" s="36"/>
      <c r="Q678" s="36"/>
      <c r="R678" s="36"/>
      <c r="S678" s="36"/>
      <c r="T678" s="36"/>
    </row>
    <row r="679" spans="1:20" ht="15.75">
      <c r="A679" s="13">
        <v>62183</v>
      </c>
      <c r="B679" s="44">
        <f t="shared" si="1"/>
        <v>31</v>
      </c>
      <c r="C679" s="35">
        <v>122.58</v>
      </c>
      <c r="D679" s="35">
        <v>297.94099999999997</v>
      </c>
      <c r="E679" s="41">
        <v>729.47900000000004</v>
      </c>
      <c r="F679" s="35">
        <v>1150</v>
      </c>
      <c r="G679" s="35">
        <v>100</v>
      </c>
      <c r="H679" s="43">
        <v>600</v>
      </c>
      <c r="I679" s="35">
        <v>695</v>
      </c>
      <c r="J679" s="35">
        <v>50</v>
      </c>
      <c r="K679" s="36"/>
      <c r="L679" s="36"/>
      <c r="M679" s="36"/>
      <c r="N679" s="36"/>
      <c r="O679" s="36"/>
      <c r="P679" s="36"/>
      <c r="Q679" s="36"/>
      <c r="R679" s="36"/>
      <c r="S679" s="36"/>
      <c r="T679" s="36"/>
    </row>
    <row r="680" spans="1:20" ht="15.75">
      <c r="A680" s="13">
        <v>62213</v>
      </c>
      <c r="B680" s="44">
        <f t="shared" si="1"/>
        <v>30</v>
      </c>
      <c r="C680" s="35">
        <v>141.29300000000001</v>
      </c>
      <c r="D680" s="35">
        <v>267.99299999999999</v>
      </c>
      <c r="E680" s="41">
        <v>829.71400000000006</v>
      </c>
      <c r="F680" s="35">
        <v>1239</v>
      </c>
      <c r="G680" s="35">
        <v>100</v>
      </c>
      <c r="H680" s="43">
        <v>600</v>
      </c>
      <c r="I680" s="35">
        <v>695</v>
      </c>
      <c r="J680" s="35">
        <v>50</v>
      </c>
      <c r="K680" s="36"/>
      <c r="L680" s="36"/>
      <c r="M680" s="36"/>
      <c r="N680" s="36"/>
      <c r="O680" s="36"/>
      <c r="P680" s="36"/>
      <c r="Q680" s="36"/>
      <c r="R680" s="36"/>
      <c r="S680" s="36"/>
      <c r="T680" s="36"/>
    </row>
    <row r="681" spans="1:20" ht="15.75">
      <c r="A681" s="13">
        <v>62244</v>
      </c>
      <c r="B681" s="44">
        <f t="shared" si="1"/>
        <v>31</v>
      </c>
      <c r="C681" s="35">
        <v>194.20500000000001</v>
      </c>
      <c r="D681" s="35">
        <v>267.46600000000001</v>
      </c>
      <c r="E681" s="41">
        <v>812.32899999999995</v>
      </c>
      <c r="F681" s="35">
        <v>1274</v>
      </c>
      <c r="G681" s="35">
        <v>75</v>
      </c>
      <c r="H681" s="43">
        <v>600</v>
      </c>
      <c r="I681" s="35">
        <v>695</v>
      </c>
      <c r="J681" s="35">
        <v>50</v>
      </c>
      <c r="K681" s="36"/>
      <c r="L681" s="36"/>
      <c r="M681" s="36"/>
      <c r="N681" s="36"/>
      <c r="O681" s="36"/>
      <c r="P681" s="36"/>
      <c r="Q681" s="36"/>
      <c r="R681" s="36"/>
      <c r="S681" s="36"/>
      <c r="T681" s="36"/>
    </row>
    <row r="682" spans="1:20" ht="15.75">
      <c r="A682" s="13">
        <v>62274</v>
      </c>
      <c r="B682" s="44">
        <f t="shared" si="1"/>
        <v>30</v>
      </c>
      <c r="C682" s="35">
        <v>194.20500000000001</v>
      </c>
      <c r="D682" s="35">
        <v>267.46600000000001</v>
      </c>
      <c r="E682" s="41">
        <v>812.32899999999995</v>
      </c>
      <c r="F682" s="35">
        <v>1274</v>
      </c>
      <c r="G682" s="35">
        <v>50</v>
      </c>
      <c r="H682" s="43">
        <v>600</v>
      </c>
      <c r="I682" s="35">
        <v>695</v>
      </c>
      <c r="J682" s="35">
        <v>50</v>
      </c>
      <c r="K682" s="36"/>
      <c r="L682" s="36"/>
      <c r="M682" s="36"/>
      <c r="N682" s="36"/>
      <c r="O682" s="36"/>
      <c r="P682" s="36"/>
      <c r="Q682" s="36"/>
      <c r="R682" s="36"/>
      <c r="S682" s="36"/>
      <c r="T682" s="36"/>
    </row>
    <row r="683" spans="1:20" ht="15.75">
      <c r="A683" s="13">
        <v>62305</v>
      </c>
      <c r="B683" s="44">
        <f t="shared" si="1"/>
        <v>31</v>
      </c>
      <c r="C683" s="35">
        <v>194.20500000000001</v>
      </c>
      <c r="D683" s="35">
        <v>267.46600000000001</v>
      </c>
      <c r="E683" s="41">
        <v>812.32899999999995</v>
      </c>
      <c r="F683" s="35">
        <v>1274</v>
      </c>
      <c r="G683" s="35">
        <v>50</v>
      </c>
      <c r="H683" s="43">
        <v>600</v>
      </c>
      <c r="I683" s="35">
        <v>695</v>
      </c>
      <c r="J683" s="35">
        <v>0</v>
      </c>
      <c r="K683" s="36"/>
      <c r="L683" s="36"/>
      <c r="M683" s="36"/>
      <c r="N683" s="36"/>
      <c r="O683" s="36"/>
      <c r="P683" s="36"/>
      <c r="Q683" s="36"/>
      <c r="R683" s="36"/>
      <c r="S683" s="36"/>
      <c r="T683" s="36"/>
    </row>
    <row r="684" spans="1:20" ht="15.75">
      <c r="A684" s="13">
        <v>62336</v>
      </c>
      <c r="B684" s="44">
        <f t="shared" si="1"/>
        <v>31</v>
      </c>
      <c r="C684" s="35">
        <v>194.20500000000001</v>
      </c>
      <c r="D684" s="35">
        <v>267.46600000000001</v>
      </c>
      <c r="E684" s="41">
        <v>812.32899999999995</v>
      </c>
      <c r="F684" s="35">
        <v>1274</v>
      </c>
      <c r="G684" s="35">
        <v>50</v>
      </c>
      <c r="H684" s="43">
        <v>600</v>
      </c>
      <c r="I684" s="35">
        <v>695</v>
      </c>
      <c r="J684" s="35">
        <v>0</v>
      </c>
      <c r="K684" s="36"/>
      <c r="L684" s="36"/>
      <c r="M684" s="36"/>
      <c r="N684" s="36"/>
      <c r="O684" s="36"/>
      <c r="P684" s="36"/>
      <c r="Q684" s="36"/>
      <c r="R684" s="36"/>
      <c r="S684" s="36"/>
      <c r="T684" s="36"/>
    </row>
    <row r="685" spans="1:20" ht="15.75">
      <c r="A685" s="13">
        <v>62366</v>
      </c>
      <c r="B685" s="44">
        <f t="shared" si="1"/>
        <v>30</v>
      </c>
      <c r="C685" s="35">
        <v>194.20500000000001</v>
      </c>
      <c r="D685" s="35">
        <v>267.46600000000001</v>
      </c>
      <c r="E685" s="41">
        <v>812.32899999999995</v>
      </c>
      <c r="F685" s="35">
        <v>1274</v>
      </c>
      <c r="G685" s="35">
        <v>50</v>
      </c>
      <c r="H685" s="43">
        <v>600</v>
      </c>
      <c r="I685" s="35">
        <v>695</v>
      </c>
      <c r="J685" s="35">
        <v>0</v>
      </c>
      <c r="K685" s="36"/>
      <c r="L685" s="36"/>
      <c r="M685" s="36"/>
      <c r="N685" s="36"/>
      <c r="O685" s="36"/>
      <c r="P685" s="36"/>
      <c r="Q685" s="36"/>
      <c r="R685" s="36"/>
      <c r="S685" s="36"/>
      <c r="T685" s="36"/>
    </row>
    <row r="686" spans="1:20" ht="15.75">
      <c r="A686" s="13">
        <v>62397</v>
      </c>
      <c r="B686" s="44">
        <f t="shared" si="1"/>
        <v>31</v>
      </c>
      <c r="C686" s="35">
        <v>131.881</v>
      </c>
      <c r="D686" s="35">
        <v>277.16699999999997</v>
      </c>
      <c r="E686" s="41">
        <v>829.952</v>
      </c>
      <c r="F686" s="35">
        <v>1239</v>
      </c>
      <c r="G686" s="35">
        <v>75</v>
      </c>
      <c r="H686" s="43">
        <v>600</v>
      </c>
      <c r="I686" s="35">
        <v>695</v>
      </c>
      <c r="J686" s="35">
        <v>0</v>
      </c>
      <c r="K686" s="36"/>
      <c r="L686" s="36"/>
      <c r="M686" s="36"/>
      <c r="N686" s="36"/>
      <c r="O686" s="36"/>
      <c r="P686" s="36"/>
      <c r="Q686" s="36"/>
      <c r="R686" s="36"/>
      <c r="S686" s="36"/>
      <c r="T686" s="36"/>
    </row>
    <row r="687" spans="1:20" ht="15.75">
      <c r="A687" s="13">
        <v>62427</v>
      </c>
      <c r="B687" s="44">
        <f t="shared" si="1"/>
        <v>30</v>
      </c>
      <c r="C687" s="35">
        <v>122.58</v>
      </c>
      <c r="D687" s="35">
        <v>297.94099999999997</v>
      </c>
      <c r="E687" s="41">
        <v>729.47900000000004</v>
      </c>
      <c r="F687" s="35">
        <v>1150</v>
      </c>
      <c r="G687" s="35">
        <v>100</v>
      </c>
      <c r="H687" s="43">
        <v>600</v>
      </c>
      <c r="I687" s="35">
        <v>695</v>
      </c>
      <c r="J687" s="35">
        <v>50</v>
      </c>
      <c r="K687" s="36"/>
      <c r="L687" s="36"/>
      <c r="M687" s="36"/>
      <c r="N687" s="36"/>
      <c r="O687" s="36"/>
      <c r="P687" s="36"/>
      <c r="Q687" s="36"/>
      <c r="R687" s="36"/>
      <c r="S687" s="36"/>
      <c r="T687" s="36"/>
    </row>
    <row r="688" spans="1:20" ht="15.75">
      <c r="A688" s="13">
        <v>62458</v>
      </c>
      <c r="B688" s="44">
        <f t="shared" si="1"/>
        <v>31</v>
      </c>
      <c r="C688" s="35">
        <v>122.58</v>
      </c>
      <c r="D688" s="35">
        <v>297.94099999999997</v>
      </c>
      <c r="E688" s="41">
        <v>729.47900000000004</v>
      </c>
      <c r="F688" s="35">
        <v>1150</v>
      </c>
      <c r="G688" s="35">
        <v>100</v>
      </c>
      <c r="H688" s="43">
        <v>600</v>
      </c>
      <c r="I688" s="35">
        <v>695</v>
      </c>
      <c r="J688" s="35">
        <v>50</v>
      </c>
      <c r="K688" s="36"/>
      <c r="L688" s="36"/>
      <c r="M688" s="36"/>
      <c r="N688" s="36"/>
      <c r="O688" s="36"/>
      <c r="P688" s="36"/>
      <c r="Q688" s="36"/>
      <c r="R688" s="36"/>
      <c r="S688" s="36"/>
      <c r="T688" s="36"/>
    </row>
    <row r="689" spans="1:20" ht="15.75">
      <c r="A689" s="13">
        <v>62489</v>
      </c>
      <c r="B689" s="44">
        <f t="shared" si="1"/>
        <v>31</v>
      </c>
      <c r="C689" s="35">
        <v>122.58</v>
      </c>
      <c r="D689" s="35">
        <v>297.94099999999997</v>
      </c>
      <c r="E689" s="41">
        <v>729.47900000000004</v>
      </c>
      <c r="F689" s="35">
        <v>1150</v>
      </c>
      <c r="G689" s="35">
        <v>100</v>
      </c>
      <c r="H689" s="43">
        <v>600</v>
      </c>
      <c r="I689" s="35">
        <v>695</v>
      </c>
      <c r="J689" s="35">
        <v>50</v>
      </c>
      <c r="K689" s="36"/>
      <c r="L689" s="36"/>
      <c r="M689" s="36"/>
      <c r="N689" s="36"/>
      <c r="O689" s="36"/>
      <c r="P689" s="36"/>
      <c r="Q689" s="36"/>
      <c r="R689" s="36"/>
      <c r="S689" s="36"/>
      <c r="T689" s="36"/>
    </row>
    <row r="690" spans="1:20" ht="15.75">
      <c r="A690" s="13">
        <v>62517</v>
      </c>
      <c r="B690" s="44">
        <f t="shared" si="1"/>
        <v>28</v>
      </c>
      <c r="C690" s="35">
        <v>122.58</v>
      </c>
      <c r="D690" s="35">
        <v>297.94099999999997</v>
      </c>
      <c r="E690" s="41">
        <v>729.47900000000004</v>
      </c>
      <c r="F690" s="35">
        <v>1150</v>
      </c>
      <c r="G690" s="35">
        <v>100</v>
      </c>
      <c r="H690" s="43">
        <v>600</v>
      </c>
      <c r="I690" s="35">
        <v>695</v>
      </c>
      <c r="J690" s="35">
        <v>50</v>
      </c>
      <c r="K690" s="36"/>
      <c r="L690" s="36"/>
      <c r="M690" s="36"/>
      <c r="N690" s="36"/>
      <c r="O690" s="36"/>
      <c r="P690" s="36"/>
      <c r="Q690" s="36"/>
      <c r="R690" s="36"/>
      <c r="S690" s="36"/>
      <c r="T690" s="36"/>
    </row>
    <row r="691" spans="1:20" ht="15.75">
      <c r="A691" s="13">
        <v>62548</v>
      </c>
      <c r="B691" s="44">
        <f t="shared" si="1"/>
        <v>31</v>
      </c>
      <c r="C691" s="35">
        <v>122.58</v>
      </c>
      <c r="D691" s="35">
        <v>297.94099999999997</v>
      </c>
      <c r="E691" s="41">
        <v>729.47900000000004</v>
      </c>
      <c r="F691" s="35">
        <v>1150</v>
      </c>
      <c r="G691" s="35">
        <v>100</v>
      </c>
      <c r="H691" s="43">
        <v>600</v>
      </c>
      <c r="I691" s="35">
        <v>695</v>
      </c>
      <c r="J691" s="35">
        <v>50</v>
      </c>
      <c r="K691" s="36"/>
      <c r="L691" s="36"/>
      <c r="M691" s="36"/>
      <c r="N691" s="36"/>
      <c r="O691" s="36"/>
      <c r="P691" s="36"/>
      <c r="Q691" s="36"/>
      <c r="R691" s="36"/>
      <c r="S691" s="36"/>
      <c r="T691" s="36"/>
    </row>
    <row r="692" spans="1:20" ht="15.75">
      <c r="A692" s="13">
        <v>62578</v>
      </c>
      <c r="B692" s="44">
        <f t="shared" si="1"/>
        <v>30</v>
      </c>
      <c r="C692" s="35">
        <v>141.29300000000001</v>
      </c>
      <c r="D692" s="35">
        <v>267.99299999999999</v>
      </c>
      <c r="E692" s="41">
        <v>829.71400000000006</v>
      </c>
      <c r="F692" s="35">
        <v>1239</v>
      </c>
      <c r="G692" s="35">
        <v>100</v>
      </c>
      <c r="H692" s="43">
        <v>600</v>
      </c>
      <c r="I692" s="35">
        <v>695</v>
      </c>
      <c r="J692" s="35">
        <v>50</v>
      </c>
      <c r="K692" s="36"/>
      <c r="L692" s="36"/>
      <c r="M692" s="36"/>
      <c r="N692" s="36"/>
      <c r="O692" s="36"/>
      <c r="P692" s="36"/>
      <c r="Q692" s="36"/>
      <c r="R692" s="36"/>
      <c r="S692" s="36"/>
      <c r="T692" s="36"/>
    </row>
    <row r="693" spans="1:20" ht="15.75">
      <c r="A693" s="13">
        <v>62609</v>
      </c>
      <c r="B693" s="44">
        <f t="shared" si="1"/>
        <v>31</v>
      </c>
      <c r="C693" s="35">
        <v>194.20500000000001</v>
      </c>
      <c r="D693" s="35">
        <v>267.46600000000001</v>
      </c>
      <c r="E693" s="41">
        <v>812.32899999999995</v>
      </c>
      <c r="F693" s="35">
        <v>1274</v>
      </c>
      <c r="G693" s="35">
        <v>75</v>
      </c>
      <c r="H693" s="43">
        <v>600</v>
      </c>
      <c r="I693" s="35">
        <v>695</v>
      </c>
      <c r="J693" s="35">
        <v>50</v>
      </c>
      <c r="K693" s="36"/>
      <c r="L693" s="36"/>
      <c r="M693" s="36"/>
      <c r="N693" s="36"/>
      <c r="O693" s="36"/>
      <c r="P693" s="36"/>
      <c r="Q693" s="36"/>
      <c r="R693" s="36"/>
      <c r="S693" s="36"/>
      <c r="T693" s="36"/>
    </row>
    <row r="694" spans="1:20" ht="15.75">
      <c r="A694" s="13">
        <v>62639</v>
      </c>
      <c r="B694" s="44">
        <f t="shared" si="1"/>
        <v>30</v>
      </c>
      <c r="C694" s="35">
        <v>194.20500000000001</v>
      </c>
      <c r="D694" s="35">
        <v>267.46600000000001</v>
      </c>
      <c r="E694" s="41">
        <v>812.32899999999995</v>
      </c>
      <c r="F694" s="35">
        <v>1274</v>
      </c>
      <c r="G694" s="35">
        <v>50</v>
      </c>
      <c r="H694" s="43">
        <v>600</v>
      </c>
      <c r="I694" s="35">
        <v>695</v>
      </c>
      <c r="J694" s="35">
        <v>50</v>
      </c>
      <c r="K694" s="36"/>
      <c r="L694" s="36"/>
      <c r="M694" s="36"/>
      <c r="N694" s="36"/>
      <c r="O694" s="36"/>
      <c r="P694" s="36"/>
      <c r="Q694" s="36"/>
      <c r="R694" s="36"/>
      <c r="S694" s="36"/>
      <c r="T694" s="36"/>
    </row>
    <row r="695" spans="1:20" ht="15.75">
      <c r="A695" s="13">
        <v>62670</v>
      </c>
      <c r="B695" s="44">
        <f t="shared" si="1"/>
        <v>31</v>
      </c>
      <c r="C695" s="35">
        <v>194.20500000000001</v>
      </c>
      <c r="D695" s="35">
        <v>267.46600000000001</v>
      </c>
      <c r="E695" s="41">
        <v>812.32899999999995</v>
      </c>
      <c r="F695" s="35">
        <v>1274</v>
      </c>
      <c r="G695" s="35">
        <v>50</v>
      </c>
      <c r="H695" s="43">
        <v>600</v>
      </c>
      <c r="I695" s="35">
        <v>695</v>
      </c>
      <c r="J695" s="35">
        <v>0</v>
      </c>
      <c r="K695" s="36"/>
      <c r="L695" s="36"/>
      <c r="M695" s="36"/>
      <c r="N695" s="36"/>
      <c r="O695" s="36"/>
      <c r="P695" s="36"/>
      <c r="Q695" s="36"/>
      <c r="R695" s="36"/>
      <c r="S695" s="36"/>
      <c r="T695" s="36"/>
    </row>
    <row r="696" spans="1:20" ht="15.75">
      <c r="A696" s="13">
        <v>62701</v>
      </c>
      <c r="B696" s="44">
        <f t="shared" si="1"/>
        <v>31</v>
      </c>
      <c r="C696" s="35">
        <v>194.20500000000001</v>
      </c>
      <c r="D696" s="35">
        <v>267.46600000000001</v>
      </c>
      <c r="E696" s="41">
        <v>812.32899999999995</v>
      </c>
      <c r="F696" s="35">
        <v>1274</v>
      </c>
      <c r="G696" s="35">
        <v>50</v>
      </c>
      <c r="H696" s="43">
        <v>600</v>
      </c>
      <c r="I696" s="35">
        <v>695</v>
      </c>
      <c r="J696" s="35">
        <v>0</v>
      </c>
      <c r="K696" s="36"/>
      <c r="L696" s="36"/>
      <c r="M696" s="36"/>
      <c r="N696" s="36"/>
      <c r="O696" s="36"/>
      <c r="P696" s="36"/>
      <c r="Q696" s="36"/>
      <c r="R696" s="36"/>
      <c r="S696" s="36"/>
      <c r="T696" s="36"/>
    </row>
    <row r="697" spans="1:20" ht="15.75">
      <c r="A697" s="13">
        <v>62731</v>
      </c>
      <c r="B697" s="44">
        <f t="shared" si="1"/>
        <v>30</v>
      </c>
      <c r="C697" s="35">
        <v>194.20500000000001</v>
      </c>
      <c r="D697" s="35">
        <v>267.46600000000001</v>
      </c>
      <c r="E697" s="41">
        <v>812.32899999999995</v>
      </c>
      <c r="F697" s="35">
        <v>1274</v>
      </c>
      <c r="G697" s="35">
        <v>50</v>
      </c>
      <c r="H697" s="43">
        <v>600</v>
      </c>
      <c r="I697" s="35">
        <v>695</v>
      </c>
      <c r="J697" s="35">
        <v>0</v>
      </c>
      <c r="K697" s="36"/>
      <c r="L697" s="36"/>
      <c r="M697" s="36"/>
      <c r="N697" s="36"/>
      <c r="O697" s="36"/>
      <c r="P697" s="36"/>
      <c r="Q697" s="36"/>
      <c r="R697" s="36"/>
      <c r="S697" s="36"/>
      <c r="T697" s="36"/>
    </row>
    <row r="698" spans="1:20" ht="15.75">
      <c r="A698" s="13">
        <v>62762</v>
      </c>
      <c r="B698" s="44">
        <f t="shared" si="1"/>
        <v>31</v>
      </c>
      <c r="C698" s="35">
        <v>131.881</v>
      </c>
      <c r="D698" s="35">
        <v>277.16699999999997</v>
      </c>
      <c r="E698" s="41">
        <v>829.952</v>
      </c>
      <c r="F698" s="35">
        <v>1239</v>
      </c>
      <c r="G698" s="35">
        <v>75</v>
      </c>
      <c r="H698" s="43">
        <v>600</v>
      </c>
      <c r="I698" s="35">
        <v>695</v>
      </c>
      <c r="J698" s="35">
        <v>0</v>
      </c>
      <c r="K698" s="36"/>
      <c r="L698" s="36"/>
      <c r="M698" s="36"/>
      <c r="N698" s="36"/>
      <c r="O698" s="36"/>
      <c r="P698" s="36"/>
      <c r="Q698" s="36"/>
      <c r="R698" s="36"/>
      <c r="S698" s="36"/>
      <c r="T698" s="36"/>
    </row>
    <row r="699" spans="1:20" ht="15.75">
      <c r="A699" s="13">
        <v>62792</v>
      </c>
      <c r="B699" s="44">
        <f t="shared" si="1"/>
        <v>30</v>
      </c>
      <c r="C699" s="35">
        <v>122.58</v>
      </c>
      <c r="D699" s="35">
        <v>297.94099999999997</v>
      </c>
      <c r="E699" s="41">
        <v>729.47900000000004</v>
      </c>
      <c r="F699" s="35">
        <v>1150</v>
      </c>
      <c r="G699" s="35">
        <v>100</v>
      </c>
      <c r="H699" s="43">
        <v>600</v>
      </c>
      <c r="I699" s="35">
        <v>695</v>
      </c>
      <c r="J699" s="35">
        <v>50</v>
      </c>
      <c r="K699" s="36"/>
      <c r="L699" s="36"/>
      <c r="M699" s="36"/>
      <c r="N699" s="36"/>
      <c r="O699" s="36"/>
      <c r="P699" s="36"/>
      <c r="Q699" s="36"/>
      <c r="R699" s="36"/>
      <c r="S699" s="36"/>
      <c r="T699" s="36"/>
    </row>
    <row r="700" spans="1:20" ht="15.75">
      <c r="A700" s="13">
        <v>62823</v>
      </c>
      <c r="B700" s="44">
        <f t="shared" si="1"/>
        <v>31</v>
      </c>
      <c r="C700" s="35">
        <v>122.58</v>
      </c>
      <c r="D700" s="35">
        <v>297.94099999999997</v>
      </c>
      <c r="E700" s="41">
        <v>729.47900000000004</v>
      </c>
      <c r="F700" s="35">
        <v>1150</v>
      </c>
      <c r="G700" s="35">
        <v>100</v>
      </c>
      <c r="H700" s="43">
        <v>600</v>
      </c>
      <c r="I700" s="35">
        <v>695</v>
      </c>
      <c r="J700" s="35">
        <v>50</v>
      </c>
      <c r="K700" s="36"/>
      <c r="L700" s="36"/>
      <c r="M700" s="36"/>
      <c r="N700" s="36"/>
      <c r="O700" s="36"/>
      <c r="P700" s="36"/>
      <c r="Q700" s="36"/>
      <c r="R700" s="36"/>
      <c r="S700" s="36"/>
      <c r="T700" s="36"/>
    </row>
    <row r="701" spans="1:20" ht="15.75">
      <c r="A701" s="13">
        <v>62854</v>
      </c>
      <c r="B701" s="44">
        <f t="shared" si="1"/>
        <v>31</v>
      </c>
      <c r="C701" s="35">
        <v>122.58</v>
      </c>
      <c r="D701" s="35">
        <v>297.94099999999997</v>
      </c>
      <c r="E701" s="41">
        <v>729.47900000000004</v>
      </c>
      <c r="F701" s="35">
        <v>1150</v>
      </c>
      <c r="G701" s="35">
        <v>100</v>
      </c>
      <c r="H701" s="43">
        <v>600</v>
      </c>
      <c r="I701" s="35">
        <v>695</v>
      </c>
      <c r="J701" s="35">
        <v>50</v>
      </c>
      <c r="K701" s="36"/>
      <c r="L701" s="36"/>
      <c r="M701" s="36"/>
      <c r="N701" s="36"/>
      <c r="O701" s="36"/>
      <c r="P701" s="36"/>
      <c r="Q701" s="36"/>
      <c r="R701" s="36"/>
      <c r="S701" s="36"/>
      <c r="T701" s="36"/>
    </row>
    <row r="702" spans="1:20" ht="15.75">
      <c r="A702" s="13">
        <v>62883</v>
      </c>
      <c r="B702" s="44">
        <f t="shared" si="1"/>
        <v>29</v>
      </c>
      <c r="C702" s="35">
        <v>122.58</v>
      </c>
      <c r="D702" s="35">
        <v>297.94099999999997</v>
      </c>
      <c r="E702" s="41">
        <v>729.47900000000004</v>
      </c>
      <c r="F702" s="35">
        <v>1150</v>
      </c>
      <c r="G702" s="35">
        <v>100</v>
      </c>
      <c r="H702" s="43">
        <v>600</v>
      </c>
      <c r="I702" s="35">
        <v>695</v>
      </c>
      <c r="J702" s="35">
        <v>50</v>
      </c>
      <c r="K702" s="36"/>
      <c r="L702" s="36"/>
      <c r="M702" s="36"/>
      <c r="N702" s="36"/>
      <c r="O702" s="36"/>
      <c r="P702" s="36"/>
      <c r="Q702" s="36"/>
      <c r="R702" s="36"/>
      <c r="S702" s="36"/>
      <c r="T702" s="36"/>
    </row>
    <row r="703" spans="1:20" ht="15.75">
      <c r="A703" s="13">
        <v>62914</v>
      </c>
      <c r="B703" s="44">
        <f t="shared" si="1"/>
        <v>31</v>
      </c>
      <c r="C703" s="35">
        <v>122.58</v>
      </c>
      <c r="D703" s="35">
        <v>297.94099999999997</v>
      </c>
      <c r="E703" s="41">
        <v>729.47900000000004</v>
      </c>
      <c r="F703" s="35">
        <v>1150</v>
      </c>
      <c r="G703" s="35">
        <v>100</v>
      </c>
      <c r="H703" s="43">
        <v>600</v>
      </c>
      <c r="I703" s="35">
        <v>695</v>
      </c>
      <c r="J703" s="35">
        <v>50</v>
      </c>
      <c r="K703" s="36"/>
      <c r="L703" s="36"/>
      <c r="M703" s="36"/>
      <c r="N703" s="36"/>
      <c r="O703" s="36"/>
      <c r="P703" s="36"/>
      <c r="Q703" s="36"/>
      <c r="R703" s="36"/>
      <c r="S703" s="36"/>
      <c r="T703" s="36"/>
    </row>
    <row r="704" spans="1:20" ht="15.75">
      <c r="A704" s="13">
        <v>62944</v>
      </c>
      <c r="B704" s="44">
        <f t="shared" si="1"/>
        <v>30</v>
      </c>
      <c r="C704" s="35">
        <v>141.29300000000001</v>
      </c>
      <c r="D704" s="35">
        <v>267.99299999999999</v>
      </c>
      <c r="E704" s="41">
        <v>829.71400000000006</v>
      </c>
      <c r="F704" s="35">
        <v>1239</v>
      </c>
      <c r="G704" s="35">
        <v>100</v>
      </c>
      <c r="H704" s="43">
        <v>600</v>
      </c>
      <c r="I704" s="35">
        <v>695</v>
      </c>
      <c r="J704" s="35">
        <v>50</v>
      </c>
      <c r="K704" s="36"/>
      <c r="L704" s="36"/>
      <c r="M704" s="36"/>
      <c r="N704" s="36"/>
      <c r="O704" s="36"/>
      <c r="P704" s="36"/>
      <c r="Q704" s="36"/>
      <c r="R704" s="36"/>
      <c r="S704" s="36"/>
      <c r="T704" s="36"/>
    </row>
    <row r="705" spans="1:20" ht="15.75">
      <c r="A705" s="13">
        <v>62975</v>
      </c>
      <c r="B705" s="44">
        <f t="shared" si="1"/>
        <v>31</v>
      </c>
      <c r="C705" s="35">
        <v>194.20500000000001</v>
      </c>
      <c r="D705" s="35">
        <v>267.46600000000001</v>
      </c>
      <c r="E705" s="41">
        <v>812.32899999999995</v>
      </c>
      <c r="F705" s="35">
        <v>1274</v>
      </c>
      <c r="G705" s="35">
        <v>75</v>
      </c>
      <c r="H705" s="43">
        <v>600</v>
      </c>
      <c r="I705" s="35">
        <v>695</v>
      </c>
      <c r="J705" s="35">
        <v>50</v>
      </c>
      <c r="K705" s="36"/>
      <c r="L705" s="36"/>
      <c r="M705" s="36"/>
      <c r="N705" s="36"/>
      <c r="O705" s="36"/>
      <c r="P705" s="36"/>
      <c r="Q705" s="36"/>
      <c r="R705" s="36"/>
      <c r="S705" s="36"/>
      <c r="T705" s="36"/>
    </row>
    <row r="706" spans="1:20" ht="15.75">
      <c r="A706" s="13">
        <v>63005</v>
      </c>
      <c r="B706" s="44">
        <f t="shared" si="1"/>
        <v>30</v>
      </c>
      <c r="C706" s="35">
        <v>194.20500000000001</v>
      </c>
      <c r="D706" s="35">
        <v>267.46600000000001</v>
      </c>
      <c r="E706" s="41">
        <v>812.32899999999995</v>
      </c>
      <c r="F706" s="35">
        <v>1274</v>
      </c>
      <c r="G706" s="35">
        <v>50</v>
      </c>
      <c r="H706" s="43">
        <v>600</v>
      </c>
      <c r="I706" s="35">
        <v>695</v>
      </c>
      <c r="J706" s="35">
        <v>50</v>
      </c>
      <c r="K706" s="36"/>
      <c r="L706" s="36"/>
      <c r="M706" s="36"/>
      <c r="N706" s="36"/>
      <c r="O706" s="36"/>
      <c r="P706" s="36"/>
      <c r="Q706" s="36"/>
      <c r="R706" s="36"/>
      <c r="S706" s="36"/>
      <c r="T706" s="36"/>
    </row>
    <row r="707" spans="1:20" ht="15.75">
      <c r="A707" s="13">
        <v>63036</v>
      </c>
      <c r="B707" s="44">
        <f t="shared" si="1"/>
        <v>31</v>
      </c>
      <c r="C707" s="35">
        <v>194.20500000000001</v>
      </c>
      <c r="D707" s="35">
        <v>267.46600000000001</v>
      </c>
      <c r="E707" s="41">
        <v>812.32899999999995</v>
      </c>
      <c r="F707" s="35">
        <v>1274</v>
      </c>
      <c r="G707" s="35">
        <v>50</v>
      </c>
      <c r="H707" s="43">
        <v>600</v>
      </c>
      <c r="I707" s="35">
        <v>695</v>
      </c>
      <c r="J707" s="35">
        <v>0</v>
      </c>
      <c r="K707" s="36"/>
      <c r="L707" s="36"/>
      <c r="M707" s="36"/>
      <c r="N707" s="36"/>
      <c r="O707" s="36"/>
      <c r="P707" s="36"/>
      <c r="Q707" s="36"/>
      <c r="R707" s="36"/>
      <c r="S707" s="36"/>
      <c r="T707" s="36"/>
    </row>
    <row r="708" spans="1:20" ht="15.75">
      <c r="A708" s="13">
        <v>63067</v>
      </c>
      <c r="B708" s="44">
        <f t="shared" si="1"/>
        <v>31</v>
      </c>
      <c r="C708" s="35">
        <v>194.20500000000001</v>
      </c>
      <c r="D708" s="35">
        <v>267.46600000000001</v>
      </c>
      <c r="E708" s="41">
        <v>812.32899999999995</v>
      </c>
      <c r="F708" s="35">
        <v>1274</v>
      </c>
      <c r="G708" s="35">
        <v>50</v>
      </c>
      <c r="H708" s="43">
        <v>600</v>
      </c>
      <c r="I708" s="35">
        <v>695</v>
      </c>
      <c r="J708" s="35">
        <v>0</v>
      </c>
      <c r="K708" s="36"/>
      <c r="L708" s="36"/>
      <c r="M708" s="36"/>
      <c r="N708" s="36"/>
      <c r="O708" s="36"/>
      <c r="P708" s="36"/>
      <c r="Q708" s="36"/>
      <c r="R708" s="36"/>
      <c r="S708" s="36"/>
      <c r="T708" s="36"/>
    </row>
    <row r="709" spans="1:20" ht="15.75">
      <c r="A709" s="13">
        <v>63097</v>
      </c>
      <c r="B709" s="44">
        <f t="shared" ref="B709:B772" si="2">EOMONTH(A709,0)-EOMONTH(A709,-1)</f>
        <v>30</v>
      </c>
      <c r="C709" s="35">
        <v>194.20500000000001</v>
      </c>
      <c r="D709" s="35">
        <v>267.46600000000001</v>
      </c>
      <c r="E709" s="41">
        <v>812.32899999999995</v>
      </c>
      <c r="F709" s="35">
        <v>1274</v>
      </c>
      <c r="G709" s="35">
        <v>50</v>
      </c>
      <c r="H709" s="43">
        <v>600</v>
      </c>
      <c r="I709" s="35">
        <v>695</v>
      </c>
      <c r="J709" s="35">
        <v>0</v>
      </c>
      <c r="K709" s="36"/>
      <c r="L709" s="36"/>
      <c r="M709" s="36"/>
      <c r="N709" s="36"/>
      <c r="O709" s="36"/>
      <c r="P709" s="36"/>
      <c r="Q709" s="36"/>
      <c r="R709" s="36"/>
      <c r="S709" s="36"/>
      <c r="T709" s="36"/>
    </row>
    <row r="710" spans="1:20" ht="15.75">
      <c r="A710" s="13">
        <v>63128</v>
      </c>
      <c r="B710" s="44">
        <f t="shared" si="2"/>
        <v>31</v>
      </c>
      <c r="C710" s="35">
        <v>131.881</v>
      </c>
      <c r="D710" s="35">
        <v>277.16699999999997</v>
      </c>
      <c r="E710" s="41">
        <v>829.952</v>
      </c>
      <c r="F710" s="35">
        <v>1239</v>
      </c>
      <c r="G710" s="35">
        <v>75</v>
      </c>
      <c r="H710" s="43">
        <v>600</v>
      </c>
      <c r="I710" s="35">
        <v>695</v>
      </c>
      <c r="J710" s="35">
        <v>0</v>
      </c>
      <c r="K710" s="36"/>
      <c r="L710" s="36"/>
      <c r="M710" s="36"/>
      <c r="N710" s="36"/>
      <c r="O710" s="36"/>
      <c r="P710" s="36"/>
      <c r="Q710" s="36"/>
      <c r="R710" s="36"/>
      <c r="S710" s="36"/>
      <c r="T710" s="36"/>
    </row>
    <row r="711" spans="1:20" ht="15.75">
      <c r="A711" s="13">
        <v>63158</v>
      </c>
      <c r="B711" s="44">
        <f t="shared" si="2"/>
        <v>30</v>
      </c>
      <c r="C711" s="35">
        <v>122.58</v>
      </c>
      <c r="D711" s="35">
        <v>297.94099999999997</v>
      </c>
      <c r="E711" s="41">
        <v>729.47900000000004</v>
      </c>
      <c r="F711" s="35">
        <v>1150</v>
      </c>
      <c r="G711" s="35">
        <v>100</v>
      </c>
      <c r="H711" s="43">
        <v>600</v>
      </c>
      <c r="I711" s="35">
        <v>695</v>
      </c>
      <c r="J711" s="35">
        <v>50</v>
      </c>
      <c r="K711" s="36"/>
      <c r="L711" s="36"/>
      <c r="M711" s="36"/>
      <c r="N711" s="36"/>
      <c r="O711" s="36"/>
      <c r="P711" s="36"/>
      <c r="Q711" s="36"/>
      <c r="R711" s="36"/>
      <c r="S711" s="36"/>
      <c r="T711" s="36"/>
    </row>
    <row r="712" spans="1:20" ht="15.75">
      <c r="A712" s="13">
        <v>63189</v>
      </c>
      <c r="B712" s="44">
        <f t="shared" si="2"/>
        <v>31</v>
      </c>
      <c r="C712" s="35">
        <v>122.58</v>
      </c>
      <c r="D712" s="35">
        <v>297.94099999999997</v>
      </c>
      <c r="E712" s="41">
        <v>729.47900000000004</v>
      </c>
      <c r="F712" s="35">
        <v>1150</v>
      </c>
      <c r="G712" s="35">
        <v>100</v>
      </c>
      <c r="H712" s="43">
        <v>600</v>
      </c>
      <c r="I712" s="35">
        <v>695</v>
      </c>
      <c r="J712" s="35">
        <v>50</v>
      </c>
      <c r="K712" s="36"/>
      <c r="L712" s="36"/>
      <c r="M712" s="36"/>
      <c r="N712" s="36"/>
      <c r="O712" s="36"/>
      <c r="P712" s="36"/>
      <c r="Q712" s="36"/>
      <c r="R712" s="36"/>
      <c r="S712" s="36"/>
      <c r="T712" s="36"/>
    </row>
    <row r="713" spans="1:20" ht="15.75">
      <c r="A713" s="13">
        <v>63220</v>
      </c>
      <c r="B713" s="44">
        <f t="shared" si="2"/>
        <v>31</v>
      </c>
      <c r="C713" s="35">
        <v>122.58</v>
      </c>
      <c r="D713" s="35">
        <v>297.94099999999997</v>
      </c>
      <c r="E713" s="41">
        <v>729.47900000000004</v>
      </c>
      <c r="F713" s="35">
        <v>1150</v>
      </c>
      <c r="G713" s="35">
        <v>100</v>
      </c>
      <c r="H713" s="43">
        <v>600</v>
      </c>
      <c r="I713" s="35">
        <v>695</v>
      </c>
      <c r="J713" s="35">
        <v>50</v>
      </c>
      <c r="K713" s="36"/>
      <c r="L713" s="36"/>
      <c r="M713" s="36"/>
      <c r="N713" s="36"/>
      <c r="O713" s="36"/>
      <c r="P713" s="36"/>
      <c r="Q713" s="36"/>
      <c r="R713" s="36"/>
      <c r="S713" s="36"/>
      <c r="T713" s="36"/>
    </row>
    <row r="714" spans="1:20" ht="15.75">
      <c r="A714" s="13">
        <v>63248</v>
      </c>
      <c r="B714" s="44">
        <f t="shared" si="2"/>
        <v>28</v>
      </c>
      <c r="C714" s="35">
        <v>122.58</v>
      </c>
      <c r="D714" s="35">
        <v>297.94099999999997</v>
      </c>
      <c r="E714" s="41">
        <v>729.47900000000004</v>
      </c>
      <c r="F714" s="35">
        <v>1150</v>
      </c>
      <c r="G714" s="35">
        <v>100</v>
      </c>
      <c r="H714" s="43">
        <v>600</v>
      </c>
      <c r="I714" s="35">
        <v>695</v>
      </c>
      <c r="J714" s="35">
        <v>50</v>
      </c>
      <c r="K714" s="36"/>
      <c r="L714" s="36"/>
      <c r="M714" s="36"/>
      <c r="N714" s="36"/>
      <c r="O714" s="36"/>
      <c r="P714" s="36"/>
      <c r="Q714" s="36"/>
      <c r="R714" s="36"/>
      <c r="S714" s="36"/>
      <c r="T714" s="36"/>
    </row>
    <row r="715" spans="1:20" ht="15.75">
      <c r="A715" s="13">
        <v>63279</v>
      </c>
      <c r="B715" s="44">
        <f t="shared" si="2"/>
        <v>31</v>
      </c>
      <c r="C715" s="35">
        <v>122.58</v>
      </c>
      <c r="D715" s="35">
        <v>297.94099999999997</v>
      </c>
      <c r="E715" s="41">
        <v>729.47900000000004</v>
      </c>
      <c r="F715" s="35">
        <v>1150</v>
      </c>
      <c r="G715" s="35">
        <v>100</v>
      </c>
      <c r="H715" s="43">
        <v>600</v>
      </c>
      <c r="I715" s="35">
        <v>695</v>
      </c>
      <c r="J715" s="35">
        <v>50</v>
      </c>
      <c r="K715" s="36"/>
      <c r="L715" s="36"/>
      <c r="M715" s="36"/>
      <c r="N715" s="36"/>
      <c r="O715" s="36"/>
      <c r="P715" s="36"/>
      <c r="Q715" s="36"/>
      <c r="R715" s="36"/>
      <c r="S715" s="36"/>
      <c r="T715" s="36"/>
    </row>
    <row r="716" spans="1:20" ht="15.75">
      <c r="A716" s="13">
        <v>63309</v>
      </c>
      <c r="B716" s="44">
        <f t="shared" si="2"/>
        <v>30</v>
      </c>
      <c r="C716" s="35">
        <v>141.29300000000001</v>
      </c>
      <c r="D716" s="35">
        <v>267.99299999999999</v>
      </c>
      <c r="E716" s="41">
        <v>829.71400000000006</v>
      </c>
      <c r="F716" s="35">
        <v>1239</v>
      </c>
      <c r="G716" s="35">
        <v>100</v>
      </c>
      <c r="H716" s="43">
        <v>600</v>
      </c>
      <c r="I716" s="35">
        <v>695</v>
      </c>
      <c r="J716" s="35">
        <v>50</v>
      </c>
      <c r="K716" s="36"/>
      <c r="L716" s="36"/>
      <c r="M716" s="36"/>
      <c r="N716" s="36"/>
      <c r="O716" s="36"/>
      <c r="P716" s="36"/>
      <c r="Q716" s="36"/>
      <c r="R716" s="36"/>
      <c r="S716" s="36"/>
      <c r="T716" s="36"/>
    </row>
    <row r="717" spans="1:20" ht="15.75">
      <c r="A717" s="13">
        <v>63340</v>
      </c>
      <c r="B717" s="44">
        <f t="shared" si="2"/>
        <v>31</v>
      </c>
      <c r="C717" s="35">
        <v>194.20500000000001</v>
      </c>
      <c r="D717" s="35">
        <v>267.46600000000001</v>
      </c>
      <c r="E717" s="41">
        <v>812.32899999999995</v>
      </c>
      <c r="F717" s="35">
        <v>1274</v>
      </c>
      <c r="G717" s="35">
        <v>75</v>
      </c>
      <c r="H717" s="43">
        <v>600</v>
      </c>
      <c r="I717" s="35">
        <v>695</v>
      </c>
      <c r="J717" s="35">
        <v>50</v>
      </c>
      <c r="K717" s="36"/>
      <c r="L717" s="36"/>
      <c r="M717" s="36"/>
      <c r="N717" s="36"/>
      <c r="O717" s="36"/>
      <c r="P717" s="36"/>
      <c r="Q717" s="36"/>
      <c r="R717" s="36"/>
      <c r="S717" s="36"/>
      <c r="T717" s="36"/>
    </row>
    <row r="718" spans="1:20" ht="15.75">
      <c r="A718" s="13">
        <v>63370</v>
      </c>
      <c r="B718" s="44">
        <f t="shared" si="2"/>
        <v>30</v>
      </c>
      <c r="C718" s="35">
        <v>194.20500000000001</v>
      </c>
      <c r="D718" s="35">
        <v>267.46600000000001</v>
      </c>
      <c r="E718" s="41">
        <v>812.32899999999995</v>
      </c>
      <c r="F718" s="35">
        <v>1274</v>
      </c>
      <c r="G718" s="35">
        <v>50</v>
      </c>
      <c r="H718" s="43">
        <v>600</v>
      </c>
      <c r="I718" s="35">
        <v>695</v>
      </c>
      <c r="J718" s="35">
        <v>50</v>
      </c>
      <c r="K718" s="36"/>
      <c r="L718" s="36"/>
      <c r="M718" s="36"/>
      <c r="N718" s="36"/>
      <c r="O718" s="36"/>
      <c r="P718" s="36"/>
      <c r="Q718" s="36"/>
      <c r="R718" s="36"/>
      <c r="S718" s="36"/>
      <c r="T718" s="36"/>
    </row>
    <row r="719" spans="1:20" ht="15.75">
      <c r="A719" s="13">
        <v>63401</v>
      </c>
      <c r="B719" s="44">
        <f t="shared" si="2"/>
        <v>31</v>
      </c>
      <c r="C719" s="35">
        <v>194.20500000000001</v>
      </c>
      <c r="D719" s="35">
        <v>267.46600000000001</v>
      </c>
      <c r="E719" s="41">
        <v>812.32899999999995</v>
      </c>
      <c r="F719" s="35">
        <v>1274</v>
      </c>
      <c r="G719" s="35">
        <v>50</v>
      </c>
      <c r="H719" s="43">
        <v>600</v>
      </c>
      <c r="I719" s="35">
        <v>695</v>
      </c>
      <c r="J719" s="35">
        <v>0</v>
      </c>
      <c r="K719" s="36"/>
      <c r="L719" s="36"/>
      <c r="M719" s="36"/>
      <c r="N719" s="36"/>
      <c r="O719" s="36"/>
      <c r="P719" s="36"/>
      <c r="Q719" s="36"/>
      <c r="R719" s="36"/>
      <c r="S719" s="36"/>
      <c r="T719" s="36"/>
    </row>
    <row r="720" spans="1:20" ht="15.75">
      <c r="A720" s="13">
        <v>63432</v>
      </c>
      <c r="B720" s="44">
        <f t="shared" si="2"/>
        <v>31</v>
      </c>
      <c r="C720" s="35">
        <v>194.20500000000001</v>
      </c>
      <c r="D720" s="35">
        <v>267.46600000000001</v>
      </c>
      <c r="E720" s="41">
        <v>812.32899999999995</v>
      </c>
      <c r="F720" s="35">
        <v>1274</v>
      </c>
      <c r="G720" s="35">
        <v>50</v>
      </c>
      <c r="H720" s="43">
        <v>600</v>
      </c>
      <c r="I720" s="35">
        <v>695</v>
      </c>
      <c r="J720" s="35">
        <v>0</v>
      </c>
      <c r="K720" s="36"/>
      <c r="L720" s="36"/>
      <c r="M720" s="36"/>
      <c r="N720" s="36"/>
      <c r="O720" s="36"/>
      <c r="P720" s="36"/>
      <c r="Q720" s="36"/>
      <c r="R720" s="36"/>
      <c r="S720" s="36"/>
      <c r="T720" s="36"/>
    </row>
    <row r="721" spans="1:20" ht="15.75">
      <c r="A721" s="13">
        <v>63462</v>
      </c>
      <c r="B721" s="44">
        <f t="shared" si="2"/>
        <v>30</v>
      </c>
      <c r="C721" s="35">
        <v>194.20500000000001</v>
      </c>
      <c r="D721" s="35">
        <v>267.46600000000001</v>
      </c>
      <c r="E721" s="41">
        <v>812.32899999999995</v>
      </c>
      <c r="F721" s="35">
        <v>1274</v>
      </c>
      <c r="G721" s="35">
        <v>50</v>
      </c>
      <c r="H721" s="43">
        <v>600</v>
      </c>
      <c r="I721" s="35">
        <v>695</v>
      </c>
      <c r="J721" s="35">
        <v>0</v>
      </c>
      <c r="K721" s="36"/>
      <c r="L721" s="36"/>
      <c r="M721" s="36"/>
      <c r="N721" s="36"/>
      <c r="O721" s="36"/>
      <c r="P721" s="36"/>
      <c r="Q721" s="36"/>
      <c r="R721" s="36"/>
      <c r="S721" s="36"/>
      <c r="T721" s="36"/>
    </row>
    <row r="722" spans="1:20" ht="15.75">
      <c r="A722" s="13">
        <v>63493</v>
      </c>
      <c r="B722" s="44">
        <f t="shared" si="2"/>
        <v>31</v>
      </c>
      <c r="C722" s="35">
        <v>131.881</v>
      </c>
      <c r="D722" s="35">
        <v>277.16699999999997</v>
      </c>
      <c r="E722" s="41">
        <v>829.952</v>
      </c>
      <c r="F722" s="35">
        <v>1239</v>
      </c>
      <c r="G722" s="35">
        <v>75</v>
      </c>
      <c r="H722" s="43">
        <v>600</v>
      </c>
      <c r="I722" s="35">
        <v>695</v>
      </c>
      <c r="J722" s="35">
        <v>0</v>
      </c>
      <c r="K722" s="36"/>
      <c r="L722" s="36"/>
      <c r="M722" s="36"/>
      <c r="N722" s="36"/>
      <c r="O722" s="36"/>
      <c r="P722" s="36"/>
      <c r="Q722" s="36"/>
      <c r="R722" s="36"/>
      <c r="S722" s="36"/>
      <c r="T722" s="36"/>
    </row>
    <row r="723" spans="1:20" ht="15.75">
      <c r="A723" s="13">
        <v>63523</v>
      </c>
      <c r="B723" s="44">
        <f t="shared" si="2"/>
        <v>30</v>
      </c>
      <c r="C723" s="35">
        <v>122.58</v>
      </c>
      <c r="D723" s="35">
        <v>297.94099999999997</v>
      </c>
      <c r="E723" s="41">
        <v>729.47900000000004</v>
      </c>
      <c r="F723" s="35">
        <v>1150</v>
      </c>
      <c r="G723" s="35">
        <v>100</v>
      </c>
      <c r="H723" s="43">
        <v>600</v>
      </c>
      <c r="I723" s="35">
        <v>695</v>
      </c>
      <c r="J723" s="35">
        <v>50</v>
      </c>
      <c r="K723" s="36"/>
      <c r="L723" s="36"/>
      <c r="M723" s="36"/>
      <c r="N723" s="36"/>
      <c r="O723" s="36"/>
      <c r="P723" s="36"/>
      <c r="Q723" s="36"/>
      <c r="R723" s="36"/>
      <c r="S723" s="36"/>
      <c r="T723" s="36"/>
    </row>
    <row r="724" spans="1:20" ht="15.75">
      <c r="A724" s="13">
        <v>63554</v>
      </c>
      <c r="B724" s="44">
        <f t="shared" si="2"/>
        <v>31</v>
      </c>
      <c r="C724" s="35">
        <v>122.58</v>
      </c>
      <c r="D724" s="35">
        <v>297.94099999999997</v>
      </c>
      <c r="E724" s="41">
        <v>729.47900000000004</v>
      </c>
      <c r="F724" s="35">
        <v>1150</v>
      </c>
      <c r="G724" s="35">
        <v>100</v>
      </c>
      <c r="H724" s="43">
        <v>600</v>
      </c>
      <c r="I724" s="35">
        <v>695</v>
      </c>
      <c r="J724" s="35">
        <v>50</v>
      </c>
      <c r="K724" s="36"/>
      <c r="L724" s="36"/>
      <c r="M724" s="36"/>
      <c r="N724" s="36"/>
      <c r="O724" s="36"/>
      <c r="P724" s="36"/>
      <c r="Q724" s="36"/>
      <c r="R724" s="36"/>
      <c r="S724" s="36"/>
      <c r="T724" s="36"/>
    </row>
    <row r="725" spans="1:20" ht="15.75">
      <c r="A725" s="13">
        <v>63585</v>
      </c>
      <c r="B725" s="44">
        <f t="shared" si="2"/>
        <v>31</v>
      </c>
      <c r="C725" s="35">
        <v>122.58</v>
      </c>
      <c r="D725" s="35">
        <v>297.94099999999997</v>
      </c>
      <c r="E725" s="41">
        <v>729.47900000000004</v>
      </c>
      <c r="F725" s="35">
        <v>1150</v>
      </c>
      <c r="G725" s="35">
        <v>100</v>
      </c>
      <c r="H725" s="43">
        <v>600</v>
      </c>
      <c r="I725" s="35">
        <v>695</v>
      </c>
      <c r="J725" s="35">
        <v>50</v>
      </c>
      <c r="K725" s="36"/>
      <c r="L725" s="36"/>
      <c r="M725" s="36"/>
      <c r="N725" s="36"/>
      <c r="O725" s="36"/>
      <c r="P725" s="36"/>
      <c r="Q725" s="36"/>
      <c r="R725" s="36"/>
      <c r="S725" s="36"/>
      <c r="T725" s="36"/>
    </row>
    <row r="726" spans="1:20" ht="15.75">
      <c r="A726" s="13">
        <v>63613</v>
      </c>
      <c r="B726" s="44">
        <f t="shared" si="2"/>
        <v>28</v>
      </c>
      <c r="C726" s="35">
        <v>122.58</v>
      </c>
      <c r="D726" s="35">
        <v>297.94099999999997</v>
      </c>
      <c r="E726" s="41">
        <v>729.47900000000004</v>
      </c>
      <c r="F726" s="35">
        <v>1150</v>
      </c>
      <c r="G726" s="35">
        <v>100</v>
      </c>
      <c r="H726" s="43">
        <v>600</v>
      </c>
      <c r="I726" s="35">
        <v>695</v>
      </c>
      <c r="J726" s="35">
        <v>50</v>
      </c>
      <c r="K726" s="36"/>
      <c r="L726" s="36"/>
      <c r="M726" s="36"/>
      <c r="N726" s="36"/>
      <c r="O726" s="36"/>
      <c r="P726" s="36"/>
      <c r="Q726" s="36"/>
      <c r="R726" s="36"/>
      <c r="S726" s="36"/>
      <c r="T726" s="36"/>
    </row>
    <row r="727" spans="1:20" ht="15.75">
      <c r="A727" s="13">
        <v>63644</v>
      </c>
      <c r="B727" s="44">
        <f t="shared" si="2"/>
        <v>31</v>
      </c>
      <c r="C727" s="35">
        <v>122.58</v>
      </c>
      <c r="D727" s="35">
        <v>297.94099999999997</v>
      </c>
      <c r="E727" s="41">
        <v>729.47900000000004</v>
      </c>
      <c r="F727" s="35">
        <v>1150</v>
      </c>
      <c r="G727" s="35">
        <v>100</v>
      </c>
      <c r="H727" s="43">
        <v>600</v>
      </c>
      <c r="I727" s="35">
        <v>695</v>
      </c>
      <c r="J727" s="35">
        <v>50</v>
      </c>
      <c r="K727" s="36"/>
      <c r="L727" s="36"/>
      <c r="M727" s="36"/>
      <c r="N727" s="36"/>
      <c r="O727" s="36"/>
      <c r="P727" s="36"/>
      <c r="Q727" s="36"/>
      <c r="R727" s="36"/>
      <c r="S727" s="36"/>
      <c r="T727" s="36"/>
    </row>
    <row r="728" spans="1:20" ht="15.75">
      <c r="A728" s="13">
        <v>63674</v>
      </c>
      <c r="B728" s="44">
        <f t="shared" si="2"/>
        <v>30</v>
      </c>
      <c r="C728" s="35">
        <v>141.29300000000001</v>
      </c>
      <c r="D728" s="35">
        <v>267.99299999999999</v>
      </c>
      <c r="E728" s="41">
        <v>829.71400000000006</v>
      </c>
      <c r="F728" s="35">
        <v>1239</v>
      </c>
      <c r="G728" s="35">
        <v>100</v>
      </c>
      <c r="H728" s="43">
        <v>600</v>
      </c>
      <c r="I728" s="35">
        <v>695</v>
      </c>
      <c r="J728" s="35">
        <v>50</v>
      </c>
      <c r="K728" s="36"/>
      <c r="L728" s="36"/>
      <c r="M728" s="36"/>
      <c r="N728" s="36"/>
      <c r="O728" s="36"/>
      <c r="P728" s="36"/>
      <c r="Q728" s="36"/>
      <c r="R728" s="36"/>
      <c r="S728" s="36"/>
      <c r="T728" s="36"/>
    </row>
    <row r="729" spans="1:20" ht="15.75">
      <c r="A729" s="13">
        <v>63705</v>
      </c>
      <c r="B729" s="44">
        <f t="shared" si="2"/>
        <v>31</v>
      </c>
      <c r="C729" s="35">
        <v>194.20500000000001</v>
      </c>
      <c r="D729" s="35">
        <v>267.46600000000001</v>
      </c>
      <c r="E729" s="41">
        <v>812.32899999999995</v>
      </c>
      <c r="F729" s="35">
        <v>1274</v>
      </c>
      <c r="G729" s="35">
        <v>75</v>
      </c>
      <c r="H729" s="43">
        <v>600</v>
      </c>
      <c r="I729" s="35">
        <v>695</v>
      </c>
      <c r="J729" s="35">
        <v>50</v>
      </c>
      <c r="K729" s="36"/>
      <c r="L729" s="36"/>
      <c r="M729" s="36"/>
      <c r="N729" s="36"/>
      <c r="O729" s="36"/>
      <c r="P729" s="36"/>
      <c r="Q729" s="36"/>
      <c r="R729" s="36"/>
      <c r="S729" s="36"/>
      <c r="T729" s="36"/>
    </row>
    <row r="730" spans="1:20" ht="15.75">
      <c r="A730" s="13">
        <v>63735</v>
      </c>
      <c r="B730" s="44">
        <f t="shared" si="2"/>
        <v>30</v>
      </c>
      <c r="C730" s="35">
        <v>194.20500000000001</v>
      </c>
      <c r="D730" s="35">
        <v>267.46600000000001</v>
      </c>
      <c r="E730" s="41">
        <v>812.32899999999995</v>
      </c>
      <c r="F730" s="35">
        <v>1274</v>
      </c>
      <c r="G730" s="35">
        <v>50</v>
      </c>
      <c r="H730" s="43">
        <v>600</v>
      </c>
      <c r="I730" s="35">
        <v>695</v>
      </c>
      <c r="J730" s="35">
        <v>50</v>
      </c>
      <c r="K730" s="36"/>
      <c r="L730" s="36"/>
      <c r="M730" s="36"/>
      <c r="N730" s="36"/>
      <c r="O730" s="36"/>
      <c r="P730" s="36"/>
      <c r="Q730" s="36"/>
      <c r="R730" s="36"/>
      <c r="S730" s="36"/>
      <c r="T730" s="36"/>
    </row>
    <row r="731" spans="1:20" ht="15.75">
      <c r="A731" s="13">
        <v>63766</v>
      </c>
      <c r="B731" s="44">
        <f t="shared" si="2"/>
        <v>31</v>
      </c>
      <c r="C731" s="35">
        <v>194.20500000000001</v>
      </c>
      <c r="D731" s="35">
        <v>267.46600000000001</v>
      </c>
      <c r="E731" s="41">
        <v>812.32899999999995</v>
      </c>
      <c r="F731" s="35">
        <v>1274</v>
      </c>
      <c r="G731" s="35">
        <v>50</v>
      </c>
      <c r="H731" s="43">
        <v>600</v>
      </c>
      <c r="I731" s="35">
        <v>695</v>
      </c>
      <c r="J731" s="35">
        <v>0</v>
      </c>
      <c r="K731" s="36"/>
      <c r="L731" s="36"/>
      <c r="M731" s="36"/>
      <c r="N731" s="36"/>
      <c r="O731" s="36"/>
      <c r="P731" s="36"/>
      <c r="Q731" s="36"/>
      <c r="R731" s="36"/>
      <c r="S731" s="36"/>
      <c r="T731" s="36"/>
    </row>
    <row r="732" spans="1:20" ht="15.75">
      <c r="A732" s="13">
        <v>63797</v>
      </c>
      <c r="B732" s="44">
        <f t="shared" si="2"/>
        <v>31</v>
      </c>
      <c r="C732" s="35">
        <v>194.20500000000001</v>
      </c>
      <c r="D732" s="35">
        <v>267.46600000000001</v>
      </c>
      <c r="E732" s="41">
        <v>812.32899999999995</v>
      </c>
      <c r="F732" s="35">
        <v>1274</v>
      </c>
      <c r="G732" s="35">
        <v>50</v>
      </c>
      <c r="H732" s="43">
        <v>600</v>
      </c>
      <c r="I732" s="35">
        <v>695</v>
      </c>
      <c r="J732" s="35">
        <v>0</v>
      </c>
      <c r="K732" s="36"/>
      <c r="L732" s="36"/>
      <c r="M732" s="36"/>
      <c r="N732" s="36"/>
      <c r="O732" s="36"/>
      <c r="P732" s="36"/>
      <c r="Q732" s="36"/>
      <c r="R732" s="36"/>
      <c r="S732" s="36"/>
      <c r="T732" s="36"/>
    </row>
    <row r="733" spans="1:20" ht="15.75">
      <c r="A733" s="13">
        <v>63827</v>
      </c>
      <c r="B733" s="44">
        <f t="shared" si="2"/>
        <v>30</v>
      </c>
      <c r="C733" s="35">
        <v>194.20500000000001</v>
      </c>
      <c r="D733" s="35">
        <v>267.46600000000001</v>
      </c>
      <c r="E733" s="41">
        <v>812.32899999999995</v>
      </c>
      <c r="F733" s="35">
        <v>1274</v>
      </c>
      <c r="G733" s="35">
        <v>50</v>
      </c>
      <c r="H733" s="43">
        <v>600</v>
      </c>
      <c r="I733" s="35">
        <v>695</v>
      </c>
      <c r="J733" s="35">
        <v>0</v>
      </c>
      <c r="K733" s="36"/>
      <c r="L733" s="36"/>
      <c r="M733" s="36"/>
      <c r="N733" s="36"/>
      <c r="O733" s="36"/>
      <c r="P733" s="36"/>
      <c r="Q733" s="36"/>
      <c r="R733" s="36"/>
      <c r="S733" s="36"/>
      <c r="T733" s="36"/>
    </row>
    <row r="734" spans="1:20" ht="15.75">
      <c r="A734" s="13">
        <v>63858</v>
      </c>
      <c r="B734" s="44">
        <f t="shared" si="2"/>
        <v>31</v>
      </c>
      <c r="C734" s="35">
        <v>131.881</v>
      </c>
      <c r="D734" s="35">
        <v>277.16699999999997</v>
      </c>
      <c r="E734" s="41">
        <v>829.952</v>
      </c>
      <c r="F734" s="35">
        <v>1239</v>
      </c>
      <c r="G734" s="35">
        <v>75</v>
      </c>
      <c r="H734" s="43">
        <v>600</v>
      </c>
      <c r="I734" s="35">
        <v>695</v>
      </c>
      <c r="J734" s="35">
        <v>0</v>
      </c>
      <c r="K734" s="36"/>
      <c r="L734" s="36"/>
      <c r="M734" s="36"/>
      <c r="N734" s="36"/>
      <c r="O734" s="36"/>
      <c r="P734" s="36"/>
      <c r="Q734" s="36"/>
      <c r="R734" s="36"/>
      <c r="S734" s="36"/>
      <c r="T734" s="36"/>
    </row>
    <row r="735" spans="1:20" ht="15.75">
      <c r="A735" s="13">
        <v>63888</v>
      </c>
      <c r="B735" s="44">
        <f t="shared" si="2"/>
        <v>30</v>
      </c>
      <c r="C735" s="35">
        <v>122.58</v>
      </c>
      <c r="D735" s="35">
        <v>297.94099999999997</v>
      </c>
      <c r="E735" s="41">
        <v>729.47900000000004</v>
      </c>
      <c r="F735" s="35">
        <v>1150</v>
      </c>
      <c r="G735" s="35">
        <v>100</v>
      </c>
      <c r="H735" s="43">
        <v>600</v>
      </c>
      <c r="I735" s="35">
        <v>695</v>
      </c>
      <c r="J735" s="35">
        <v>50</v>
      </c>
      <c r="K735" s="36"/>
      <c r="L735" s="36"/>
      <c r="M735" s="36"/>
      <c r="N735" s="36"/>
      <c r="O735" s="36"/>
      <c r="P735" s="36"/>
      <c r="Q735" s="36"/>
      <c r="R735" s="36"/>
      <c r="S735" s="36"/>
      <c r="T735" s="36"/>
    </row>
    <row r="736" spans="1:20" ht="15.75">
      <c r="A736" s="13">
        <v>63919</v>
      </c>
      <c r="B736" s="44">
        <f t="shared" si="2"/>
        <v>31</v>
      </c>
      <c r="C736" s="35">
        <v>122.58</v>
      </c>
      <c r="D736" s="35">
        <v>297.94099999999997</v>
      </c>
      <c r="E736" s="41">
        <v>729.47900000000004</v>
      </c>
      <c r="F736" s="35">
        <v>1150</v>
      </c>
      <c r="G736" s="35">
        <v>100</v>
      </c>
      <c r="H736" s="43">
        <v>600</v>
      </c>
      <c r="I736" s="35">
        <v>695</v>
      </c>
      <c r="J736" s="35">
        <v>50</v>
      </c>
      <c r="K736" s="36"/>
      <c r="L736" s="36"/>
      <c r="M736" s="36"/>
      <c r="N736" s="36"/>
      <c r="O736" s="36"/>
      <c r="P736" s="36"/>
      <c r="Q736" s="36"/>
      <c r="R736" s="36"/>
      <c r="S736" s="36"/>
      <c r="T736" s="36"/>
    </row>
    <row r="737" spans="1:20" ht="15.75">
      <c r="A737" s="13">
        <v>63950</v>
      </c>
      <c r="B737" s="44">
        <f t="shared" si="2"/>
        <v>31</v>
      </c>
      <c r="C737" s="35">
        <v>122.58</v>
      </c>
      <c r="D737" s="35">
        <v>297.94099999999997</v>
      </c>
      <c r="E737" s="41">
        <v>729.47900000000004</v>
      </c>
      <c r="F737" s="35">
        <v>1150</v>
      </c>
      <c r="G737" s="35">
        <v>100</v>
      </c>
      <c r="H737" s="43">
        <v>600</v>
      </c>
      <c r="I737" s="35">
        <v>695</v>
      </c>
      <c r="J737" s="35">
        <v>50</v>
      </c>
      <c r="K737" s="36"/>
      <c r="L737" s="36"/>
      <c r="M737" s="36"/>
      <c r="N737" s="36"/>
      <c r="O737" s="36"/>
      <c r="P737" s="36"/>
      <c r="Q737" s="36"/>
      <c r="R737" s="36"/>
      <c r="S737" s="36"/>
      <c r="T737" s="36"/>
    </row>
    <row r="738" spans="1:20" ht="15.75">
      <c r="A738" s="13">
        <v>63978</v>
      </c>
      <c r="B738" s="44">
        <f t="shared" si="2"/>
        <v>28</v>
      </c>
      <c r="C738" s="35">
        <v>122.58</v>
      </c>
      <c r="D738" s="35">
        <v>297.94099999999997</v>
      </c>
      <c r="E738" s="41">
        <v>729.47900000000004</v>
      </c>
      <c r="F738" s="35">
        <v>1150</v>
      </c>
      <c r="G738" s="35">
        <v>100</v>
      </c>
      <c r="H738" s="43">
        <v>600</v>
      </c>
      <c r="I738" s="35">
        <v>695</v>
      </c>
      <c r="J738" s="35">
        <v>50</v>
      </c>
      <c r="K738" s="36"/>
      <c r="L738" s="36"/>
      <c r="M738" s="36"/>
      <c r="N738" s="36"/>
      <c r="O738" s="36"/>
      <c r="P738" s="36"/>
      <c r="Q738" s="36"/>
      <c r="R738" s="36"/>
      <c r="S738" s="36"/>
      <c r="T738" s="36"/>
    </row>
    <row r="739" spans="1:20" ht="15.75">
      <c r="A739" s="13">
        <v>64009</v>
      </c>
      <c r="B739" s="44">
        <f t="shared" si="2"/>
        <v>31</v>
      </c>
      <c r="C739" s="35">
        <v>122.58</v>
      </c>
      <c r="D739" s="35">
        <v>297.94099999999997</v>
      </c>
      <c r="E739" s="41">
        <v>729.47900000000004</v>
      </c>
      <c r="F739" s="35">
        <v>1150</v>
      </c>
      <c r="G739" s="35">
        <v>100</v>
      </c>
      <c r="H739" s="43">
        <v>600</v>
      </c>
      <c r="I739" s="35">
        <v>695</v>
      </c>
      <c r="J739" s="35">
        <v>50</v>
      </c>
      <c r="K739" s="36"/>
      <c r="L739" s="36"/>
      <c r="M739" s="36"/>
      <c r="N739" s="36"/>
      <c r="O739" s="36"/>
      <c r="P739" s="36"/>
      <c r="Q739" s="36"/>
      <c r="R739" s="36"/>
      <c r="S739" s="36"/>
      <c r="T739" s="36"/>
    </row>
    <row r="740" spans="1:20" ht="15.75">
      <c r="A740" s="13">
        <v>64039</v>
      </c>
      <c r="B740" s="44">
        <f t="shared" si="2"/>
        <v>30</v>
      </c>
      <c r="C740" s="35">
        <v>141.29300000000001</v>
      </c>
      <c r="D740" s="35">
        <v>267.99299999999999</v>
      </c>
      <c r="E740" s="41">
        <v>829.71400000000006</v>
      </c>
      <c r="F740" s="35">
        <v>1239</v>
      </c>
      <c r="G740" s="35">
        <v>100</v>
      </c>
      <c r="H740" s="43">
        <v>600</v>
      </c>
      <c r="I740" s="35">
        <v>695</v>
      </c>
      <c r="J740" s="35">
        <v>50</v>
      </c>
      <c r="K740" s="36"/>
      <c r="L740" s="36"/>
      <c r="M740" s="36"/>
      <c r="N740" s="36"/>
      <c r="O740" s="36"/>
      <c r="P740" s="36"/>
      <c r="Q740" s="36"/>
      <c r="R740" s="36"/>
      <c r="S740" s="36"/>
      <c r="T740" s="36"/>
    </row>
    <row r="741" spans="1:20" ht="15.75">
      <c r="A741" s="13">
        <v>64070</v>
      </c>
      <c r="B741" s="44">
        <f t="shared" si="2"/>
        <v>31</v>
      </c>
      <c r="C741" s="35">
        <v>194.20500000000001</v>
      </c>
      <c r="D741" s="35">
        <v>267.46600000000001</v>
      </c>
      <c r="E741" s="41">
        <v>812.32899999999995</v>
      </c>
      <c r="F741" s="35">
        <v>1274</v>
      </c>
      <c r="G741" s="35">
        <v>75</v>
      </c>
      <c r="H741" s="43">
        <v>600</v>
      </c>
      <c r="I741" s="35">
        <v>695</v>
      </c>
      <c r="J741" s="35">
        <v>50</v>
      </c>
      <c r="K741" s="36"/>
      <c r="L741" s="36"/>
      <c r="M741" s="36"/>
      <c r="N741" s="36"/>
      <c r="O741" s="36"/>
      <c r="P741" s="36"/>
      <c r="Q741" s="36"/>
      <c r="R741" s="36"/>
      <c r="S741" s="36"/>
      <c r="T741" s="36"/>
    </row>
    <row r="742" spans="1:20" ht="15.75">
      <c r="A742" s="13">
        <v>64100</v>
      </c>
      <c r="B742" s="44">
        <f t="shared" si="2"/>
        <v>30</v>
      </c>
      <c r="C742" s="35">
        <v>194.20500000000001</v>
      </c>
      <c r="D742" s="35">
        <v>267.46600000000001</v>
      </c>
      <c r="E742" s="41">
        <v>812.32899999999995</v>
      </c>
      <c r="F742" s="35">
        <v>1274</v>
      </c>
      <c r="G742" s="35">
        <v>50</v>
      </c>
      <c r="H742" s="43">
        <v>600</v>
      </c>
      <c r="I742" s="35">
        <v>695</v>
      </c>
      <c r="J742" s="35">
        <v>50</v>
      </c>
      <c r="K742" s="36"/>
      <c r="L742" s="36"/>
      <c r="M742" s="36"/>
      <c r="N742" s="36"/>
      <c r="O742" s="36"/>
      <c r="P742" s="36"/>
      <c r="Q742" s="36"/>
      <c r="R742" s="36"/>
      <c r="S742" s="36"/>
      <c r="T742" s="36"/>
    </row>
    <row r="743" spans="1:20" ht="15.75">
      <c r="A743" s="13">
        <v>64131</v>
      </c>
      <c r="B743" s="44">
        <f t="shared" si="2"/>
        <v>31</v>
      </c>
      <c r="C743" s="35">
        <v>194.20500000000001</v>
      </c>
      <c r="D743" s="35">
        <v>267.46600000000001</v>
      </c>
      <c r="E743" s="41">
        <v>812.32899999999995</v>
      </c>
      <c r="F743" s="35">
        <v>1274</v>
      </c>
      <c r="G743" s="35">
        <v>50</v>
      </c>
      <c r="H743" s="43">
        <v>600</v>
      </c>
      <c r="I743" s="35">
        <v>695</v>
      </c>
      <c r="J743" s="35">
        <v>0</v>
      </c>
      <c r="K743" s="36"/>
      <c r="L743" s="36"/>
      <c r="M743" s="36"/>
      <c r="N743" s="36"/>
      <c r="O743" s="36"/>
      <c r="P743" s="36"/>
      <c r="Q743" s="36"/>
      <c r="R743" s="36"/>
      <c r="S743" s="36"/>
      <c r="T743" s="36"/>
    </row>
    <row r="744" spans="1:20" ht="15.75">
      <c r="A744" s="13">
        <v>64162</v>
      </c>
      <c r="B744" s="44">
        <f t="shared" si="2"/>
        <v>31</v>
      </c>
      <c r="C744" s="35">
        <v>194.20500000000001</v>
      </c>
      <c r="D744" s="35">
        <v>267.46600000000001</v>
      </c>
      <c r="E744" s="41">
        <v>812.32899999999995</v>
      </c>
      <c r="F744" s="35">
        <v>1274</v>
      </c>
      <c r="G744" s="35">
        <v>50</v>
      </c>
      <c r="H744" s="43">
        <v>600</v>
      </c>
      <c r="I744" s="35">
        <v>695</v>
      </c>
      <c r="J744" s="35">
        <v>0</v>
      </c>
      <c r="K744" s="36"/>
      <c r="L744" s="36"/>
      <c r="M744" s="36"/>
      <c r="N744" s="36"/>
      <c r="O744" s="36"/>
      <c r="P744" s="36"/>
      <c r="Q744" s="36"/>
      <c r="R744" s="36"/>
      <c r="S744" s="36"/>
      <c r="T744" s="36"/>
    </row>
    <row r="745" spans="1:20" ht="15.75">
      <c r="A745" s="13">
        <v>64192</v>
      </c>
      <c r="B745" s="44">
        <f t="shared" si="2"/>
        <v>30</v>
      </c>
      <c r="C745" s="35">
        <v>194.20500000000001</v>
      </c>
      <c r="D745" s="35">
        <v>267.46600000000001</v>
      </c>
      <c r="E745" s="41">
        <v>812.32899999999995</v>
      </c>
      <c r="F745" s="35">
        <v>1274</v>
      </c>
      <c r="G745" s="35">
        <v>50</v>
      </c>
      <c r="H745" s="43">
        <v>600</v>
      </c>
      <c r="I745" s="35">
        <v>695</v>
      </c>
      <c r="J745" s="35">
        <v>0</v>
      </c>
      <c r="K745" s="36"/>
      <c r="L745" s="36"/>
      <c r="M745" s="36"/>
      <c r="N745" s="36"/>
      <c r="O745" s="36"/>
      <c r="P745" s="36"/>
      <c r="Q745" s="36"/>
      <c r="R745" s="36"/>
      <c r="S745" s="36"/>
      <c r="T745" s="36"/>
    </row>
    <row r="746" spans="1:20" ht="15.75">
      <c r="A746" s="13">
        <v>64223</v>
      </c>
      <c r="B746" s="44">
        <f t="shared" si="2"/>
        <v>31</v>
      </c>
      <c r="C746" s="35">
        <v>131.881</v>
      </c>
      <c r="D746" s="35">
        <v>277.16699999999997</v>
      </c>
      <c r="E746" s="41">
        <v>829.952</v>
      </c>
      <c r="F746" s="35">
        <v>1239</v>
      </c>
      <c r="G746" s="35">
        <v>75</v>
      </c>
      <c r="H746" s="43">
        <v>600</v>
      </c>
      <c r="I746" s="35">
        <v>695</v>
      </c>
      <c r="J746" s="35">
        <v>0</v>
      </c>
      <c r="K746" s="36"/>
      <c r="L746" s="36"/>
      <c r="M746" s="36"/>
      <c r="N746" s="36"/>
      <c r="O746" s="36"/>
      <c r="P746" s="36"/>
      <c r="Q746" s="36"/>
      <c r="R746" s="36"/>
      <c r="S746" s="36"/>
      <c r="T746" s="36"/>
    </row>
    <row r="747" spans="1:20" ht="15.75">
      <c r="A747" s="13">
        <v>64253</v>
      </c>
      <c r="B747" s="44">
        <f t="shared" si="2"/>
        <v>30</v>
      </c>
      <c r="C747" s="35">
        <v>122.58</v>
      </c>
      <c r="D747" s="35">
        <v>297.94099999999997</v>
      </c>
      <c r="E747" s="41">
        <v>729.47900000000004</v>
      </c>
      <c r="F747" s="35">
        <v>1150</v>
      </c>
      <c r="G747" s="35">
        <v>100</v>
      </c>
      <c r="H747" s="43">
        <v>600</v>
      </c>
      <c r="I747" s="35">
        <v>695</v>
      </c>
      <c r="J747" s="35">
        <v>50</v>
      </c>
      <c r="K747" s="36"/>
      <c r="L747" s="36"/>
      <c r="M747" s="36"/>
      <c r="N747" s="36"/>
      <c r="O747" s="36"/>
      <c r="P747" s="36"/>
      <c r="Q747" s="36"/>
      <c r="R747" s="36"/>
      <c r="S747" s="36"/>
      <c r="T747" s="36"/>
    </row>
    <row r="748" spans="1:20" ht="15.75">
      <c r="A748" s="13">
        <v>64284</v>
      </c>
      <c r="B748" s="44">
        <f t="shared" si="2"/>
        <v>31</v>
      </c>
      <c r="C748" s="35">
        <v>122.58</v>
      </c>
      <c r="D748" s="35">
        <v>297.94099999999997</v>
      </c>
      <c r="E748" s="41">
        <v>729.47900000000004</v>
      </c>
      <c r="F748" s="35">
        <v>1150</v>
      </c>
      <c r="G748" s="35">
        <v>100</v>
      </c>
      <c r="H748" s="43">
        <v>600</v>
      </c>
      <c r="I748" s="35">
        <v>695</v>
      </c>
      <c r="J748" s="35">
        <v>50</v>
      </c>
      <c r="K748" s="36"/>
      <c r="L748" s="36"/>
      <c r="M748" s="36"/>
      <c r="N748" s="36"/>
      <c r="O748" s="36"/>
      <c r="P748" s="36"/>
      <c r="Q748" s="36"/>
      <c r="R748" s="36"/>
      <c r="S748" s="36"/>
      <c r="T748" s="36"/>
    </row>
    <row r="749" spans="1:20" ht="15.75">
      <c r="A749" s="13">
        <v>64315</v>
      </c>
      <c r="B749" s="44">
        <f t="shared" si="2"/>
        <v>31</v>
      </c>
      <c r="C749" s="35">
        <v>122.58</v>
      </c>
      <c r="D749" s="35">
        <v>297.94099999999997</v>
      </c>
      <c r="E749" s="41">
        <v>729.47900000000004</v>
      </c>
      <c r="F749" s="35">
        <v>1150</v>
      </c>
      <c r="G749" s="35">
        <v>100</v>
      </c>
      <c r="H749" s="43">
        <v>600</v>
      </c>
      <c r="I749" s="35">
        <v>695</v>
      </c>
      <c r="J749" s="35">
        <v>50</v>
      </c>
      <c r="K749" s="36"/>
      <c r="L749" s="36"/>
      <c r="M749" s="36"/>
      <c r="N749" s="36"/>
      <c r="O749" s="36"/>
      <c r="P749" s="36"/>
      <c r="Q749" s="36"/>
      <c r="R749" s="36"/>
      <c r="S749" s="36"/>
      <c r="T749" s="36"/>
    </row>
    <row r="750" spans="1:20" ht="15.75">
      <c r="A750" s="13">
        <v>64344</v>
      </c>
      <c r="B750" s="44">
        <f t="shared" si="2"/>
        <v>29</v>
      </c>
      <c r="C750" s="35">
        <v>122.58</v>
      </c>
      <c r="D750" s="35">
        <v>297.94099999999997</v>
      </c>
      <c r="E750" s="41">
        <v>729.47900000000004</v>
      </c>
      <c r="F750" s="35">
        <v>1150</v>
      </c>
      <c r="G750" s="35">
        <v>100</v>
      </c>
      <c r="H750" s="43">
        <v>600</v>
      </c>
      <c r="I750" s="35">
        <v>695</v>
      </c>
      <c r="J750" s="35">
        <v>50</v>
      </c>
      <c r="K750" s="36"/>
      <c r="L750" s="36"/>
      <c r="M750" s="36"/>
      <c r="N750" s="36"/>
      <c r="O750" s="36"/>
      <c r="P750" s="36"/>
      <c r="Q750" s="36"/>
      <c r="R750" s="36"/>
      <c r="S750" s="36"/>
      <c r="T750" s="36"/>
    </row>
    <row r="751" spans="1:20" ht="15.75">
      <c r="A751" s="13">
        <v>64375</v>
      </c>
      <c r="B751" s="44">
        <f t="shared" si="2"/>
        <v>31</v>
      </c>
      <c r="C751" s="35">
        <v>122.58</v>
      </c>
      <c r="D751" s="35">
        <v>297.94099999999997</v>
      </c>
      <c r="E751" s="41">
        <v>729.47900000000004</v>
      </c>
      <c r="F751" s="35">
        <v>1150</v>
      </c>
      <c r="G751" s="35">
        <v>100</v>
      </c>
      <c r="H751" s="43">
        <v>600</v>
      </c>
      <c r="I751" s="35">
        <v>695</v>
      </c>
      <c r="J751" s="35">
        <v>50</v>
      </c>
      <c r="K751" s="36"/>
      <c r="L751" s="36"/>
      <c r="M751" s="36"/>
      <c r="N751" s="36"/>
      <c r="O751" s="36"/>
      <c r="P751" s="36"/>
      <c r="Q751" s="36"/>
      <c r="R751" s="36"/>
      <c r="S751" s="36"/>
      <c r="T751" s="36"/>
    </row>
    <row r="752" spans="1:20" ht="15.75">
      <c r="A752" s="13">
        <v>64405</v>
      </c>
      <c r="B752" s="44">
        <f t="shared" si="2"/>
        <v>30</v>
      </c>
      <c r="C752" s="35">
        <v>141.29300000000001</v>
      </c>
      <c r="D752" s="35">
        <v>267.99299999999999</v>
      </c>
      <c r="E752" s="41">
        <v>829.71400000000006</v>
      </c>
      <c r="F752" s="35">
        <v>1239</v>
      </c>
      <c r="G752" s="35">
        <v>100</v>
      </c>
      <c r="H752" s="43">
        <v>600</v>
      </c>
      <c r="I752" s="35">
        <v>695</v>
      </c>
      <c r="J752" s="35">
        <v>50</v>
      </c>
      <c r="K752" s="36"/>
      <c r="L752" s="36"/>
      <c r="M752" s="36"/>
      <c r="N752" s="36"/>
      <c r="O752" s="36"/>
      <c r="P752" s="36"/>
      <c r="Q752" s="36"/>
      <c r="R752" s="36"/>
      <c r="S752" s="36"/>
      <c r="T752" s="36"/>
    </row>
    <row r="753" spans="1:20" ht="15.75">
      <c r="A753" s="13">
        <v>64436</v>
      </c>
      <c r="B753" s="44">
        <f t="shared" si="2"/>
        <v>31</v>
      </c>
      <c r="C753" s="35">
        <v>194.20500000000001</v>
      </c>
      <c r="D753" s="35">
        <v>267.46600000000001</v>
      </c>
      <c r="E753" s="41">
        <v>812.32899999999995</v>
      </c>
      <c r="F753" s="35">
        <v>1274</v>
      </c>
      <c r="G753" s="35">
        <v>75</v>
      </c>
      <c r="H753" s="43">
        <v>600</v>
      </c>
      <c r="I753" s="35">
        <v>695</v>
      </c>
      <c r="J753" s="35">
        <v>50</v>
      </c>
      <c r="K753" s="36"/>
      <c r="L753" s="36"/>
      <c r="M753" s="36"/>
      <c r="N753" s="36"/>
      <c r="O753" s="36"/>
      <c r="P753" s="36"/>
      <c r="Q753" s="36"/>
      <c r="R753" s="36"/>
      <c r="S753" s="36"/>
      <c r="T753" s="36"/>
    </row>
    <row r="754" spans="1:20" ht="15.75">
      <c r="A754" s="13">
        <v>64466</v>
      </c>
      <c r="B754" s="44">
        <f t="shared" si="2"/>
        <v>30</v>
      </c>
      <c r="C754" s="35">
        <v>194.20500000000001</v>
      </c>
      <c r="D754" s="35">
        <v>267.46600000000001</v>
      </c>
      <c r="E754" s="41">
        <v>812.32899999999995</v>
      </c>
      <c r="F754" s="35">
        <v>1274</v>
      </c>
      <c r="G754" s="35">
        <v>50</v>
      </c>
      <c r="H754" s="43">
        <v>600</v>
      </c>
      <c r="I754" s="35">
        <v>695</v>
      </c>
      <c r="J754" s="35">
        <v>50</v>
      </c>
      <c r="K754" s="36"/>
      <c r="L754" s="36"/>
      <c r="M754" s="36"/>
      <c r="N754" s="36"/>
      <c r="O754" s="36"/>
      <c r="P754" s="36"/>
      <c r="Q754" s="36"/>
      <c r="R754" s="36"/>
      <c r="S754" s="36"/>
      <c r="T754" s="36"/>
    </row>
    <row r="755" spans="1:20" ht="15.75">
      <c r="A755" s="13">
        <v>64497</v>
      </c>
      <c r="B755" s="44">
        <f t="shared" si="2"/>
        <v>31</v>
      </c>
      <c r="C755" s="35">
        <v>194.20500000000001</v>
      </c>
      <c r="D755" s="35">
        <v>267.46600000000001</v>
      </c>
      <c r="E755" s="41">
        <v>812.32899999999995</v>
      </c>
      <c r="F755" s="35">
        <v>1274</v>
      </c>
      <c r="G755" s="35">
        <v>50</v>
      </c>
      <c r="H755" s="43">
        <v>600</v>
      </c>
      <c r="I755" s="35">
        <v>695</v>
      </c>
      <c r="J755" s="35">
        <v>0</v>
      </c>
      <c r="K755" s="36"/>
      <c r="L755" s="36"/>
      <c r="M755" s="36"/>
      <c r="N755" s="36"/>
      <c r="O755" s="36"/>
      <c r="P755" s="36"/>
      <c r="Q755" s="36"/>
      <c r="R755" s="36"/>
      <c r="S755" s="36"/>
      <c r="T755" s="36"/>
    </row>
    <row r="756" spans="1:20" ht="15.75">
      <c r="A756" s="13">
        <v>64528</v>
      </c>
      <c r="B756" s="44">
        <f t="shared" si="2"/>
        <v>31</v>
      </c>
      <c r="C756" s="35">
        <v>194.20500000000001</v>
      </c>
      <c r="D756" s="35">
        <v>267.46600000000001</v>
      </c>
      <c r="E756" s="41">
        <v>812.32899999999995</v>
      </c>
      <c r="F756" s="35">
        <v>1274</v>
      </c>
      <c r="G756" s="35">
        <v>50</v>
      </c>
      <c r="H756" s="43">
        <v>600</v>
      </c>
      <c r="I756" s="35">
        <v>695</v>
      </c>
      <c r="J756" s="35">
        <v>0</v>
      </c>
      <c r="K756" s="36"/>
      <c r="L756" s="36"/>
      <c r="M756" s="36"/>
      <c r="N756" s="36"/>
      <c r="O756" s="36"/>
      <c r="P756" s="36"/>
      <c r="Q756" s="36"/>
      <c r="R756" s="36"/>
      <c r="S756" s="36"/>
      <c r="T756" s="36"/>
    </row>
    <row r="757" spans="1:20" ht="15.75">
      <c r="A757" s="13">
        <v>64558</v>
      </c>
      <c r="B757" s="44">
        <f t="shared" si="2"/>
        <v>30</v>
      </c>
      <c r="C757" s="35">
        <v>194.20500000000001</v>
      </c>
      <c r="D757" s="35">
        <v>267.46600000000001</v>
      </c>
      <c r="E757" s="41">
        <v>812.32899999999995</v>
      </c>
      <c r="F757" s="35">
        <v>1274</v>
      </c>
      <c r="G757" s="35">
        <v>50</v>
      </c>
      <c r="H757" s="43">
        <v>600</v>
      </c>
      <c r="I757" s="35">
        <v>695</v>
      </c>
      <c r="J757" s="35">
        <v>0</v>
      </c>
      <c r="K757" s="36"/>
      <c r="L757" s="36"/>
      <c r="M757" s="36"/>
      <c r="N757" s="36"/>
      <c r="O757" s="36"/>
      <c r="P757" s="36"/>
      <c r="Q757" s="36"/>
      <c r="R757" s="36"/>
      <c r="S757" s="36"/>
      <c r="T757" s="36"/>
    </row>
    <row r="758" spans="1:20" ht="15.75">
      <c r="A758" s="13">
        <v>64589</v>
      </c>
      <c r="B758" s="44">
        <f t="shared" si="2"/>
        <v>31</v>
      </c>
      <c r="C758" s="35">
        <v>131.881</v>
      </c>
      <c r="D758" s="35">
        <v>277.16699999999997</v>
      </c>
      <c r="E758" s="41">
        <v>829.952</v>
      </c>
      <c r="F758" s="35">
        <v>1239</v>
      </c>
      <c r="G758" s="35">
        <v>75</v>
      </c>
      <c r="H758" s="43">
        <v>600</v>
      </c>
      <c r="I758" s="35">
        <v>695</v>
      </c>
      <c r="J758" s="35">
        <v>0</v>
      </c>
      <c r="K758" s="36"/>
      <c r="L758" s="36"/>
      <c r="M758" s="36"/>
      <c r="N758" s="36"/>
      <c r="O758" s="36"/>
      <c r="P758" s="36"/>
      <c r="Q758" s="36"/>
      <c r="R758" s="36"/>
      <c r="S758" s="36"/>
      <c r="T758" s="36"/>
    </row>
    <row r="759" spans="1:20" ht="15.75">
      <c r="A759" s="13">
        <v>64619</v>
      </c>
      <c r="B759" s="44">
        <f t="shared" si="2"/>
        <v>30</v>
      </c>
      <c r="C759" s="35">
        <v>122.58</v>
      </c>
      <c r="D759" s="35">
        <v>297.94099999999997</v>
      </c>
      <c r="E759" s="41">
        <v>729.47900000000004</v>
      </c>
      <c r="F759" s="35">
        <v>1150</v>
      </c>
      <c r="G759" s="35">
        <v>100</v>
      </c>
      <c r="H759" s="43">
        <v>600</v>
      </c>
      <c r="I759" s="35">
        <v>695</v>
      </c>
      <c r="J759" s="35">
        <v>50</v>
      </c>
      <c r="K759" s="36"/>
      <c r="L759" s="36"/>
      <c r="M759" s="36"/>
      <c r="N759" s="36"/>
      <c r="O759" s="36"/>
      <c r="P759" s="36"/>
      <c r="Q759" s="36"/>
      <c r="R759" s="36"/>
      <c r="S759" s="36"/>
      <c r="T759" s="36"/>
    </row>
    <row r="760" spans="1:20" ht="15.75">
      <c r="A760" s="13">
        <v>64650</v>
      </c>
      <c r="B760" s="44">
        <f t="shared" si="2"/>
        <v>31</v>
      </c>
      <c r="C760" s="35">
        <v>122.58</v>
      </c>
      <c r="D760" s="35">
        <v>297.94099999999997</v>
      </c>
      <c r="E760" s="41">
        <v>729.47900000000004</v>
      </c>
      <c r="F760" s="35">
        <v>1150</v>
      </c>
      <c r="G760" s="35">
        <v>100</v>
      </c>
      <c r="H760" s="43">
        <v>600</v>
      </c>
      <c r="I760" s="35">
        <v>695</v>
      </c>
      <c r="J760" s="35">
        <v>50</v>
      </c>
      <c r="K760" s="36"/>
      <c r="L760" s="36"/>
      <c r="M760" s="36"/>
      <c r="N760" s="36"/>
      <c r="O760" s="36"/>
      <c r="P760" s="36"/>
      <c r="Q760" s="36"/>
      <c r="R760" s="36"/>
      <c r="S760" s="36"/>
      <c r="T760" s="36"/>
    </row>
    <row r="761" spans="1:20" ht="15.75">
      <c r="A761" s="13">
        <v>64681</v>
      </c>
      <c r="B761" s="44">
        <f t="shared" si="2"/>
        <v>31</v>
      </c>
      <c r="C761" s="35">
        <v>122.58</v>
      </c>
      <c r="D761" s="35">
        <v>297.94099999999997</v>
      </c>
      <c r="E761" s="41">
        <v>729.47900000000004</v>
      </c>
      <c r="F761" s="35">
        <v>1150</v>
      </c>
      <c r="G761" s="35">
        <v>100</v>
      </c>
      <c r="H761" s="43">
        <v>600</v>
      </c>
      <c r="I761" s="35">
        <v>695</v>
      </c>
      <c r="J761" s="35">
        <v>50</v>
      </c>
      <c r="K761" s="36"/>
      <c r="L761" s="36"/>
      <c r="M761" s="36"/>
      <c r="N761" s="36"/>
      <c r="O761" s="36"/>
      <c r="P761" s="36"/>
      <c r="Q761" s="36"/>
      <c r="R761" s="36"/>
      <c r="S761" s="36"/>
      <c r="T761" s="36"/>
    </row>
    <row r="762" spans="1:20" ht="15.75">
      <c r="A762" s="13">
        <v>64709</v>
      </c>
      <c r="B762" s="44">
        <f t="shared" si="2"/>
        <v>28</v>
      </c>
      <c r="C762" s="35">
        <v>122.58</v>
      </c>
      <c r="D762" s="35">
        <v>297.94099999999997</v>
      </c>
      <c r="E762" s="41">
        <v>729.47900000000004</v>
      </c>
      <c r="F762" s="35">
        <v>1150</v>
      </c>
      <c r="G762" s="35">
        <v>100</v>
      </c>
      <c r="H762" s="43">
        <v>600</v>
      </c>
      <c r="I762" s="35">
        <v>695</v>
      </c>
      <c r="J762" s="35">
        <v>50</v>
      </c>
      <c r="K762" s="36"/>
      <c r="L762" s="36"/>
      <c r="M762" s="36"/>
      <c r="N762" s="36"/>
      <c r="O762" s="36"/>
      <c r="P762" s="36"/>
      <c r="Q762" s="36"/>
      <c r="R762" s="36"/>
      <c r="S762" s="36"/>
      <c r="T762" s="36"/>
    </row>
    <row r="763" spans="1:20" ht="15.75">
      <c r="A763" s="13">
        <v>64740</v>
      </c>
      <c r="B763" s="44">
        <f t="shared" si="2"/>
        <v>31</v>
      </c>
      <c r="C763" s="35">
        <v>122.58</v>
      </c>
      <c r="D763" s="35">
        <v>297.94099999999997</v>
      </c>
      <c r="E763" s="41">
        <v>729.47900000000004</v>
      </c>
      <c r="F763" s="35">
        <v>1150</v>
      </c>
      <c r="G763" s="35">
        <v>100</v>
      </c>
      <c r="H763" s="43">
        <v>600</v>
      </c>
      <c r="I763" s="35">
        <v>695</v>
      </c>
      <c r="J763" s="35">
        <v>50</v>
      </c>
      <c r="K763" s="36"/>
      <c r="L763" s="36"/>
      <c r="M763" s="36"/>
      <c r="N763" s="36"/>
      <c r="O763" s="36"/>
      <c r="P763" s="36"/>
      <c r="Q763" s="36"/>
      <c r="R763" s="36"/>
      <c r="S763" s="36"/>
      <c r="T763" s="36"/>
    </row>
    <row r="764" spans="1:20" ht="15.75">
      <c r="A764" s="13">
        <v>64770</v>
      </c>
      <c r="B764" s="44">
        <f t="shared" si="2"/>
        <v>30</v>
      </c>
      <c r="C764" s="35">
        <v>141.29300000000001</v>
      </c>
      <c r="D764" s="35">
        <v>267.99299999999999</v>
      </c>
      <c r="E764" s="41">
        <v>829.71400000000006</v>
      </c>
      <c r="F764" s="35">
        <v>1239</v>
      </c>
      <c r="G764" s="35">
        <v>100</v>
      </c>
      <c r="H764" s="43">
        <v>600</v>
      </c>
      <c r="I764" s="35">
        <v>695</v>
      </c>
      <c r="J764" s="35">
        <v>50</v>
      </c>
      <c r="K764" s="36"/>
      <c r="L764" s="36"/>
      <c r="M764" s="36"/>
      <c r="N764" s="36"/>
      <c r="O764" s="36"/>
      <c r="P764" s="36"/>
      <c r="Q764" s="36"/>
      <c r="R764" s="36"/>
      <c r="S764" s="36"/>
      <c r="T764" s="36"/>
    </row>
    <row r="765" spans="1:20" ht="15.75">
      <c r="A765" s="13">
        <v>64801</v>
      </c>
      <c r="B765" s="44">
        <f t="shared" si="2"/>
        <v>31</v>
      </c>
      <c r="C765" s="35">
        <v>194.20500000000001</v>
      </c>
      <c r="D765" s="35">
        <v>267.46600000000001</v>
      </c>
      <c r="E765" s="41">
        <v>812.32899999999995</v>
      </c>
      <c r="F765" s="35">
        <v>1274</v>
      </c>
      <c r="G765" s="35">
        <v>75</v>
      </c>
      <c r="H765" s="43">
        <v>600</v>
      </c>
      <c r="I765" s="35">
        <v>695</v>
      </c>
      <c r="J765" s="35">
        <v>50</v>
      </c>
      <c r="K765" s="36"/>
      <c r="L765" s="36"/>
      <c r="M765" s="36"/>
      <c r="N765" s="36"/>
      <c r="O765" s="36"/>
      <c r="P765" s="36"/>
      <c r="Q765" s="36"/>
      <c r="R765" s="36"/>
      <c r="S765" s="36"/>
      <c r="T765" s="36"/>
    </row>
    <row r="766" spans="1:20" ht="15.75">
      <c r="A766" s="13">
        <v>64831</v>
      </c>
      <c r="B766" s="44">
        <f t="shared" si="2"/>
        <v>30</v>
      </c>
      <c r="C766" s="35">
        <v>194.20500000000001</v>
      </c>
      <c r="D766" s="35">
        <v>267.46600000000001</v>
      </c>
      <c r="E766" s="41">
        <v>812.32899999999995</v>
      </c>
      <c r="F766" s="35">
        <v>1274</v>
      </c>
      <c r="G766" s="35">
        <v>50</v>
      </c>
      <c r="H766" s="43">
        <v>600</v>
      </c>
      <c r="I766" s="35">
        <v>695</v>
      </c>
      <c r="J766" s="35">
        <v>50</v>
      </c>
      <c r="K766" s="36"/>
      <c r="L766" s="36"/>
      <c r="M766" s="36"/>
      <c r="N766" s="36"/>
      <c r="O766" s="36"/>
      <c r="P766" s="36"/>
      <c r="Q766" s="36"/>
      <c r="R766" s="36"/>
      <c r="S766" s="36"/>
      <c r="T766" s="36"/>
    </row>
    <row r="767" spans="1:20" ht="15.75">
      <c r="A767" s="13">
        <v>64862</v>
      </c>
      <c r="B767" s="44">
        <f t="shared" si="2"/>
        <v>31</v>
      </c>
      <c r="C767" s="35">
        <v>194.20500000000001</v>
      </c>
      <c r="D767" s="35">
        <v>267.46600000000001</v>
      </c>
      <c r="E767" s="41">
        <v>812.32899999999995</v>
      </c>
      <c r="F767" s="35">
        <v>1274</v>
      </c>
      <c r="G767" s="35">
        <v>50</v>
      </c>
      <c r="H767" s="43">
        <v>600</v>
      </c>
      <c r="I767" s="35">
        <v>695</v>
      </c>
      <c r="J767" s="35">
        <v>0</v>
      </c>
      <c r="K767" s="36"/>
      <c r="L767" s="36"/>
      <c r="M767" s="36"/>
      <c r="N767" s="36"/>
      <c r="O767" s="36"/>
      <c r="P767" s="36"/>
      <c r="Q767" s="36"/>
      <c r="R767" s="36"/>
      <c r="S767" s="36"/>
      <c r="T767" s="36"/>
    </row>
    <row r="768" spans="1:20" ht="15.75">
      <c r="A768" s="13">
        <v>64893</v>
      </c>
      <c r="B768" s="44">
        <f t="shared" si="2"/>
        <v>31</v>
      </c>
      <c r="C768" s="35">
        <v>194.20500000000001</v>
      </c>
      <c r="D768" s="35">
        <v>267.46600000000001</v>
      </c>
      <c r="E768" s="41">
        <v>812.32899999999995</v>
      </c>
      <c r="F768" s="35">
        <v>1274</v>
      </c>
      <c r="G768" s="35">
        <v>50</v>
      </c>
      <c r="H768" s="43">
        <v>600</v>
      </c>
      <c r="I768" s="35">
        <v>695</v>
      </c>
      <c r="J768" s="35">
        <v>0</v>
      </c>
      <c r="K768" s="36"/>
      <c r="L768" s="36"/>
      <c r="M768" s="36"/>
      <c r="N768" s="36"/>
      <c r="O768" s="36"/>
      <c r="P768" s="36"/>
      <c r="Q768" s="36"/>
      <c r="R768" s="36"/>
      <c r="S768" s="36"/>
      <c r="T768" s="36"/>
    </row>
    <row r="769" spans="1:20" ht="15.75">
      <c r="A769" s="13">
        <v>64923</v>
      </c>
      <c r="B769" s="44">
        <f t="shared" si="2"/>
        <v>30</v>
      </c>
      <c r="C769" s="35">
        <v>194.20500000000001</v>
      </c>
      <c r="D769" s="35">
        <v>267.46600000000001</v>
      </c>
      <c r="E769" s="41">
        <v>812.32899999999995</v>
      </c>
      <c r="F769" s="35">
        <v>1274</v>
      </c>
      <c r="G769" s="35">
        <v>50</v>
      </c>
      <c r="H769" s="43">
        <v>600</v>
      </c>
      <c r="I769" s="35">
        <v>695</v>
      </c>
      <c r="J769" s="35">
        <v>0</v>
      </c>
      <c r="K769" s="36"/>
      <c r="L769" s="36"/>
      <c r="M769" s="36"/>
      <c r="N769" s="36"/>
      <c r="O769" s="36"/>
      <c r="P769" s="36"/>
      <c r="Q769" s="36"/>
      <c r="R769" s="36"/>
      <c r="S769" s="36"/>
      <c r="T769" s="36"/>
    </row>
    <row r="770" spans="1:20" ht="15.75">
      <c r="A770" s="13">
        <v>64954</v>
      </c>
      <c r="B770" s="44">
        <f t="shared" si="2"/>
        <v>31</v>
      </c>
      <c r="C770" s="35">
        <v>131.881</v>
      </c>
      <c r="D770" s="35">
        <v>277.16699999999997</v>
      </c>
      <c r="E770" s="41">
        <v>829.952</v>
      </c>
      <c r="F770" s="35">
        <v>1239</v>
      </c>
      <c r="G770" s="35">
        <v>75</v>
      </c>
      <c r="H770" s="43">
        <v>600</v>
      </c>
      <c r="I770" s="35">
        <v>695</v>
      </c>
      <c r="J770" s="35">
        <v>0</v>
      </c>
      <c r="K770" s="36"/>
      <c r="L770" s="36"/>
      <c r="M770" s="36"/>
      <c r="N770" s="36"/>
      <c r="O770" s="36"/>
      <c r="P770" s="36"/>
      <c r="Q770" s="36"/>
      <c r="R770" s="36"/>
      <c r="S770" s="36"/>
      <c r="T770" s="36"/>
    </row>
    <row r="771" spans="1:20" ht="15.75">
      <c r="A771" s="13">
        <v>64984</v>
      </c>
      <c r="B771" s="44">
        <f t="shared" si="2"/>
        <v>30</v>
      </c>
      <c r="C771" s="35">
        <v>122.58</v>
      </c>
      <c r="D771" s="35">
        <v>297.94099999999997</v>
      </c>
      <c r="E771" s="41">
        <v>729.47900000000004</v>
      </c>
      <c r="F771" s="35">
        <v>1150</v>
      </c>
      <c r="G771" s="35">
        <v>100</v>
      </c>
      <c r="H771" s="43">
        <v>600</v>
      </c>
      <c r="I771" s="35">
        <v>695</v>
      </c>
      <c r="J771" s="35">
        <v>50</v>
      </c>
      <c r="K771" s="36"/>
      <c r="L771" s="36"/>
      <c r="M771" s="36"/>
      <c r="N771" s="36"/>
      <c r="O771" s="36"/>
      <c r="P771" s="36"/>
      <c r="Q771" s="36"/>
      <c r="R771" s="36"/>
      <c r="S771" s="36"/>
      <c r="T771" s="36"/>
    </row>
    <row r="772" spans="1:20" ht="15.75">
      <c r="A772" s="13">
        <v>65015</v>
      </c>
      <c r="B772" s="44">
        <f t="shared" si="2"/>
        <v>31</v>
      </c>
      <c r="C772" s="35">
        <v>122.58</v>
      </c>
      <c r="D772" s="35">
        <v>297.94099999999997</v>
      </c>
      <c r="E772" s="41">
        <v>729.47900000000004</v>
      </c>
      <c r="F772" s="35">
        <v>1150</v>
      </c>
      <c r="G772" s="35">
        <v>100</v>
      </c>
      <c r="H772" s="43">
        <v>600</v>
      </c>
      <c r="I772" s="35">
        <v>695</v>
      </c>
      <c r="J772" s="35">
        <v>50</v>
      </c>
      <c r="K772" s="36"/>
      <c r="L772" s="36"/>
      <c r="M772" s="36"/>
      <c r="N772" s="36"/>
      <c r="O772" s="36"/>
      <c r="P772" s="36"/>
      <c r="Q772" s="36"/>
      <c r="R772" s="36"/>
      <c r="S772" s="36"/>
      <c r="T772" s="36"/>
    </row>
    <row r="773" spans="1:20" ht="15.75">
      <c r="A773" s="13">
        <v>65046</v>
      </c>
      <c r="B773" s="44">
        <f t="shared" ref="B773:B836" si="3">EOMONTH(A773,0)-EOMONTH(A773,-1)</f>
        <v>31</v>
      </c>
      <c r="C773" s="35">
        <v>122.58</v>
      </c>
      <c r="D773" s="35">
        <v>297.94099999999997</v>
      </c>
      <c r="E773" s="41">
        <v>729.47900000000004</v>
      </c>
      <c r="F773" s="35">
        <v>1150</v>
      </c>
      <c r="G773" s="35">
        <v>100</v>
      </c>
      <c r="H773" s="43">
        <v>600</v>
      </c>
      <c r="I773" s="35">
        <v>695</v>
      </c>
      <c r="J773" s="35">
        <v>50</v>
      </c>
      <c r="K773" s="36"/>
      <c r="L773" s="36"/>
      <c r="M773" s="36"/>
      <c r="N773" s="36"/>
      <c r="O773" s="36"/>
      <c r="P773" s="36"/>
      <c r="Q773" s="36"/>
      <c r="R773" s="36"/>
      <c r="S773" s="36"/>
      <c r="T773" s="36"/>
    </row>
    <row r="774" spans="1:20" ht="15.75">
      <c r="A774" s="13">
        <v>65074</v>
      </c>
      <c r="B774" s="44">
        <f t="shared" si="3"/>
        <v>28</v>
      </c>
      <c r="C774" s="35">
        <v>122.58</v>
      </c>
      <c r="D774" s="35">
        <v>297.94099999999997</v>
      </c>
      <c r="E774" s="41">
        <v>729.47900000000004</v>
      </c>
      <c r="F774" s="35">
        <v>1150</v>
      </c>
      <c r="G774" s="35">
        <v>100</v>
      </c>
      <c r="H774" s="43">
        <v>600</v>
      </c>
      <c r="I774" s="35">
        <v>695</v>
      </c>
      <c r="J774" s="35">
        <v>50</v>
      </c>
      <c r="K774" s="36"/>
      <c r="L774" s="36"/>
      <c r="M774" s="36"/>
      <c r="N774" s="36"/>
      <c r="O774" s="36"/>
      <c r="P774" s="36"/>
      <c r="Q774" s="36"/>
      <c r="R774" s="36"/>
      <c r="S774" s="36"/>
      <c r="T774" s="36"/>
    </row>
    <row r="775" spans="1:20" ht="15.75">
      <c r="A775" s="13">
        <v>65105</v>
      </c>
      <c r="B775" s="44">
        <f t="shared" si="3"/>
        <v>31</v>
      </c>
      <c r="C775" s="35">
        <v>122.58</v>
      </c>
      <c r="D775" s="35">
        <v>297.94099999999997</v>
      </c>
      <c r="E775" s="41">
        <v>729.47900000000004</v>
      </c>
      <c r="F775" s="35">
        <v>1150</v>
      </c>
      <c r="G775" s="35">
        <v>100</v>
      </c>
      <c r="H775" s="43">
        <v>600</v>
      </c>
      <c r="I775" s="35">
        <v>695</v>
      </c>
      <c r="J775" s="35">
        <v>50</v>
      </c>
      <c r="K775" s="36"/>
      <c r="L775" s="36"/>
      <c r="M775" s="36"/>
      <c r="N775" s="36"/>
      <c r="O775" s="36"/>
      <c r="P775" s="36"/>
      <c r="Q775" s="36"/>
      <c r="R775" s="36"/>
      <c r="S775" s="36"/>
      <c r="T775" s="36"/>
    </row>
    <row r="776" spans="1:20" ht="15.75">
      <c r="A776" s="13">
        <v>65135</v>
      </c>
      <c r="B776" s="44">
        <f t="shared" si="3"/>
        <v>30</v>
      </c>
      <c r="C776" s="35">
        <v>141.29300000000001</v>
      </c>
      <c r="D776" s="35">
        <v>267.99299999999999</v>
      </c>
      <c r="E776" s="41">
        <v>829.71400000000006</v>
      </c>
      <c r="F776" s="35">
        <v>1239</v>
      </c>
      <c r="G776" s="35">
        <v>100</v>
      </c>
      <c r="H776" s="43">
        <v>600</v>
      </c>
      <c r="I776" s="35">
        <v>695</v>
      </c>
      <c r="J776" s="35">
        <v>50</v>
      </c>
      <c r="K776" s="36"/>
      <c r="L776" s="36"/>
      <c r="M776" s="36"/>
      <c r="N776" s="36"/>
      <c r="O776" s="36"/>
      <c r="P776" s="36"/>
      <c r="Q776" s="36"/>
      <c r="R776" s="36"/>
      <c r="S776" s="36"/>
      <c r="T776" s="36"/>
    </row>
    <row r="777" spans="1:20" ht="15.75">
      <c r="A777" s="13">
        <v>65166</v>
      </c>
      <c r="B777" s="44">
        <f t="shared" si="3"/>
        <v>31</v>
      </c>
      <c r="C777" s="35">
        <v>194.20500000000001</v>
      </c>
      <c r="D777" s="35">
        <v>267.46600000000001</v>
      </c>
      <c r="E777" s="41">
        <v>812.32899999999995</v>
      </c>
      <c r="F777" s="35">
        <v>1274</v>
      </c>
      <c r="G777" s="35">
        <v>75</v>
      </c>
      <c r="H777" s="43">
        <v>600</v>
      </c>
      <c r="I777" s="35">
        <v>695</v>
      </c>
      <c r="J777" s="35">
        <v>50</v>
      </c>
      <c r="K777" s="36"/>
      <c r="L777" s="36"/>
      <c r="M777" s="36"/>
      <c r="N777" s="36"/>
      <c r="O777" s="36"/>
      <c r="P777" s="36"/>
      <c r="Q777" s="36"/>
      <c r="R777" s="36"/>
      <c r="S777" s="36"/>
      <c r="T777" s="36"/>
    </row>
    <row r="778" spans="1:20" ht="15.75">
      <c r="A778" s="13">
        <v>65196</v>
      </c>
      <c r="B778" s="44">
        <f t="shared" si="3"/>
        <v>30</v>
      </c>
      <c r="C778" s="35">
        <v>194.20500000000001</v>
      </c>
      <c r="D778" s="35">
        <v>267.46600000000001</v>
      </c>
      <c r="E778" s="41">
        <v>812.32899999999995</v>
      </c>
      <c r="F778" s="35">
        <v>1274</v>
      </c>
      <c r="G778" s="35">
        <v>50</v>
      </c>
      <c r="H778" s="43">
        <v>600</v>
      </c>
      <c r="I778" s="35">
        <v>695</v>
      </c>
      <c r="J778" s="35">
        <v>50</v>
      </c>
      <c r="K778" s="36"/>
      <c r="L778" s="36"/>
      <c r="M778" s="36"/>
      <c r="N778" s="36"/>
      <c r="O778" s="36"/>
      <c r="P778" s="36"/>
      <c r="Q778" s="36"/>
      <c r="R778" s="36"/>
      <c r="S778" s="36"/>
      <c r="T778" s="36"/>
    </row>
    <row r="779" spans="1:20" ht="15.75">
      <c r="A779" s="13">
        <v>65227</v>
      </c>
      <c r="B779" s="44">
        <f t="shared" si="3"/>
        <v>31</v>
      </c>
      <c r="C779" s="35">
        <v>194.20500000000001</v>
      </c>
      <c r="D779" s="35">
        <v>267.46600000000001</v>
      </c>
      <c r="E779" s="41">
        <v>812.32899999999995</v>
      </c>
      <c r="F779" s="35">
        <v>1274</v>
      </c>
      <c r="G779" s="35">
        <v>50</v>
      </c>
      <c r="H779" s="43">
        <v>600</v>
      </c>
      <c r="I779" s="35">
        <v>695</v>
      </c>
      <c r="J779" s="35">
        <v>0</v>
      </c>
      <c r="K779" s="36"/>
      <c r="L779" s="36"/>
      <c r="M779" s="36"/>
      <c r="N779" s="36"/>
      <c r="O779" s="36"/>
      <c r="P779" s="36"/>
      <c r="Q779" s="36"/>
      <c r="R779" s="36"/>
      <c r="S779" s="36"/>
      <c r="T779" s="36"/>
    </row>
    <row r="780" spans="1:20" ht="15.75">
      <c r="A780" s="13">
        <v>65258</v>
      </c>
      <c r="B780" s="44">
        <f t="shared" si="3"/>
        <v>31</v>
      </c>
      <c r="C780" s="35">
        <v>194.20500000000001</v>
      </c>
      <c r="D780" s="35">
        <v>267.46600000000001</v>
      </c>
      <c r="E780" s="41">
        <v>812.32899999999995</v>
      </c>
      <c r="F780" s="35">
        <v>1274</v>
      </c>
      <c r="G780" s="35">
        <v>50</v>
      </c>
      <c r="H780" s="43">
        <v>600</v>
      </c>
      <c r="I780" s="35">
        <v>695</v>
      </c>
      <c r="J780" s="35">
        <v>0</v>
      </c>
      <c r="K780" s="36"/>
      <c r="L780" s="36"/>
      <c r="M780" s="36"/>
      <c r="N780" s="36"/>
      <c r="O780" s="36"/>
      <c r="P780" s="36"/>
      <c r="Q780" s="36"/>
      <c r="R780" s="36"/>
      <c r="S780" s="36"/>
      <c r="T780" s="36"/>
    </row>
    <row r="781" spans="1:20" ht="15.75">
      <c r="A781" s="13">
        <v>65288</v>
      </c>
      <c r="B781" s="44">
        <f t="shared" si="3"/>
        <v>30</v>
      </c>
      <c r="C781" s="35">
        <v>194.20500000000001</v>
      </c>
      <c r="D781" s="35">
        <v>267.46600000000001</v>
      </c>
      <c r="E781" s="41">
        <v>812.32899999999995</v>
      </c>
      <c r="F781" s="35">
        <v>1274</v>
      </c>
      <c r="G781" s="35">
        <v>50</v>
      </c>
      <c r="H781" s="43">
        <v>600</v>
      </c>
      <c r="I781" s="35">
        <v>695</v>
      </c>
      <c r="J781" s="35">
        <v>0</v>
      </c>
      <c r="K781" s="36"/>
      <c r="L781" s="36"/>
      <c r="M781" s="36"/>
      <c r="N781" s="36"/>
      <c r="O781" s="36"/>
      <c r="P781" s="36"/>
      <c r="Q781" s="36"/>
      <c r="R781" s="36"/>
      <c r="S781" s="36"/>
      <c r="T781" s="36"/>
    </row>
    <row r="782" spans="1:20" ht="15.75">
      <c r="A782" s="13">
        <v>65319</v>
      </c>
      <c r="B782" s="44">
        <f t="shared" si="3"/>
        <v>31</v>
      </c>
      <c r="C782" s="35">
        <v>131.881</v>
      </c>
      <c r="D782" s="35">
        <v>277.16699999999997</v>
      </c>
      <c r="E782" s="41">
        <v>829.952</v>
      </c>
      <c r="F782" s="35">
        <v>1239</v>
      </c>
      <c r="G782" s="35">
        <v>75</v>
      </c>
      <c r="H782" s="43">
        <v>600</v>
      </c>
      <c r="I782" s="35">
        <v>695</v>
      </c>
      <c r="J782" s="35">
        <v>0</v>
      </c>
      <c r="K782" s="36"/>
      <c r="L782" s="36"/>
      <c r="M782" s="36"/>
      <c r="N782" s="36"/>
      <c r="O782" s="36"/>
      <c r="P782" s="36"/>
      <c r="Q782" s="36"/>
      <c r="R782" s="36"/>
      <c r="S782" s="36"/>
      <c r="T782" s="36"/>
    </row>
    <row r="783" spans="1:20" ht="15.75">
      <c r="A783" s="13">
        <v>65349</v>
      </c>
      <c r="B783" s="44">
        <f t="shared" si="3"/>
        <v>30</v>
      </c>
      <c r="C783" s="35">
        <v>122.58</v>
      </c>
      <c r="D783" s="35">
        <v>297.94099999999997</v>
      </c>
      <c r="E783" s="41">
        <v>729.47900000000004</v>
      </c>
      <c r="F783" s="35">
        <v>1150</v>
      </c>
      <c r="G783" s="35">
        <v>100</v>
      </c>
      <c r="H783" s="43">
        <v>600</v>
      </c>
      <c r="I783" s="35">
        <v>695</v>
      </c>
      <c r="J783" s="35">
        <v>50</v>
      </c>
      <c r="K783" s="36"/>
      <c r="L783" s="36"/>
      <c r="M783" s="36"/>
      <c r="N783" s="36"/>
      <c r="O783" s="36"/>
      <c r="P783" s="36"/>
      <c r="Q783" s="36"/>
      <c r="R783" s="36"/>
      <c r="S783" s="36"/>
      <c r="T783" s="36"/>
    </row>
    <row r="784" spans="1:20" ht="15.75">
      <c r="A784" s="13">
        <v>65380</v>
      </c>
      <c r="B784" s="44">
        <f t="shared" si="3"/>
        <v>31</v>
      </c>
      <c r="C784" s="35">
        <v>122.58</v>
      </c>
      <c r="D784" s="35">
        <v>297.94099999999997</v>
      </c>
      <c r="E784" s="41">
        <v>729.47900000000004</v>
      </c>
      <c r="F784" s="35">
        <v>1150</v>
      </c>
      <c r="G784" s="35">
        <v>100</v>
      </c>
      <c r="H784" s="43">
        <v>600</v>
      </c>
      <c r="I784" s="35">
        <v>695</v>
      </c>
      <c r="J784" s="35">
        <v>50</v>
      </c>
      <c r="K784" s="36"/>
      <c r="L784" s="36"/>
      <c r="M784" s="36"/>
      <c r="N784" s="36"/>
      <c r="O784" s="36"/>
      <c r="P784" s="36"/>
      <c r="Q784" s="36"/>
      <c r="R784" s="36"/>
      <c r="S784" s="36"/>
      <c r="T784" s="36"/>
    </row>
    <row r="785" spans="1:20" ht="15.75">
      <c r="A785" s="13">
        <v>65411</v>
      </c>
      <c r="B785" s="44">
        <f t="shared" si="3"/>
        <v>31</v>
      </c>
      <c r="C785" s="35">
        <v>122.58</v>
      </c>
      <c r="D785" s="35">
        <v>297.94099999999997</v>
      </c>
      <c r="E785" s="41">
        <v>729.47900000000004</v>
      </c>
      <c r="F785" s="35">
        <v>1150</v>
      </c>
      <c r="G785" s="35">
        <v>100</v>
      </c>
      <c r="H785" s="43">
        <v>600</v>
      </c>
      <c r="I785" s="35">
        <v>695</v>
      </c>
      <c r="J785" s="35">
        <v>50</v>
      </c>
      <c r="K785" s="36"/>
      <c r="L785" s="36"/>
      <c r="M785" s="36"/>
      <c r="N785" s="36"/>
      <c r="O785" s="36"/>
      <c r="P785" s="36"/>
      <c r="Q785" s="36"/>
      <c r="R785" s="36"/>
      <c r="S785" s="36"/>
      <c r="T785" s="36"/>
    </row>
    <row r="786" spans="1:20" ht="15.75">
      <c r="A786" s="13">
        <v>65439</v>
      </c>
      <c r="B786" s="44">
        <f t="shared" si="3"/>
        <v>28</v>
      </c>
      <c r="C786" s="35">
        <v>122.58</v>
      </c>
      <c r="D786" s="35">
        <v>297.94099999999997</v>
      </c>
      <c r="E786" s="41">
        <v>729.47900000000004</v>
      </c>
      <c r="F786" s="35">
        <v>1150</v>
      </c>
      <c r="G786" s="35">
        <v>100</v>
      </c>
      <c r="H786" s="43">
        <v>600</v>
      </c>
      <c r="I786" s="35">
        <v>695</v>
      </c>
      <c r="J786" s="35">
        <v>50</v>
      </c>
      <c r="K786" s="36"/>
      <c r="L786" s="36"/>
      <c r="M786" s="36"/>
      <c r="N786" s="36"/>
      <c r="O786" s="36"/>
      <c r="P786" s="36"/>
      <c r="Q786" s="36"/>
      <c r="R786" s="36"/>
      <c r="S786" s="36"/>
      <c r="T786" s="36"/>
    </row>
    <row r="787" spans="1:20" ht="15.75">
      <c r="A787" s="13">
        <v>65470</v>
      </c>
      <c r="B787" s="44">
        <f t="shared" si="3"/>
        <v>31</v>
      </c>
      <c r="C787" s="35">
        <v>122.58</v>
      </c>
      <c r="D787" s="35">
        <v>297.94099999999997</v>
      </c>
      <c r="E787" s="41">
        <v>729.47900000000004</v>
      </c>
      <c r="F787" s="35">
        <v>1150</v>
      </c>
      <c r="G787" s="35">
        <v>100</v>
      </c>
      <c r="H787" s="43">
        <v>600</v>
      </c>
      <c r="I787" s="35">
        <v>695</v>
      </c>
      <c r="J787" s="35">
        <v>50</v>
      </c>
      <c r="K787" s="36"/>
      <c r="L787" s="36"/>
      <c r="M787" s="36"/>
      <c r="N787" s="36"/>
      <c r="O787" s="36"/>
      <c r="P787" s="36"/>
      <c r="Q787" s="36"/>
      <c r="R787" s="36"/>
      <c r="S787" s="36"/>
      <c r="T787" s="36"/>
    </row>
    <row r="788" spans="1:20" ht="15.75">
      <c r="A788" s="13">
        <v>65500</v>
      </c>
      <c r="B788" s="44">
        <f t="shared" si="3"/>
        <v>30</v>
      </c>
      <c r="C788" s="35">
        <v>141.29300000000001</v>
      </c>
      <c r="D788" s="35">
        <v>267.99299999999999</v>
      </c>
      <c r="E788" s="41">
        <v>829.71400000000006</v>
      </c>
      <c r="F788" s="35">
        <v>1239</v>
      </c>
      <c r="G788" s="35">
        <v>100</v>
      </c>
      <c r="H788" s="43">
        <v>600</v>
      </c>
      <c r="I788" s="35">
        <v>695</v>
      </c>
      <c r="J788" s="35">
        <v>50</v>
      </c>
      <c r="K788" s="36"/>
      <c r="L788" s="36"/>
      <c r="M788" s="36"/>
      <c r="N788" s="36"/>
      <c r="O788" s="36"/>
      <c r="P788" s="36"/>
      <c r="Q788" s="36"/>
      <c r="R788" s="36"/>
      <c r="S788" s="36"/>
      <c r="T788" s="36"/>
    </row>
    <row r="789" spans="1:20" ht="15.75">
      <c r="A789" s="13">
        <v>65531</v>
      </c>
      <c r="B789" s="44">
        <f t="shared" si="3"/>
        <v>31</v>
      </c>
      <c r="C789" s="35">
        <v>194.20500000000001</v>
      </c>
      <c r="D789" s="35">
        <v>267.46600000000001</v>
      </c>
      <c r="E789" s="41">
        <v>812.32899999999995</v>
      </c>
      <c r="F789" s="35">
        <v>1274</v>
      </c>
      <c r="G789" s="35">
        <v>75</v>
      </c>
      <c r="H789" s="43">
        <v>600</v>
      </c>
      <c r="I789" s="35">
        <v>695</v>
      </c>
      <c r="J789" s="35">
        <v>50</v>
      </c>
      <c r="K789" s="36"/>
      <c r="L789" s="36"/>
      <c r="M789" s="36"/>
      <c r="N789" s="36"/>
      <c r="O789" s="36"/>
      <c r="P789" s="36"/>
      <c r="Q789" s="36"/>
      <c r="R789" s="36"/>
      <c r="S789" s="36"/>
      <c r="T789" s="36"/>
    </row>
    <row r="790" spans="1:20" ht="15.75">
      <c r="A790" s="13">
        <v>65561</v>
      </c>
      <c r="B790" s="44">
        <f t="shared" si="3"/>
        <v>30</v>
      </c>
      <c r="C790" s="35">
        <v>194.20500000000001</v>
      </c>
      <c r="D790" s="35">
        <v>267.46600000000001</v>
      </c>
      <c r="E790" s="41">
        <v>812.32899999999995</v>
      </c>
      <c r="F790" s="35">
        <v>1274</v>
      </c>
      <c r="G790" s="35">
        <v>50</v>
      </c>
      <c r="H790" s="43">
        <v>600</v>
      </c>
      <c r="I790" s="35">
        <v>695</v>
      </c>
      <c r="J790" s="35">
        <v>50</v>
      </c>
      <c r="K790" s="36"/>
      <c r="L790" s="36"/>
      <c r="M790" s="36"/>
      <c r="N790" s="36"/>
      <c r="O790" s="36"/>
      <c r="P790" s="36"/>
      <c r="Q790" s="36"/>
      <c r="R790" s="36"/>
      <c r="S790" s="36"/>
      <c r="T790" s="36"/>
    </row>
    <row r="791" spans="1:20" ht="15.75">
      <c r="A791" s="13">
        <v>65592</v>
      </c>
      <c r="B791" s="44">
        <f t="shared" si="3"/>
        <v>31</v>
      </c>
      <c r="C791" s="35">
        <v>194.20500000000001</v>
      </c>
      <c r="D791" s="35">
        <v>267.46600000000001</v>
      </c>
      <c r="E791" s="41">
        <v>812.32899999999995</v>
      </c>
      <c r="F791" s="35">
        <v>1274</v>
      </c>
      <c r="G791" s="35">
        <v>50</v>
      </c>
      <c r="H791" s="43">
        <v>600</v>
      </c>
      <c r="I791" s="35">
        <v>695</v>
      </c>
      <c r="J791" s="35">
        <v>0</v>
      </c>
      <c r="K791" s="36"/>
      <c r="L791" s="36"/>
      <c r="M791" s="36"/>
      <c r="N791" s="36"/>
      <c r="O791" s="36"/>
      <c r="P791" s="36"/>
      <c r="Q791" s="36"/>
      <c r="R791" s="36"/>
      <c r="S791" s="36"/>
      <c r="T791" s="36"/>
    </row>
    <row r="792" spans="1:20" ht="15.75">
      <c r="A792" s="13">
        <v>65623</v>
      </c>
      <c r="B792" s="44">
        <f t="shared" si="3"/>
        <v>31</v>
      </c>
      <c r="C792" s="35">
        <v>194.20500000000001</v>
      </c>
      <c r="D792" s="35">
        <v>267.46600000000001</v>
      </c>
      <c r="E792" s="41">
        <v>812.32899999999995</v>
      </c>
      <c r="F792" s="35">
        <v>1274</v>
      </c>
      <c r="G792" s="35">
        <v>50</v>
      </c>
      <c r="H792" s="43">
        <v>600</v>
      </c>
      <c r="I792" s="35">
        <v>695</v>
      </c>
      <c r="J792" s="35">
        <v>0</v>
      </c>
      <c r="K792" s="36"/>
      <c r="L792" s="36"/>
      <c r="M792" s="36"/>
      <c r="N792" s="36"/>
      <c r="O792" s="36"/>
      <c r="P792" s="36"/>
      <c r="Q792" s="36"/>
      <c r="R792" s="36"/>
      <c r="S792" s="36"/>
      <c r="T792" s="36"/>
    </row>
    <row r="793" spans="1:20" ht="15.75">
      <c r="A793" s="13">
        <v>65653</v>
      </c>
      <c r="B793" s="44">
        <f t="shared" si="3"/>
        <v>30</v>
      </c>
      <c r="C793" s="35">
        <v>194.20500000000001</v>
      </c>
      <c r="D793" s="35">
        <v>267.46600000000001</v>
      </c>
      <c r="E793" s="41">
        <v>812.32899999999995</v>
      </c>
      <c r="F793" s="35">
        <v>1274</v>
      </c>
      <c r="G793" s="35">
        <v>50</v>
      </c>
      <c r="H793" s="43">
        <v>600</v>
      </c>
      <c r="I793" s="35">
        <v>695</v>
      </c>
      <c r="J793" s="35">
        <v>0</v>
      </c>
      <c r="K793" s="36"/>
      <c r="L793" s="36"/>
      <c r="M793" s="36"/>
      <c r="N793" s="36"/>
      <c r="O793" s="36"/>
      <c r="P793" s="36"/>
      <c r="Q793" s="36"/>
      <c r="R793" s="36"/>
      <c r="S793" s="36"/>
      <c r="T793" s="36"/>
    </row>
    <row r="794" spans="1:20" ht="15.75">
      <c r="A794" s="13">
        <v>65684</v>
      </c>
      <c r="B794" s="44">
        <f t="shared" si="3"/>
        <v>31</v>
      </c>
      <c r="C794" s="35">
        <v>131.881</v>
      </c>
      <c r="D794" s="35">
        <v>277.16699999999997</v>
      </c>
      <c r="E794" s="41">
        <v>829.952</v>
      </c>
      <c r="F794" s="35">
        <v>1239</v>
      </c>
      <c r="G794" s="35">
        <v>75</v>
      </c>
      <c r="H794" s="43">
        <v>600</v>
      </c>
      <c r="I794" s="35">
        <v>695</v>
      </c>
      <c r="J794" s="35">
        <v>0</v>
      </c>
      <c r="K794" s="36"/>
      <c r="L794" s="36"/>
      <c r="M794" s="36"/>
      <c r="N794" s="36"/>
      <c r="O794" s="36"/>
      <c r="P794" s="36"/>
      <c r="Q794" s="36"/>
      <c r="R794" s="36"/>
      <c r="S794" s="36"/>
      <c r="T794" s="36"/>
    </row>
    <row r="795" spans="1:20" ht="15.75">
      <c r="A795" s="13">
        <v>65714</v>
      </c>
      <c r="B795" s="44">
        <f t="shared" si="3"/>
        <v>30</v>
      </c>
      <c r="C795" s="35">
        <v>122.58</v>
      </c>
      <c r="D795" s="35">
        <v>297.94099999999997</v>
      </c>
      <c r="E795" s="41">
        <v>729.47900000000004</v>
      </c>
      <c r="F795" s="35">
        <v>1150</v>
      </c>
      <c r="G795" s="35">
        <v>100</v>
      </c>
      <c r="H795" s="43">
        <v>600</v>
      </c>
      <c r="I795" s="35">
        <v>695</v>
      </c>
      <c r="J795" s="35">
        <v>50</v>
      </c>
      <c r="K795" s="36"/>
      <c r="L795" s="36"/>
      <c r="M795" s="36"/>
      <c r="N795" s="36"/>
      <c r="O795" s="36"/>
      <c r="P795" s="36"/>
      <c r="Q795" s="36"/>
      <c r="R795" s="36"/>
      <c r="S795" s="36"/>
      <c r="T795" s="36"/>
    </row>
    <row r="796" spans="1:20" ht="15.75">
      <c r="A796" s="13">
        <v>65745</v>
      </c>
      <c r="B796" s="44">
        <f t="shared" si="3"/>
        <v>31</v>
      </c>
      <c r="C796" s="35">
        <v>122.58</v>
      </c>
      <c r="D796" s="35">
        <v>297.94099999999997</v>
      </c>
      <c r="E796" s="41">
        <v>729.47900000000004</v>
      </c>
      <c r="F796" s="35">
        <v>1150</v>
      </c>
      <c r="G796" s="35">
        <v>100</v>
      </c>
      <c r="H796" s="43">
        <v>600</v>
      </c>
      <c r="I796" s="35">
        <v>695</v>
      </c>
      <c r="J796" s="35">
        <v>50</v>
      </c>
      <c r="K796" s="36"/>
      <c r="L796" s="36"/>
      <c r="M796" s="36"/>
      <c r="N796" s="36"/>
      <c r="O796" s="36"/>
      <c r="P796" s="36"/>
      <c r="Q796" s="36"/>
      <c r="R796" s="36"/>
      <c r="S796" s="36"/>
      <c r="T796" s="36"/>
    </row>
    <row r="797" spans="1:20" ht="15.75">
      <c r="A797" s="13">
        <v>65776</v>
      </c>
      <c r="B797" s="44">
        <f t="shared" si="3"/>
        <v>31</v>
      </c>
      <c r="C797" s="35">
        <v>122.58</v>
      </c>
      <c r="D797" s="35">
        <v>297.94099999999997</v>
      </c>
      <c r="E797" s="41">
        <v>729.47900000000004</v>
      </c>
      <c r="F797" s="35">
        <v>1150</v>
      </c>
      <c r="G797" s="35">
        <v>100</v>
      </c>
      <c r="H797" s="43">
        <v>600</v>
      </c>
      <c r="I797" s="35">
        <v>695</v>
      </c>
      <c r="J797" s="35">
        <v>50</v>
      </c>
      <c r="K797" s="36"/>
      <c r="L797" s="36"/>
      <c r="M797" s="36"/>
      <c r="N797" s="36"/>
      <c r="O797" s="36"/>
      <c r="P797" s="36"/>
      <c r="Q797" s="36"/>
      <c r="R797" s="36"/>
      <c r="S797" s="36"/>
      <c r="T797" s="36"/>
    </row>
    <row r="798" spans="1:20" ht="15.75">
      <c r="A798" s="13">
        <v>65805</v>
      </c>
      <c r="B798" s="44">
        <f t="shared" si="3"/>
        <v>29</v>
      </c>
      <c r="C798" s="35">
        <v>122.58</v>
      </c>
      <c r="D798" s="35">
        <v>297.94099999999997</v>
      </c>
      <c r="E798" s="41">
        <v>729.47900000000004</v>
      </c>
      <c r="F798" s="35">
        <v>1150</v>
      </c>
      <c r="G798" s="35">
        <v>100</v>
      </c>
      <c r="H798" s="43">
        <v>600</v>
      </c>
      <c r="I798" s="35">
        <v>695</v>
      </c>
      <c r="J798" s="35">
        <v>50</v>
      </c>
      <c r="K798" s="36"/>
      <c r="L798" s="36"/>
      <c r="M798" s="36"/>
      <c r="N798" s="36"/>
      <c r="O798" s="36"/>
      <c r="P798" s="36"/>
      <c r="Q798" s="36"/>
      <c r="R798" s="36"/>
      <c r="S798" s="36"/>
      <c r="T798" s="36"/>
    </row>
    <row r="799" spans="1:20" ht="15.75">
      <c r="A799" s="13">
        <v>65836</v>
      </c>
      <c r="B799" s="44">
        <f t="shared" si="3"/>
        <v>31</v>
      </c>
      <c r="C799" s="35">
        <v>122.58</v>
      </c>
      <c r="D799" s="35">
        <v>297.94099999999997</v>
      </c>
      <c r="E799" s="41">
        <v>729.47900000000004</v>
      </c>
      <c r="F799" s="35">
        <v>1150</v>
      </c>
      <c r="G799" s="35">
        <v>100</v>
      </c>
      <c r="H799" s="43">
        <v>600</v>
      </c>
      <c r="I799" s="35">
        <v>695</v>
      </c>
      <c r="J799" s="35">
        <v>50</v>
      </c>
      <c r="K799" s="36"/>
      <c r="L799" s="36"/>
      <c r="M799" s="36"/>
      <c r="N799" s="36"/>
      <c r="O799" s="36"/>
      <c r="P799" s="36"/>
      <c r="Q799" s="36"/>
      <c r="R799" s="36"/>
      <c r="S799" s="36"/>
      <c r="T799" s="36"/>
    </row>
    <row r="800" spans="1:20" ht="15.75">
      <c r="A800" s="13">
        <v>65866</v>
      </c>
      <c r="B800" s="44">
        <f t="shared" si="3"/>
        <v>30</v>
      </c>
      <c r="C800" s="35">
        <v>141.29300000000001</v>
      </c>
      <c r="D800" s="35">
        <v>267.99299999999999</v>
      </c>
      <c r="E800" s="41">
        <v>829.71400000000006</v>
      </c>
      <c r="F800" s="35">
        <v>1239</v>
      </c>
      <c r="G800" s="35">
        <v>100</v>
      </c>
      <c r="H800" s="43">
        <v>600</v>
      </c>
      <c r="I800" s="35">
        <v>695</v>
      </c>
      <c r="J800" s="35">
        <v>50</v>
      </c>
      <c r="K800" s="36"/>
      <c r="L800" s="36"/>
      <c r="M800" s="36"/>
      <c r="N800" s="36"/>
      <c r="O800" s="36"/>
      <c r="P800" s="36"/>
      <c r="Q800" s="36"/>
      <c r="R800" s="36"/>
      <c r="S800" s="36"/>
      <c r="T800" s="36"/>
    </row>
    <row r="801" spans="1:20" ht="15.75">
      <c r="A801" s="13">
        <v>65897</v>
      </c>
      <c r="B801" s="44">
        <f t="shared" si="3"/>
        <v>31</v>
      </c>
      <c r="C801" s="35">
        <v>194.20500000000001</v>
      </c>
      <c r="D801" s="35">
        <v>267.46600000000001</v>
      </c>
      <c r="E801" s="41">
        <v>812.32899999999995</v>
      </c>
      <c r="F801" s="35">
        <v>1274</v>
      </c>
      <c r="G801" s="35">
        <v>75</v>
      </c>
      <c r="H801" s="43">
        <v>600</v>
      </c>
      <c r="I801" s="35">
        <v>695</v>
      </c>
      <c r="J801" s="35">
        <v>50</v>
      </c>
      <c r="K801" s="36"/>
      <c r="L801" s="36"/>
      <c r="M801" s="36"/>
      <c r="N801" s="36"/>
      <c r="O801" s="36"/>
      <c r="P801" s="36"/>
      <c r="Q801" s="36"/>
      <c r="R801" s="36"/>
      <c r="S801" s="36"/>
      <c r="T801" s="36"/>
    </row>
    <row r="802" spans="1:20" ht="15.75">
      <c r="A802" s="13">
        <v>65927</v>
      </c>
      <c r="B802" s="44">
        <f t="shared" si="3"/>
        <v>30</v>
      </c>
      <c r="C802" s="35">
        <v>194.20500000000001</v>
      </c>
      <c r="D802" s="35">
        <v>267.46600000000001</v>
      </c>
      <c r="E802" s="41">
        <v>812.32899999999995</v>
      </c>
      <c r="F802" s="35">
        <v>1274</v>
      </c>
      <c r="G802" s="35">
        <v>50</v>
      </c>
      <c r="H802" s="43">
        <v>600</v>
      </c>
      <c r="I802" s="35">
        <v>695</v>
      </c>
      <c r="J802" s="35">
        <v>50</v>
      </c>
      <c r="K802" s="36"/>
      <c r="L802" s="36"/>
      <c r="M802" s="36"/>
      <c r="N802" s="36"/>
      <c r="O802" s="36"/>
      <c r="P802" s="36"/>
      <c r="Q802" s="36"/>
      <c r="R802" s="36"/>
      <c r="S802" s="36"/>
      <c r="T802" s="36"/>
    </row>
    <row r="803" spans="1:20" ht="15.75">
      <c r="A803" s="13">
        <v>65958</v>
      </c>
      <c r="B803" s="44">
        <f t="shared" si="3"/>
        <v>31</v>
      </c>
      <c r="C803" s="35">
        <v>194.20500000000001</v>
      </c>
      <c r="D803" s="35">
        <v>267.46600000000001</v>
      </c>
      <c r="E803" s="41">
        <v>812.32899999999995</v>
      </c>
      <c r="F803" s="35">
        <v>1274</v>
      </c>
      <c r="G803" s="35">
        <v>50</v>
      </c>
      <c r="H803" s="43">
        <v>600</v>
      </c>
      <c r="I803" s="35">
        <v>695</v>
      </c>
      <c r="J803" s="35">
        <v>0</v>
      </c>
      <c r="K803" s="36"/>
      <c r="L803" s="36"/>
      <c r="M803" s="36"/>
      <c r="N803" s="36"/>
      <c r="O803" s="36"/>
      <c r="P803" s="36"/>
      <c r="Q803" s="36"/>
      <c r="R803" s="36"/>
      <c r="S803" s="36"/>
      <c r="T803" s="36"/>
    </row>
    <row r="804" spans="1:20" ht="15.75">
      <c r="A804" s="13">
        <v>65989</v>
      </c>
      <c r="B804" s="44">
        <f t="shared" si="3"/>
        <v>31</v>
      </c>
      <c r="C804" s="35">
        <v>194.20500000000001</v>
      </c>
      <c r="D804" s="35">
        <v>267.46600000000001</v>
      </c>
      <c r="E804" s="41">
        <v>812.32899999999995</v>
      </c>
      <c r="F804" s="35">
        <v>1274</v>
      </c>
      <c r="G804" s="35">
        <v>50</v>
      </c>
      <c r="H804" s="43">
        <v>600</v>
      </c>
      <c r="I804" s="35">
        <v>695</v>
      </c>
      <c r="J804" s="35">
        <v>0</v>
      </c>
      <c r="K804" s="36"/>
      <c r="L804" s="36"/>
      <c r="M804" s="36"/>
      <c r="N804" s="36"/>
      <c r="O804" s="36"/>
      <c r="P804" s="36"/>
      <c r="Q804" s="36"/>
      <c r="R804" s="36"/>
      <c r="S804" s="36"/>
      <c r="T804" s="36"/>
    </row>
    <row r="805" spans="1:20" ht="15.75">
      <c r="A805" s="13">
        <v>66019</v>
      </c>
      <c r="B805" s="44">
        <f t="shared" si="3"/>
        <v>30</v>
      </c>
      <c r="C805" s="35">
        <v>194.20500000000001</v>
      </c>
      <c r="D805" s="35">
        <v>267.46600000000001</v>
      </c>
      <c r="E805" s="41">
        <v>812.32899999999995</v>
      </c>
      <c r="F805" s="35">
        <v>1274</v>
      </c>
      <c r="G805" s="35">
        <v>50</v>
      </c>
      <c r="H805" s="43">
        <v>600</v>
      </c>
      <c r="I805" s="35">
        <v>695</v>
      </c>
      <c r="J805" s="35">
        <v>0</v>
      </c>
      <c r="K805" s="36"/>
      <c r="L805" s="36"/>
      <c r="M805" s="36"/>
      <c r="N805" s="36"/>
      <c r="O805" s="36"/>
      <c r="P805" s="36"/>
      <c r="Q805" s="36"/>
      <c r="R805" s="36"/>
      <c r="S805" s="36"/>
      <c r="T805" s="36"/>
    </row>
    <row r="806" spans="1:20" ht="15.75">
      <c r="A806" s="13">
        <v>66050</v>
      </c>
      <c r="B806" s="44">
        <f t="shared" si="3"/>
        <v>31</v>
      </c>
      <c r="C806" s="35">
        <v>131.881</v>
      </c>
      <c r="D806" s="35">
        <v>277.16699999999997</v>
      </c>
      <c r="E806" s="41">
        <v>829.952</v>
      </c>
      <c r="F806" s="35">
        <v>1239</v>
      </c>
      <c r="G806" s="35">
        <v>75</v>
      </c>
      <c r="H806" s="43">
        <v>600</v>
      </c>
      <c r="I806" s="35">
        <v>695</v>
      </c>
      <c r="J806" s="35">
        <v>0</v>
      </c>
      <c r="K806" s="36"/>
      <c r="L806" s="36"/>
      <c r="M806" s="36"/>
      <c r="N806" s="36"/>
      <c r="O806" s="36"/>
      <c r="P806" s="36"/>
      <c r="Q806" s="36"/>
      <c r="R806" s="36"/>
      <c r="S806" s="36"/>
      <c r="T806" s="36"/>
    </row>
    <row r="807" spans="1:20" ht="15.75">
      <c r="A807" s="13">
        <v>66080</v>
      </c>
      <c r="B807" s="44">
        <f t="shared" si="3"/>
        <v>30</v>
      </c>
      <c r="C807" s="35">
        <v>122.58</v>
      </c>
      <c r="D807" s="35">
        <v>297.94099999999997</v>
      </c>
      <c r="E807" s="41">
        <v>729.47900000000004</v>
      </c>
      <c r="F807" s="35">
        <v>1150</v>
      </c>
      <c r="G807" s="35">
        <v>100</v>
      </c>
      <c r="H807" s="43">
        <v>600</v>
      </c>
      <c r="I807" s="35">
        <v>695</v>
      </c>
      <c r="J807" s="35">
        <v>50</v>
      </c>
      <c r="K807" s="36"/>
      <c r="L807" s="36"/>
      <c r="M807" s="36"/>
      <c r="N807" s="36"/>
      <c r="O807" s="36"/>
      <c r="P807" s="36"/>
      <c r="Q807" s="36"/>
      <c r="R807" s="36"/>
      <c r="S807" s="36"/>
      <c r="T807" s="36"/>
    </row>
    <row r="808" spans="1:20" ht="15.75">
      <c r="A808" s="13">
        <v>66111</v>
      </c>
      <c r="B808" s="44">
        <f t="shared" si="3"/>
        <v>31</v>
      </c>
      <c r="C808" s="35">
        <v>122.58</v>
      </c>
      <c r="D808" s="35">
        <v>297.94099999999997</v>
      </c>
      <c r="E808" s="41">
        <v>729.47900000000004</v>
      </c>
      <c r="F808" s="35">
        <v>1150</v>
      </c>
      <c r="G808" s="35">
        <v>100</v>
      </c>
      <c r="H808" s="43">
        <v>600</v>
      </c>
      <c r="I808" s="35">
        <v>695</v>
      </c>
      <c r="J808" s="35">
        <v>50</v>
      </c>
      <c r="K808" s="36"/>
      <c r="L808" s="36"/>
      <c r="M808" s="36"/>
      <c r="N808" s="36"/>
      <c r="O808" s="36"/>
      <c r="P808" s="36"/>
      <c r="Q808" s="36"/>
      <c r="R808" s="36"/>
      <c r="S808" s="36"/>
      <c r="T808" s="36"/>
    </row>
    <row r="809" spans="1:20" ht="15.75">
      <c r="A809" s="13">
        <v>66142</v>
      </c>
      <c r="B809" s="44">
        <f t="shared" si="3"/>
        <v>31</v>
      </c>
      <c r="C809" s="35">
        <v>122.58</v>
      </c>
      <c r="D809" s="35">
        <v>297.94099999999997</v>
      </c>
      <c r="E809" s="41">
        <v>729.47900000000004</v>
      </c>
      <c r="F809" s="35">
        <v>1150</v>
      </c>
      <c r="G809" s="35">
        <v>100</v>
      </c>
      <c r="H809" s="43">
        <v>600</v>
      </c>
      <c r="I809" s="35">
        <v>695</v>
      </c>
      <c r="J809" s="35">
        <v>50</v>
      </c>
      <c r="K809" s="36"/>
      <c r="L809" s="36"/>
      <c r="M809" s="36"/>
      <c r="N809" s="36"/>
      <c r="O809" s="36"/>
      <c r="P809" s="36"/>
      <c r="Q809" s="36"/>
      <c r="R809" s="36"/>
      <c r="S809" s="36"/>
      <c r="T809" s="36"/>
    </row>
    <row r="810" spans="1:20" ht="15.75">
      <c r="A810" s="13">
        <v>66170</v>
      </c>
      <c r="B810" s="44">
        <f t="shared" si="3"/>
        <v>28</v>
      </c>
      <c r="C810" s="35">
        <v>122.58</v>
      </c>
      <c r="D810" s="35">
        <v>297.94099999999997</v>
      </c>
      <c r="E810" s="41">
        <v>729.47900000000004</v>
      </c>
      <c r="F810" s="35">
        <v>1150</v>
      </c>
      <c r="G810" s="35">
        <v>100</v>
      </c>
      <c r="H810" s="43">
        <v>600</v>
      </c>
      <c r="I810" s="35">
        <v>695</v>
      </c>
      <c r="J810" s="35">
        <v>50</v>
      </c>
      <c r="K810" s="36"/>
      <c r="L810" s="36"/>
      <c r="M810" s="36"/>
      <c r="N810" s="36"/>
      <c r="O810" s="36"/>
      <c r="P810" s="36"/>
      <c r="Q810" s="36"/>
      <c r="R810" s="36"/>
      <c r="S810" s="36"/>
      <c r="T810" s="36"/>
    </row>
    <row r="811" spans="1:20" ht="15.75">
      <c r="A811" s="13">
        <v>66201</v>
      </c>
      <c r="B811" s="44">
        <f t="shared" si="3"/>
        <v>31</v>
      </c>
      <c r="C811" s="35">
        <v>122.58</v>
      </c>
      <c r="D811" s="35">
        <v>297.94099999999997</v>
      </c>
      <c r="E811" s="41">
        <v>729.47900000000004</v>
      </c>
      <c r="F811" s="35">
        <v>1150</v>
      </c>
      <c r="G811" s="35">
        <v>100</v>
      </c>
      <c r="H811" s="43">
        <v>600</v>
      </c>
      <c r="I811" s="35">
        <v>695</v>
      </c>
      <c r="J811" s="35">
        <v>50</v>
      </c>
      <c r="K811" s="36"/>
      <c r="L811" s="36"/>
      <c r="M811" s="36"/>
      <c r="N811" s="36"/>
      <c r="O811" s="36"/>
      <c r="P811" s="36"/>
      <c r="Q811" s="36"/>
      <c r="R811" s="36"/>
      <c r="S811" s="36"/>
      <c r="T811" s="36"/>
    </row>
    <row r="812" spans="1:20" ht="15.75">
      <c r="A812" s="13">
        <v>66231</v>
      </c>
      <c r="B812" s="44">
        <f t="shared" si="3"/>
        <v>30</v>
      </c>
      <c r="C812" s="35">
        <v>141.29300000000001</v>
      </c>
      <c r="D812" s="35">
        <v>267.99299999999999</v>
      </c>
      <c r="E812" s="41">
        <v>829.71400000000006</v>
      </c>
      <c r="F812" s="35">
        <v>1239</v>
      </c>
      <c r="G812" s="35">
        <v>100</v>
      </c>
      <c r="H812" s="43">
        <v>600</v>
      </c>
      <c r="I812" s="35">
        <v>695</v>
      </c>
      <c r="J812" s="35">
        <v>50</v>
      </c>
      <c r="K812" s="36"/>
      <c r="L812" s="36"/>
      <c r="M812" s="36"/>
      <c r="N812" s="36"/>
      <c r="O812" s="36"/>
      <c r="P812" s="36"/>
      <c r="Q812" s="36"/>
      <c r="R812" s="36"/>
      <c r="S812" s="36"/>
      <c r="T812" s="36"/>
    </row>
    <row r="813" spans="1:20" ht="15.75">
      <c r="A813" s="13">
        <v>66262</v>
      </c>
      <c r="B813" s="44">
        <f t="shared" si="3"/>
        <v>31</v>
      </c>
      <c r="C813" s="35">
        <v>194.20500000000001</v>
      </c>
      <c r="D813" s="35">
        <v>267.46600000000001</v>
      </c>
      <c r="E813" s="41">
        <v>812.32899999999995</v>
      </c>
      <c r="F813" s="35">
        <v>1274</v>
      </c>
      <c r="G813" s="35">
        <v>75</v>
      </c>
      <c r="H813" s="43">
        <v>600</v>
      </c>
      <c r="I813" s="35">
        <v>695</v>
      </c>
      <c r="J813" s="35">
        <v>50</v>
      </c>
      <c r="K813" s="36"/>
      <c r="L813" s="36"/>
      <c r="M813" s="36"/>
      <c r="N813" s="36"/>
      <c r="O813" s="36"/>
      <c r="P813" s="36"/>
      <c r="Q813" s="36"/>
      <c r="R813" s="36"/>
      <c r="S813" s="36"/>
      <c r="T813" s="36"/>
    </row>
    <row r="814" spans="1:20" ht="15.75">
      <c r="A814" s="13">
        <v>66292</v>
      </c>
      <c r="B814" s="44">
        <f t="shared" si="3"/>
        <v>30</v>
      </c>
      <c r="C814" s="35">
        <v>194.20500000000001</v>
      </c>
      <c r="D814" s="35">
        <v>267.46600000000001</v>
      </c>
      <c r="E814" s="41">
        <v>812.32899999999995</v>
      </c>
      <c r="F814" s="35">
        <v>1274</v>
      </c>
      <c r="G814" s="35">
        <v>50</v>
      </c>
      <c r="H814" s="43">
        <v>600</v>
      </c>
      <c r="I814" s="35">
        <v>695</v>
      </c>
      <c r="J814" s="35">
        <v>50</v>
      </c>
      <c r="K814" s="36"/>
      <c r="L814" s="36"/>
      <c r="M814" s="36"/>
      <c r="N814" s="36"/>
      <c r="O814" s="36"/>
      <c r="P814" s="36"/>
      <c r="Q814" s="36"/>
      <c r="R814" s="36"/>
      <c r="S814" s="36"/>
      <c r="T814" s="36"/>
    </row>
    <row r="815" spans="1:20" ht="15.75">
      <c r="A815" s="13">
        <v>66323</v>
      </c>
      <c r="B815" s="44">
        <f t="shared" si="3"/>
        <v>31</v>
      </c>
      <c r="C815" s="35">
        <v>194.20500000000001</v>
      </c>
      <c r="D815" s="35">
        <v>267.46600000000001</v>
      </c>
      <c r="E815" s="41">
        <v>812.32899999999995</v>
      </c>
      <c r="F815" s="35">
        <v>1274</v>
      </c>
      <c r="G815" s="35">
        <v>50</v>
      </c>
      <c r="H815" s="43">
        <v>600</v>
      </c>
      <c r="I815" s="35">
        <v>695</v>
      </c>
      <c r="J815" s="35">
        <v>0</v>
      </c>
      <c r="K815" s="36"/>
      <c r="L815" s="36"/>
      <c r="M815" s="36"/>
      <c r="N815" s="36"/>
      <c r="O815" s="36"/>
      <c r="P815" s="36"/>
      <c r="Q815" s="36"/>
      <c r="R815" s="36"/>
      <c r="S815" s="36"/>
      <c r="T815" s="36"/>
    </row>
    <row r="816" spans="1:20" ht="15.75">
      <c r="A816" s="13">
        <v>66354</v>
      </c>
      <c r="B816" s="44">
        <f t="shared" si="3"/>
        <v>31</v>
      </c>
      <c r="C816" s="35">
        <v>194.20500000000001</v>
      </c>
      <c r="D816" s="35">
        <v>267.46600000000001</v>
      </c>
      <c r="E816" s="41">
        <v>812.32899999999995</v>
      </c>
      <c r="F816" s="35">
        <v>1274</v>
      </c>
      <c r="G816" s="35">
        <v>50</v>
      </c>
      <c r="H816" s="43">
        <v>600</v>
      </c>
      <c r="I816" s="35">
        <v>695</v>
      </c>
      <c r="J816" s="35">
        <v>0</v>
      </c>
      <c r="K816" s="36"/>
      <c r="L816" s="36"/>
      <c r="M816" s="36"/>
      <c r="N816" s="36"/>
      <c r="O816" s="36"/>
      <c r="P816" s="36"/>
      <c r="Q816" s="36"/>
      <c r="R816" s="36"/>
      <c r="S816" s="36"/>
      <c r="T816" s="36"/>
    </row>
    <row r="817" spans="1:20" ht="15.75">
      <c r="A817" s="13">
        <v>66384</v>
      </c>
      <c r="B817" s="44">
        <f t="shared" si="3"/>
        <v>30</v>
      </c>
      <c r="C817" s="35">
        <v>194.20500000000001</v>
      </c>
      <c r="D817" s="35">
        <v>267.46600000000001</v>
      </c>
      <c r="E817" s="41">
        <v>812.32899999999995</v>
      </c>
      <c r="F817" s="35">
        <v>1274</v>
      </c>
      <c r="G817" s="35">
        <v>50</v>
      </c>
      <c r="H817" s="43">
        <v>600</v>
      </c>
      <c r="I817" s="35">
        <v>695</v>
      </c>
      <c r="J817" s="35">
        <v>0</v>
      </c>
      <c r="K817" s="36"/>
      <c r="L817" s="36"/>
      <c r="M817" s="36"/>
      <c r="N817" s="36"/>
      <c r="O817" s="36"/>
      <c r="P817" s="36"/>
      <c r="Q817" s="36"/>
      <c r="R817" s="36"/>
      <c r="S817" s="36"/>
      <c r="T817" s="36"/>
    </row>
    <row r="818" spans="1:20" ht="15.75">
      <c r="A818" s="13">
        <v>66415</v>
      </c>
      <c r="B818" s="44">
        <f t="shared" si="3"/>
        <v>31</v>
      </c>
      <c r="C818" s="35">
        <v>131.881</v>
      </c>
      <c r="D818" s="35">
        <v>277.16699999999997</v>
      </c>
      <c r="E818" s="41">
        <v>829.952</v>
      </c>
      <c r="F818" s="35">
        <v>1239</v>
      </c>
      <c r="G818" s="35">
        <v>75</v>
      </c>
      <c r="H818" s="43">
        <v>600</v>
      </c>
      <c r="I818" s="35">
        <v>695</v>
      </c>
      <c r="J818" s="35">
        <v>0</v>
      </c>
      <c r="K818" s="36"/>
      <c r="L818" s="36"/>
      <c r="M818" s="36"/>
      <c r="N818" s="36"/>
      <c r="O818" s="36"/>
      <c r="P818" s="36"/>
      <c r="Q818" s="36"/>
      <c r="R818" s="36"/>
      <c r="S818" s="36"/>
      <c r="T818" s="36"/>
    </row>
    <row r="819" spans="1:20" ht="15.75">
      <c r="A819" s="13">
        <v>66445</v>
      </c>
      <c r="B819" s="44">
        <f t="shared" si="3"/>
        <v>30</v>
      </c>
      <c r="C819" s="35">
        <v>122.58</v>
      </c>
      <c r="D819" s="35">
        <v>297.94099999999997</v>
      </c>
      <c r="E819" s="41">
        <v>729.47900000000004</v>
      </c>
      <c r="F819" s="35">
        <v>1150</v>
      </c>
      <c r="G819" s="35">
        <v>100</v>
      </c>
      <c r="H819" s="43">
        <v>600</v>
      </c>
      <c r="I819" s="35">
        <v>695</v>
      </c>
      <c r="J819" s="35">
        <v>50</v>
      </c>
      <c r="K819" s="36"/>
      <c r="L819" s="36"/>
      <c r="M819" s="36"/>
      <c r="N819" s="36"/>
      <c r="O819" s="36"/>
      <c r="P819" s="36"/>
      <c r="Q819" s="36"/>
      <c r="R819" s="36"/>
      <c r="S819" s="36"/>
      <c r="T819" s="36"/>
    </row>
    <row r="820" spans="1:20" ht="15.75">
      <c r="A820" s="13">
        <v>66476</v>
      </c>
      <c r="B820" s="44">
        <f t="shared" si="3"/>
        <v>31</v>
      </c>
      <c r="C820" s="35">
        <v>122.58</v>
      </c>
      <c r="D820" s="35">
        <v>297.94099999999997</v>
      </c>
      <c r="E820" s="41">
        <v>729.47900000000004</v>
      </c>
      <c r="F820" s="35">
        <v>1150</v>
      </c>
      <c r="G820" s="35">
        <v>100</v>
      </c>
      <c r="H820" s="43">
        <v>600</v>
      </c>
      <c r="I820" s="35">
        <v>695</v>
      </c>
      <c r="J820" s="35">
        <v>50</v>
      </c>
      <c r="K820" s="36"/>
      <c r="L820" s="36"/>
      <c r="M820" s="36"/>
      <c r="N820" s="36"/>
      <c r="O820" s="36"/>
      <c r="P820" s="36"/>
      <c r="Q820" s="36"/>
      <c r="R820" s="36"/>
      <c r="S820" s="36"/>
      <c r="T820" s="36"/>
    </row>
    <row r="821" spans="1:20" ht="15.75">
      <c r="A821" s="13">
        <v>66507</v>
      </c>
      <c r="B821" s="44">
        <f t="shared" si="3"/>
        <v>31</v>
      </c>
      <c r="C821" s="35">
        <v>122.58</v>
      </c>
      <c r="D821" s="35">
        <v>297.94099999999997</v>
      </c>
      <c r="E821" s="41">
        <v>729.47900000000004</v>
      </c>
      <c r="F821" s="35">
        <v>1150</v>
      </c>
      <c r="G821" s="35">
        <v>100</v>
      </c>
      <c r="H821" s="43">
        <v>600</v>
      </c>
      <c r="I821" s="35">
        <v>695</v>
      </c>
      <c r="J821" s="35">
        <v>50</v>
      </c>
      <c r="K821" s="36"/>
      <c r="L821" s="36"/>
      <c r="M821" s="36"/>
      <c r="N821" s="36"/>
      <c r="O821" s="36"/>
      <c r="P821" s="36"/>
      <c r="Q821" s="36"/>
      <c r="R821" s="36"/>
      <c r="S821" s="36"/>
      <c r="T821" s="36"/>
    </row>
    <row r="822" spans="1:20" ht="15.75">
      <c r="A822" s="13">
        <v>66535</v>
      </c>
      <c r="B822" s="44">
        <f t="shared" si="3"/>
        <v>28</v>
      </c>
      <c r="C822" s="35">
        <v>122.58</v>
      </c>
      <c r="D822" s="35">
        <v>297.94099999999997</v>
      </c>
      <c r="E822" s="41">
        <v>729.47900000000004</v>
      </c>
      <c r="F822" s="35">
        <v>1150</v>
      </c>
      <c r="G822" s="35">
        <v>100</v>
      </c>
      <c r="H822" s="43">
        <v>600</v>
      </c>
      <c r="I822" s="35">
        <v>695</v>
      </c>
      <c r="J822" s="35">
        <v>50</v>
      </c>
      <c r="K822" s="36"/>
      <c r="L822" s="36"/>
      <c r="M822" s="36"/>
      <c r="N822" s="36"/>
      <c r="O822" s="36"/>
      <c r="P822" s="36"/>
      <c r="Q822" s="36"/>
      <c r="R822" s="36"/>
      <c r="S822" s="36"/>
      <c r="T822" s="36"/>
    </row>
    <row r="823" spans="1:20" ht="15.75">
      <c r="A823" s="13">
        <v>66566</v>
      </c>
      <c r="B823" s="44">
        <f t="shared" si="3"/>
        <v>31</v>
      </c>
      <c r="C823" s="35">
        <v>122.58</v>
      </c>
      <c r="D823" s="35">
        <v>297.94099999999997</v>
      </c>
      <c r="E823" s="41">
        <v>729.47900000000004</v>
      </c>
      <c r="F823" s="35">
        <v>1150</v>
      </c>
      <c r="G823" s="35">
        <v>100</v>
      </c>
      <c r="H823" s="43">
        <v>600</v>
      </c>
      <c r="I823" s="35">
        <v>695</v>
      </c>
      <c r="J823" s="35">
        <v>50</v>
      </c>
      <c r="K823" s="36"/>
      <c r="L823" s="36"/>
      <c r="M823" s="36"/>
      <c r="N823" s="36"/>
      <c r="O823" s="36"/>
      <c r="P823" s="36"/>
      <c r="Q823" s="36"/>
      <c r="R823" s="36"/>
      <c r="S823" s="36"/>
      <c r="T823" s="36"/>
    </row>
    <row r="824" spans="1:20" ht="15.75">
      <c r="A824" s="13">
        <v>66596</v>
      </c>
      <c r="B824" s="44">
        <f t="shared" si="3"/>
        <v>30</v>
      </c>
      <c r="C824" s="35">
        <v>141.29300000000001</v>
      </c>
      <c r="D824" s="35">
        <v>267.99299999999999</v>
      </c>
      <c r="E824" s="41">
        <v>829.71400000000006</v>
      </c>
      <c r="F824" s="35">
        <v>1239</v>
      </c>
      <c r="G824" s="35">
        <v>100</v>
      </c>
      <c r="H824" s="43">
        <v>600</v>
      </c>
      <c r="I824" s="35">
        <v>695</v>
      </c>
      <c r="J824" s="35">
        <v>50</v>
      </c>
      <c r="K824" s="36"/>
      <c r="L824" s="36"/>
      <c r="M824" s="36"/>
      <c r="N824" s="36"/>
      <c r="O824" s="36"/>
      <c r="P824" s="36"/>
      <c r="Q824" s="36"/>
      <c r="R824" s="36"/>
      <c r="S824" s="36"/>
      <c r="T824" s="36"/>
    </row>
    <row r="825" spans="1:20" ht="15.75">
      <c r="A825" s="13">
        <v>66627</v>
      </c>
      <c r="B825" s="44">
        <f t="shared" si="3"/>
        <v>31</v>
      </c>
      <c r="C825" s="35">
        <v>194.20500000000001</v>
      </c>
      <c r="D825" s="35">
        <v>267.46600000000001</v>
      </c>
      <c r="E825" s="41">
        <v>812.32899999999995</v>
      </c>
      <c r="F825" s="35">
        <v>1274</v>
      </c>
      <c r="G825" s="35">
        <v>75</v>
      </c>
      <c r="H825" s="43">
        <v>600</v>
      </c>
      <c r="I825" s="35">
        <v>695</v>
      </c>
      <c r="J825" s="35">
        <v>50</v>
      </c>
      <c r="K825" s="36"/>
      <c r="L825" s="36"/>
      <c r="M825" s="36"/>
      <c r="N825" s="36"/>
      <c r="O825" s="36"/>
      <c r="P825" s="36"/>
      <c r="Q825" s="36"/>
      <c r="R825" s="36"/>
      <c r="S825" s="36"/>
      <c r="T825" s="36"/>
    </row>
    <row r="826" spans="1:20" ht="15.75">
      <c r="A826" s="13">
        <v>66657</v>
      </c>
      <c r="B826" s="44">
        <f t="shared" si="3"/>
        <v>30</v>
      </c>
      <c r="C826" s="35">
        <v>194.20500000000001</v>
      </c>
      <c r="D826" s="35">
        <v>267.46600000000001</v>
      </c>
      <c r="E826" s="41">
        <v>812.32899999999995</v>
      </c>
      <c r="F826" s="35">
        <v>1274</v>
      </c>
      <c r="G826" s="35">
        <v>50</v>
      </c>
      <c r="H826" s="43">
        <v>600</v>
      </c>
      <c r="I826" s="35">
        <v>695</v>
      </c>
      <c r="J826" s="35">
        <v>50</v>
      </c>
      <c r="K826" s="36"/>
      <c r="L826" s="36"/>
      <c r="M826" s="36"/>
      <c r="N826" s="36"/>
      <c r="O826" s="36"/>
      <c r="P826" s="36"/>
      <c r="Q826" s="36"/>
      <c r="R826" s="36"/>
      <c r="S826" s="36"/>
      <c r="T826" s="36"/>
    </row>
    <row r="827" spans="1:20" ht="15.75">
      <c r="A827" s="13">
        <v>66688</v>
      </c>
      <c r="B827" s="44">
        <f t="shared" si="3"/>
        <v>31</v>
      </c>
      <c r="C827" s="35">
        <v>194.20500000000001</v>
      </c>
      <c r="D827" s="35">
        <v>267.46600000000001</v>
      </c>
      <c r="E827" s="41">
        <v>812.32899999999995</v>
      </c>
      <c r="F827" s="35">
        <v>1274</v>
      </c>
      <c r="G827" s="35">
        <v>50</v>
      </c>
      <c r="H827" s="43">
        <v>600</v>
      </c>
      <c r="I827" s="35">
        <v>695</v>
      </c>
      <c r="J827" s="35">
        <v>0</v>
      </c>
      <c r="K827" s="36"/>
      <c r="L827" s="36"/>
      <c r="M827" s="36"/>
      <c r="N827" s="36"/>
      <c r="O827" s="36"/>
      <c r="P827" s="36"/>
      <c r="Q827" s="36"/>
      <c r="R827" s="36"/>
      <c r="S827" s="36"/>
      <c r="T827" s="36"/>
    </row>
    <row r="828" spans="1:20" ht="15.75">
      <c r="A828" s="13">
        <v>66719</v>
      </c>
      <c r="B828" s="44">
        <f t="shared" si="3"/>
        <v>31</v>
      </c>
      <c r="C828" s="35">
        <v>194.20500000000001</v>
      </c>
      <c r="D828" s="35">
        <v>267.46600000000001</v>
      </c>
      <c r="E828" s="41">
        <v>812.32899999999995</v>
      </c>
      <c r="F828" s="35">
        <v>1274</v>
      </c>
      <c r="G828" s="35">
        <v>50</v>
      </c>
      <c r="H828" s="43">
        <v>600</v>
      </c>
      <c r="I828" s="35">
        <v>695</v>
      </c>
      <c r="J828" s="35">
        <v>0</v>
      </c>
      <c r="K828" s="36"/>
      <c r="L828" s="36"/>
      <c r="M828" s="36"/>
      <c r="N828" s="36"/>
      <c r="O828" s="36"/>
      <c r="P828" s="36"/>
      <c r="Q828" s="36"/>
      <c r="R828" s="36"/>
      <c r="S828" s="36"/>
      <c r="T828" s="36"/>
    </row>
    <row r="829" spans="1:20" ht="15.75">
      <c r="A829" s="13">
        <v>66749</v>
      </c>
      <c r="B829" s="44">
        <f t="shared" si="3"/>
        <v>30</v>
      </c>
      <c r="C829" s="35">
        <v>194.20500000000001</v>
      </c>
      <c r="D829" s="35">
        <v>267.46600000000001</v>
      </c>
      <c r="E829" s="41">
        <v>812.32899999999995</v>
      </c>
      <c r="F829" s="35">
        <v>1274</v>
      </c>
      <c r="G829" s="35">
        <v>50</v>
      </c>
      <c r="H829" s="43">
        <v>600</v>
      </c>
      <c r="I829" s="35">
        <v>695</v>
      </c>
      <c r="J829" s="35">
        <v>0</v>
      </c>
      <c r="K829" s="36"/>
      <c r="L829" s="36"/>
      <c r="M829" s="36"/>
      <c r="N829" s="36"/>
      <c r="O829" s="36"/>
      <c r="P829" s="36"/>
      <c r="Q829" s="36"/>
      <c r="R829" s="36"/>
      <c r="S829" s="36"/>
      <c r="T829" s="36"/>
    </row>
    <row r="830" spans="1:20" ht="15.75">
      <c r="A830" s="13">
        <v>66780</v>
      </c>
      <c r="B830" s="44">
        <f t="shared" si="3"/>
        <v>31</v>
      </c>
      <c r="C830" s="35">
        <v>131.881</v>
      </c>
      <c r="D830" s="35">
        <v>277.16699999999997</v>
      </c>
      <c r="E830" s="41">
        <v>829.952</v>
      </c>
      <c r="F830" s="35">
        <v>1239</v>
      </c>
      <c r="G830" s="35">
        <v>75</v>
      </c>
      <c r="H830" s="43">
        <v>600</v>
      </c>
      <c r="I830" s="35">
        <v>695</v>
      </c>
      <c r="J830" s="35">
        <v>0</v>
      </c>
      <c r="K830" s="36"/>
      <c r="L830" s="36"/>
      <c r="M830" s="36"/>
      <c r="N830" s="36"/>
      <c r="O830" s="36"/>
      <c r="P830" s="36"/>
      <c r="Q830" s="36"/>
      <c r="R830" s="36"/>
      <c r="S830" s="36"/>
      <c r="T830" s="36"/>
    </row>
    <row r="831" spans="1:20" ht="15.75">
      <c r="A831" s="13">
        <v>66810</v>
      </c>
      <c r="B831" s="44">
        <f t="shared" si="3"/>
        <v>30</v>
      </c>
      <c r="C831" s="35">
        <v>122.58</v>
      </c>
      <c r="D831" s="35">
        <v>297.94099999999997</v>
      </c>
      <c r="E831" s="41">
        <v>729.47900000000004</v>
      </c>
      <c r="F831" s="35">
        <v>1150</v>
      </c>
      <c r="G831" s="35">
        <v>100</v>
      </c>
      <c r="H831" s="43">
        <v>600</v>
      </c>
      <c r="I831" s="35">
        <v>695</v>
      </c>
      <c r="J831" s="35">
        <v>50</v>
      </c>
      <c r="K831" s="36"/>
      <c r="L831" s="36"/>
      <c r="M831" s="36"/>
      <c r="N831" s="36"/>
      <c r="O831" s="36"/>
      <c r="P831" s="36"/>
      <c r="Q831" s="36"/>
      <c r="R831" s="36"/>
      <c r="S831" s="36"/>
      <c r="T831" s="36"/>
    </row>
    <row r="832" spans="1:20" ht="15.75">
      <c r="A832" s="13">
        <v>66841</v>
      </c>
      <c r="B832" s="44">
        <f t="shared" si="3"/>
        <v>31</v>
      </c>
      <c r="C832" s="35">
        <v>122.58</v>
      </c>
      <c r="D832" s="35">
        <v>297.94099999999997</v>
      </c>
      <c r="E832" s="41">
        <v>729.47900000000004</v>
      </c>
      <c r="F832" s="35">
        <v>1150</v>
      </c>
      <c r="G832" s="35">
        <v>100</v>
      </c>
      <c r="H832" s="43">
        <v>600</v>
      </c>
      <c r="I832" s="35">
        <v>695</v>
      </c>
      <c r="J832" s="35">
        <v>50</v>
      </c>
      <c r="K832" s="36"/>
      <c r="L832" s="36"/>
      <c r="M832" s="36"/>
      <c r="N832" s="36"/>
      <c r="O832" s="36"/>
      <c r="P832" s="36"/>
      <c r="Q832" s="36"/>
      <c r="R832" s="36"/>
      <c r="S832" s="36"/>
      <c r="T832" s="36"/>
    </row>
    <row r="833" spans="1:20" ht="15.75">
      <c r="A833" s="13">
        <v>66872</v>
      </c>
      <c r="B833" s="44">
        <f t="shared" si="3"/>
        <v>31</v>
      </c>
      <c r="C833" s="35">
        <v>122.58</v>
      </c>
      <c r="D833" s="35">
        <v>297.94099999999997</v>
      </c>
      <c r="E833" s="41">
        <v>729.47900000000004</v>
      </c>
      <c r="F833" s="35">
        <v>1150</v>
      </c>
      <c r="G833" s="35">
        <v>100</v>
      </c>
      <c r="H833" s="43">
        <v>600</v>
      </c>
      <c r="I833" s="35">
        <v>695</v>
      </c>
      <c r="J833" s="35">
        <v>50</v>
      </c>
      <c r="K833" s="36"/>
      <c r="L833" s="36"/>
      <c r="M833" s="36"/>
      <c r="N833" s="36"/>
      <c r="O833" s="36"/>
      <c r="P833" s="36"/>
      <c r="Q833" s="36"/>
      <c r="R833" s="36"/>
      <c r="S833" s="36"/>
      <c r="T833" s="36"/>
    </row>
    <row r="834" spans="1:20" ht="15.75">
      <c r="A834" s="13">
        <v>66900</v>
      </c>
      <c r="B834" s="44">
        <f t="shared" si="3"/>
        <v>28</v>
      </c>
      <c r="C834" s="35">
        <v>122.58</v>
      </c>
      <c r="D834" s="35">
        <v>297.94099999999997</v>
      </c>
      <c r="E834" s="41">
        <v>729.47900000000004</v>
      </c>
      <c r="F834" s="35">
        <v>1150</v>
      </c>
      <c r="G834" s="35">
        <v>100</v>
      </c>
      <c r="H834" s="43">
        <v>600</v>
      </c>
      <c r="I834" s="35">
        <v>695</v>
      </c>
      <c r="J834" s="35">
        <v>50</v>
      </c>
      <c r="K834" s="36"/>
      <c r="L834" s="36"/>
      <c r="M834" s="36"/>
      <c r="N834" s="36"/>
      <c r="O834" s="36"/>
      <c r="P834" s="36"/>
      <c r="Q834" s="36"/>
      <c r="R834" s="36"/>
      <c r="S834" s="36"/>
      <c r="T834" s="36"/>
    </row>
    <row r="835" spans="1:20" ht="15.75">
      <c r="A835" s="13">
        <v>66931</v>
      </c>
      <c r="B835" s="44">
        <f t="shared" si="3"/>
        <v>31</v>
      </c>
      <c r="C835" s="35">
        <v>122.58</v>
      </c>
      <c r="D835" s="35">
        <v>297.94099999999997</v>
      </c>
      <c r="E835" s="41">
        <v>729.47900000000004</v>
      </c>
      <c r="F835" s="35">
        <v>1150</v>
      </c>
      <c r="G835" s="35">
        <v>100</v>
      </c>
      <c r="H835" s="43">
        <v>600</v>
      </c>
      <c r="I835" s="35">
        <v>695</v>
      </c>
      <c r="J835" s="35">
        <v>50</v>
      </c>
      <c r="K835" s="36"/>
      <c r="L835" s="36"/>
      <c r="M835" s="36"/>
      <c r="N835" s="36"/>
      <c r="O835" s="36"/>
      <c r="P835" s="36"/>
      <c r="Q835" s="36"/>
      <c r="R835" s="36"/>
      <c r="S835" s="36"/>
      <c r="T835" s="36"/>
    </row>
    <row r="836" spans="1:20" ht="15.75">
      <c r="A836" s="13">
        <v>66961</v>
      </c>
      <c r="B836" s="44">
        <f t="shared" si="3"/>
        <v>30</v>
      </c>
      <c r="C836" s="35">
        <v>141.29300000000001</v>
      </c>
      <c r="D836" s="35">
        <v>267.99299999999999</v>
      </c>
      <c r="E836" s="41">
        <v>829.71400000000006</v>
      </c>
      <c r="F836" s="35">
        <v>1239</v>
      </c>
      <c r="G836" s="35">
        <v>100</v>
      </c>
      <c r="H836" s="43">
        <v>600</v>
      </c>
      <c r="I836" s="35">
        <v>695</v>
      </c>
      <c r="J836" s="35">
        <v>50</v>
      </c>
      <c r="K836" s="36"/>
      <c r="L836" s="36"/>
      <c r="M836" s="36"/>
      <c r="N836" s="36"/>
      <c r="O836" s="36"/>
      <c r="P836" s="36"/>
      <c r="Q836" s="36"/>
      <c r="R836" s="36"/>
      <c r="S836" s="36"/>
      <c r="T836" s="36"/>
    </row>
    <row r="837" spans="1:20" ht="15.75">
      <c r="A837" s="13">
        <v>66992</v>
      </c>
      <c r="B837" s="44">
        <f t="shared" ref="B837:B900" si="4">EOMONTH(A837,0)-EOMONTH(A837,-1)</f>
        <v>31</v>
      </c>
      <c r="C837" s="35">
        <v>194.20500000000001</v>
      </c>
      <c r="D837" s="35">
        <v>267.46600000000001</v>
      </c>
      <c r="E837" s="41">
        <v>812.32899999999995</v>
      </c>
      <c r="F837" s="35">
        <v>1274</v>
      </c>
      <c r="G837" s="35">
        <v>75</v>
      </c>
      <c r="H837" s="43">
        <v>600</v>
      </c>
      <c r="I837" s="35">
        <v>695</v>
      </c>
      <c r="J837" s="35">
        <v>50</v>
      </c>
      <c r="K837" s="36"/>
      <c r="L837" s="36"/>
      <c r="M837" s="36"/>
      <c r="N837" s="36"/>
      <c r="O837" s="36"/>
      <c r="P837" s="36"/>
      <c r="Q837" s="36"/>
      <c r="R837" s="36"/>
      <c r="S837" s="36"/>
      <c r="T837" s="36"/>
    </row>
    <row r="838" spans="1:20" ht="15.75">
      <c r="A838" s="13">
        <v>67022</v>
      </c>
      <c r="B838" s="44">
        <f t="shared" si="4"/>
        <v>30</v>
      </c>
      <c r="C838" s="35">
        <v>194.20500000000001</v>
      </c>
      <c r="D838" s="35">
        <v>267.46600000000001</v>
      </c>
      <c r="E838" s="41">
        <v>812.32899999999995</v>
      </c>
      <c r="F838" s="35">
        <v>1274</v>
      </c>
      <c r="G838" s="35">
        <v>50</v>
      </c>
      <c r="H838" s="43">
        <v>600</v>
      </c>
      <c r="I838" s="35">
        <v>695</v>
      </c>
      <c r="J838" s="35">
        <v>50</v>
      </c>
      <c r="K838" s="36"/>
      <c r="L838" s="36"/>
      <c r="M838" s="36"/>
      <c r="N838" s="36"/>
      <c r="O838" s="36"/>
      <c r="P838" s="36"/>
      <c r="Q838" s="36"/>
      <c r="R838" s="36"/>
      <c r="S838" s="36"/>
      <c r="T838" s="36"/>
    </row>
    <row r="839" spans="1:20" ht="15.75">
      <c r="A839" s="13">
        <v>67053</v>
      </c>
      <c r="B839" s="44">
        <f t="shared" si="4"/>
        <v>31</v>
      </c>
      <c r="C839" s="35">
        <v>194.20500000000001</v>
      </c>
      <c r="D839" s="35">
        <v>267.46600000000001</v>
      </c>
      <c r="E839" s="41">
        <v>812.32899999999995</v>
      </c>
      <c r="F839" s="35">
        <v>1274</v>
      </c>
      <c r="G839" s="35">
        <v>50</v>
      </c>
      <c r="H839" s="43">
        <v>600</v>
      </c>
      <c r="I839" s="35">
        <v>695</v>
      </c>
      <c r="J839" s="35">
        <v>0</v>
      </c>
      <c r="K839" s="36"/>
      <c r="L839" s="36"/>
      <c r="M839" s="36"/>
      <c r="N839" s="36"/>
      <c r="O839" s="36"/>
      <c r="P839" s="36"/>
      <c r="Q839" s="36"/>
      <c r="R839" s="36"/>
      <c r="S839" s="36"/>
      <c r="T839" s="36"/>
    </row>
    <row r="840" spans="1:20" ht="15.75">
      <c r="A840" s="13">
        <v>67084</v>
      </c>
      <c r="B840" s="44">
        <f t="shared" si="4"/>
        <v>31</v>
      </c>
      <c r="C840" s="35">
        <v>194.20500000000001</v>
      </c>
      <c r="D840" s="35">
        <v>267.46600000000001</v>
      </c>
      <c r="E840" s="41">
        <v>812.32899999999995</v>
      </c>
      <c r="F840" s="35">
        <v>1274</v>
      </c>
      <c r="G840" s="35">
        <v>50</v>
      </c>
      <c r="H840" s="43">
        <v>600</v>
      </c>
      <c r="I840" s="35">
        <v>695</v>
      </c>
      <c r="J840" s="35">
        <v>0</v>
      </c>
      <c r="K840" s="36"/>
      <c r="L840" s="36"/>
      <c r="M840" s="36"/>
      <c r="N840" s="36"/>
      <c r="O840" s="36"/>
      <c r="P840" s="36"/>
      <c r="Q840" s="36"/>
      <c r="R840" s="36"/>
      <c r="S840" s="36"/>
      <c r="T840" s="36"/>
    </row>
    <row r="841" spans="1:20" ht="15.75">
      <c r="A841" s="13">
        <v>67114</v>
      </c>
      <c r="B841" s="44">
        <f t="shared" si="4"/>
        <v>30</v>
      </c>
      <c r="C841" s="35">
        <v>194.20500000000001</v>
      </c>
      <c r="D841" s="35">
        <v>267.46600000000001</v>
      </c>
      <c r="E841" s="41">
        <v>812.32899999999995</v>
      </c>
      <c r="F841" s="35">
        <v>1274</v>
      </c>
      <c r="G841" s="35">
        <v>50</v>
      </c>
      <c r="H841" s="43">
        <v>600</v>
      </c>
      <c r="I841" s="35">
        <v>695</v>
      </c>
      <c r="J841" s="35">
        <v>0</v>
      </c>
      <c r="K841" s="36"/>
      <c r="L841" s="36"/>
      <c r="M841" s="36"/>
      <c r="N841" s="36"/>
      <c r="O841" s="36"/>
      <c r="P841" s="36"/>
      <c r="Q841" s="36"/>
      <c r="R841" s="36"/>
      <c r="S841" s="36"/>
      <c r="T841" s="36"/>
    </row>
    <row r="842" spans="1:20" ht="15.75">
      <c r="A842" s="13">
        <v>67145</v>
      </c>
      <c r="B842" s="44">
        <f t="shared" si="4"/>
        <v>31</v>
      </c>
      <c r="C842" s="35">
        <v>131.881</v>
      </c>
      <c r="D842" s="35">
        <v>277.16699999999997</v>
      </c>
      <c r="E842" s="41">
        <v>829.952</v>
      </c>
      <c r="F842" s="35">
        <v>1239</v>
      </c>
      <c r="G842" s="35">
        <v>75</v>
      </c>
      <c r="H842" s="43">
        <v>600</v>
      </c>
      <c r="I842" s="35">
        <v>695</v>
      </c>
      <c r="J842" s="35">
        <v>0</v>
      </c>
      <c r="K842" s="36"/>
      <c r="L842" s="36"/>
      <c r="M842" s="36"/>
      <c r="N842" s="36"/>
      <c r="O842" s="36"/>
      <c r="P842" s="36"/>
      <c r="Q842" s="36"/>
      <c r="R842" s="36"/>
      <c r="S842" s="36"/>
      <c r="T842" s="36"/>
    </row>
    <row r="843" spans="1:20" ht="15.75">
      <c r="A843" s="13">
        <v>67175</v>
      </c>
      <c r="B843" s="44">
        <f t="shared" si="4"/>
        <v>30</v>
      </c>
      <c r="C843" s="35">
        <v>122.58</v>
      </c>
      <c r="D843" s="35">
        <v>297.94099999999997</v>
      </c>
      <c r="E843" s="41">
        <v>729.47900000000004</v>
      </c>
      <c r="F843" s="35">
        <v>1150</v>
      </c>
      <c r="G843" s="35">
        <v>100</v>
      </c>
      <c r="H843" s="43">
        <v>600</v>
      </c>
      <c r="I843" s="35">
        <v>695</v>
      </c>
      <c r="J843" s="35">
        <v>50</v>
      </c>
      <c r="K843" s="36"/>
      <c r="L843" s="36"/>
      <c r="M843" s="36"/>
      <c r="N843" s="36"/>
      <c r="O843" s="36"/>
      <c r="P843" s="36"/>
      <c r="Q843" s="36"/>
      <c r="R843" s="36"/>
      <c r="S843" s="36"/>
      <c r="T843" s="36"/>
    </row>
    <row r="844" spans="1:20" ht="15.75">
      <c r="A844" s="13">
        <v>67206</v>
      </c>
      <c r="B844" s="44">
        <f t="shared" si="4"/>
        <v>31</v>
      </c>
      <c r="C844" s="35">
        <v>122.58</v>
      </c>
      <c r="D844" s="35">
        <v>297.94099999999997</v>
      </c>
      <c r="E844" s="41">
        <v>729.47900000000004</v>
      </c>
      <c r="F844" s="35">
        <v>1150</v>
      </c>
      <c r="G844" s="35">
        <v>100</v>
      </c>
      <c r="H844" s="43">
        <v>600</v>
      </c>
      <c r="I844" s="35">
        <v>695</v>
      </c>
      <c r="J844" s="35">
        <v>50</v>
      </c>
      <c r="K844" s="36"/>
      <c r="L844" s="36"/>
      <c r="M844" s="36"/>
      <c r="N844" s="36"/>
      <c r="O844" s="36"/>
      <c r="P844" s="36"/>
      <c r="Q844" s="36"/>
      <c r="R844" s="36"/>
      <c r="S844" s="36"/>
      <c r="T844" s="36"/>
    </row>
    <row r="845" spans="1:20" ht="15.75">
      <c r="A845" s="13">
        <v>67237</v>
      </c>
      <c r="B845" s="44">
        <f t="shared" si="4"/>
        <v>31</v>
      </c>
      <c r="C845" s="35">
        <v>122.58</v>
      </c>
      <c r="D845" s="35">
        <v>297.94099999999997</v>
      </c>
      <c r="E845" s="41">
        <v>729.47900000000004</v>
      </c>
      <c r="F845" s="35">
        <v>1150</v>
      </c>
      <c r="G845" s="35">
        <v>100</v>
      </c>
      <c r="H845" s="43">
        <v>600</v>
      </c>
      <c r="I845" s="35">
        <v>695</v>
      </c>
      <c r="J845" s="35">
        <v>50</v>
      </c>
      <c r="K845" s="36"/>
      <c r="L845" s="36"/>
      <c r="M845" s="36"/>
      <c r="N845" s="36"/>
      <c r="O845" s="36"/>
      <c r="P845" s="36"/>
      <c r="Q845" s="36"/>
      <c r="R845" s="36"/>
      <c r="S845" s="36"/>
      <c r="T845" s="36"/>
    </row>
    <row r="846" spans="1:20" ht="15.75">
      <c r="A846" s="13">
        <v>67266</v>
      </c>
      <c r="B846" s="44">
        <f t="shared" si="4"/>
        <v>29</v>
      </c>
      <c r="C846" s="35">
        <v>122.58</v>
      </c>
      <c r="D846" s="35">
        <v>297.94099999999997</v>
      </c>
      <c r="E846" s="41">
        <v>729.47900000000004</v>
      </c>
      <c r="F846" s="35">
        <v>1150</v>
      </c>
      <c r="G846" s="35">
        <v>100</v>
      </c>
      <c r="H846" s="43">
        <v>600</v>
      </c>
      <c r="I846" s="35">
        <v>695</v>
      </c>
      <c r="J846" s="35">
        <v>50</v>
      </c>
      <c r="K846" s="36"/>
      <c r="L846" s="36"/>
      <c r="M846" s="36"/>
      <c r="N846" s="36"/>
      <c r="O846" s="36"/>
      <c r="P846" s="36"/>
      <c r="Q846" s="36"/>
      <c r="R846" s="36"/>
      <c r="S846" s="36"/>
      <c r="T846" s="36"/>
    </row>
    <row r="847" spans="1:20" ht="15.75">
      <c r="A847" s="13">
        <v>67297</v>
      </c>
      <c r="B847" s="44">
        <f t="shared" si="4"/>
        <v>31</v>
      </c>
      <c r="C847" s="35">
        <v>122.58</v>
      </c>
      <c r="D847" s="35">
        <v>297.94099999999997</v>
      </c>
      <c r="E847" s="41">
        <v>729.47900000000004</v>
      </c>
      <c r="F847" s="35">
        <v>1150</v>
      </c>
      <c r="G847" s="35">
        <v>100</v>
      </c>
      <c r="H847" s="43">
        <v>600</v>
      </c>
      <c r="I847" s="35">
        <v>695</v>
      </c>
      <c r="J847" s="35">
        <v>50</v>
      </c>
      <c r="K847" s="36"/>
      <c r="L847" s="36"/>
      <c r="M847" s="36"/>
      <c r="N847" s="36"/>
      <c r="O847" s="36"/>
      <c r="P847" s="36"/>
      <c r="Q847" s="36"/>
      <c r="R847" s="36"/>
      <c r="S847" s="36"/>
      <c r="T847" s="36"/>
    </row>
    <row r="848" spans="1:20" ht="15.75">
      <c r="A848" s="13">
        <v>67327</v>
      </c>
      <c r="B848" s="44">
        <f t="shared" si="4"/>
        <v>30</v>
      </c>
      <c r="C848" s="35">
        <v>141.29300000000001</v>
      </c>
      <c r="D848" s="35">
        <v>267.99299999999999</v>
      </c>
      <c r="E848" s="41">
        <v>829.71400000000006</v>
      </c>
      <c r="F848" s="35">
        <v>1239</v>
      </c>
      <c r="G848" s="35">
        <v>100</v>
      </c>
      <c r="H848" s="43">
        <v>600</v>
      </c>
      <c r="I848" s="35">
        <v>695</v>
      </c>
      <c r="J848" s="35">
        <v>50</v>
      </c>
      <c r="K848" s="36"/>
      <c r="L848" s="36"/>
      <c r="M848" s="36"/>
      <c r="N848" s="36"/>
      <c r="O848" s="36"/>
      <c r="P848" s="36"/>
      <c r="Q848" s="36"/>
      <c r="R848" s="36"/>
      <c r="S848" s="36"/>
      <c r="T848" s="36"/>
    </row>
    <row r="849" spans="1:20" ht="15.75">
      <c r="A849" s="13">
        <v>67358</v>
      </c>
      <c r="B849" s="44">
        <f t="shared" si="4"/>
        <v>31</v>
      </c>
      <c r="C849" s="35">
        <v>194.20500000000001</v>
      </c>
      <c r="D849" s="35">
        <v>267.46600000000001</v>
      </c>
      <c r="E849" s="41">
        <v>812.32899999999995</v>
      </c>
      <c r="F849" s="35">
        <v>1274</v>
      </c>
      <c r="G849" s="35">
        <v>75</v>
      </c>
      <c r="H849" s="43">
        <v>600</v>
      </c>
      <c r="I849" s="35">
        <v>695</v>
      </c>
      <c r="J849" s="35">
        <v>50</v>
      </c>
      <c r="K849" s="36"/>
      <c r="L849" s="36"/>
      <c r="M849" s="36"/>
      <c r="N849" s="36"/>
      <c r="O849" s="36"/>
      <c r="P849" s="36"/>
      <c r="Q849" s="36"/>
      <c r="R849" s="36"/>
      <c r="S849" s="36"/>
      <c r="T849" s="36"/>
    </row>
    <row r="850" spans="1:20" ht="15.75">
      <c r="A850" s="13">
        <v>67388</v>
      </c>
      <c r="B850" s="44">
        <f t="shared" si="4"/>
        <v>30</v>
      </c>
      <c r="C850" s="35">
        <v>194.20500000000001</v>
      </c>
      <c r="D850" s="35">
        <v>267.46600000000001</v>
      </c>
      <c r="E850" s="41">
        <v>812.32899999999995</v>
      </c>
      <c r="F850" s="35">
        <v>1274</v>
      </c>
      <c r="G850" s="35">
        <v>50</v>
      </c>
      <c r="H850" s="43">
        <v>600</v>
      </c>
      <c r="I850" s="35">
        <v>695</v>
      </c>
      <c r="J850" s="35">
        <v>50</v>
      </c>
      <c r="K850" s="36"/>
      <c r="L850" s="36"/>
      <c r="M850" s="36"/>
      <c r="N850" s="36"/>
      <c r="O850" s="36"/>
      <c r="P850" s="36"/>
      <c r="Q850" s="36"/>
      <c r="R850" s="36"/>
      <c r="S850" s="36"/>
      <c r="T850" s="36"/>
    </row>
    <row r="851" spans="1:20" ht="15.75">
      <c r="A851" s="13">
        <v>67419</v>
      </c>
      <c r="B851" s="44">
        <f t="shared" si="4"/>
        <v>31</v>
      </c>
      <c r="C851" s="35">
        <v>194.20500000000001</v>
      </c>
      <c r="D851" s="35">
        <v>267.46600000000001</v>
      </c>
      <c r="E851" s="41">
        <v>812.32899999999995</v>
      </c>
      <c r="F851" s="35">
        <v>1274</v>
      </c>
      <c r="G851" s="35">
        <v>50</v>
      </c>
      <c r="H851" s="43">
        <v>600</v>
      </c>
      <c r="I851" s="35">
        <v>695</v>
      </c>
      <c r="J851" s="35">
        <v>0</v>
      </c>
      <c r="K851" s="36"/>
      <c r="L851" s="36"/>
      <c r="M851" s="36"/>
      <c r="N851" s="36"/>
      <c r="O851" s="36"/>
      <c r="P851" s="36"/>
      <c r="Q851" s="36"/>
      <c r="R851" s="36"/>
      <c r="S851" s="36"/>
      <c r="T851" s="36"/>
    </row>
    <row r="852" spans="1:20" ht="15.75">
      <c r="A852" s="13">
        <v>67450</v>
      </c>
      <c r="B852" s="44">
        <f t="shared" si="4"/>
        <v>31</v>
      </c>
      <c r="C852" s="35">
        <v>194.20500000000001</v>
      </c>
      <c r="D852" s="35">
        <v>267.46600000000001</v>
      </c>
      <c r="E852" s="41">
        <v>812.32899999999995</v>
      </c>
      <c r="F852" s="35">
        <v>1274</v>
      </c>
      <c r="G852" s="35">
        <v>50</v>
      </c>
      <c r="H852" s="43">
        <v>600</v>
      </c>
      <c r="I852" s="35">
        <v>695</v>
      </c>
      <c r="J852" s="35">
        <v>0</v>
      </c>
      <c r="K852" s="36"/>
      <c r="L852" s="36"/>
      <c r="M852" s="36"/>
      <c r="N852" s="36"/>
      <c r="O852" s="36"/>
      <c r="P852" s="36"/>
      <c r="Q852" s="36"/>
      <c r="R852" s="36"/>
      <c r="S852" s="36"/>
      <c r="T852" s="36"/>
    </row>
    <row r="853" spans="1:20" ht="15.75">
      <c r="A853" s="13">
        <v>67480</v>
      </c>
      <c r="B853" s="44">
        <f t="shared" si="4"/>
        <v>30</v>
      </c>
      <c r="C853" s="35">
        <v>194.20500000000001</v>
      </c>
      <c r="D853" s="35">
        <v>267.46600000000001</v>
      </c>
      <c r="E853" s="41">
        <v>812.32899999999995</v>
      </c>
      <c r="F853" s="35">
        <v>1274</v>
      </c>
      <c r="G853" s="35">
        <v>50</v>
      </c>
      <c r="H853" s="43">
        <v>600</v>
      </c>
      <c r="I853" s="35">
        <v>695</v>
      </c>
      <c r="J853" s="35">
        <v>0</v>
      </c>
      <c r="K853" s="36"/>
      <c r="L853" s="36"/>
      <c r="M853" s="36"/>
      <c r="N853" s="36"/>
      <c r="O853" s="36"/>
      <c r="P853" s="36"/>
      <c r="Q853" s="36"/>
      <c r="R853" s="36"/>
      <c r="S853" s="36"/>
      <c r="T853" s="36"/>
    </row>
    <row r="854" spans="1:20" ht="15.75">
      <c r="A854" s="13">
        <v>67511</v>
      </c>
      <c r="B854" s="44">
        <f t="shared" si="4"/>
        <v>31</v>
      </c>
      <c r="C854" s="35">
        <v>131.881</v>
      </c>
      <c r="D854" s="35">
        <v>277.16699999999997</v>
      </c>
      <c r="E854" s="41">
        <v>829.952</v>
      </c>
      <c r="F854" s="35">
        <v>1239</v>
      </c>
      <c r="G854" s="35">
        <v>75</v>
      </c>
      <c r="H854" s="43">
        <v>600</v>
      </c>
      <c r="I854" s="35">
        <v>695</v>
      </c>
      <c r="J854" s="35">
        <v>0</v>
      </c>
      <c r="K854" s="36"/>
      <c r="L854" s="36"/>
      <c r="M854" s="36"/>
      <c r="N854" s="36"/>
      <c r="O854" s="36"/>
      <c r="P854" s="36"/>
      <c r="Q854" s="36"/>
      <c r="R854" s="36"/>
      <c r="S854" s="36"/>
      <c r="T854" s="36"/>
    </row>
    <row r="855" spans="1:20" ht="15.75">
      <c r="A855" s="13">
        <v>67541</v>
      </c>
      <c r="B855" s="44">
        <f t="shared" si="4"/>
        <v>30</v>
      </c>
      <c r="C855" s="35">
        <v>122.58</v>
      </c>
      <c r="D855" s="35">
        <v>297.94099999999997</v>
      </c>
      <c r="E855" s="41">
        <v>729.47900000000004</v>
      </c>
      <c r="F855" s="35">
        <v>1150</v>
      </c>
      <c r="G855" s="35">
        <v>100</v>
      </c>
      <c r="H855" s="43">
        <v>600</v>
      </c>
      <c r="I855" s="35">
        <v>695</v>
      </c>
      <c r="J855" s="35">
        <v>50</v>
      </c>
      <c r="K855" s="36"/>
      <c r="L855" s="36"/>
      <c r="M855" s="36"/>
      <c r="N855" s="36"/>
      <c r="O855" s="36"/>
      <c r="P855" s="36"/>
      <c r="Q855" s="36"/>
      <c r="R855" s="36"/>
      <c r="S855" s="36"/>
      <c r="T855" s="36"/>
    </row>
    <row r="856" spans="1:20" ht="15.75">
      <c r="A856" s="13">
        <v>67572</v>
      </c>
      <c r="B856" s="44">
        <f t="shared" si="4"/>
        <v>31</v>
      </c>
      <c r="C856" s="35">
        <v>122.58</v>
      </c>
      <c r="D856" s="35">
        <v>297.94099999999997</v>
      </c>
      <c r="E856" s="41">
        <v>729.47900000000004</v>
      </c>
      <c r="F856" s="35">
        <v>1150</v>
      </c>
      <c r="G856" s="35">
        <v>100</v>
      </c>
      <c r="H856" s="43">
        <v>600</v>
      </c>
      <c r="I856" s="35">
        <v>695</v>
      </c>
      <c r="J856" s="35">
        <v>50</v>
      </c>
      <c r="K856" s="36"/>
      <c r="L856" s="36"/>
      <c r="M856" s="36"/>
      <c r="N856" s="36"/>
      <c r="O856" s="36"/>
      <c r="P856" s="36"/>
      <c r="Q856" s="36"/>
      <c r="R856" s="36"/>
      <c r="S856" s="36"/>
      <c r="T856" s="36"/>
    </row>
    <row r="857" spans="1:20" ht="15.75">
      <c r="A857" s="13">
        <v>67603</v>
      </c>
      <c r="B857" s="44">
        <f t="shared" si="4"/>
        <v>31</v>
      </c>
      <c r="C857" s="35">
        <v>122.58</v>
      </c>
      <c r="D857" s="35">
        <v>297.94099999999997</v>
      </c>
      <c r="E857" s="41">
        <v>729.47900000000004</v>
      </c>
      <c r="F857" s="35">
        <v>1150</v>
      </c>
      <c r="G857" s="35">
        <v>100</v>
      </c>
      <c r="H857" s="43">
        <v>600</v>
      </c>
      <c r="I857" s="35">
        <v>695</v>
      </c>
      <c r="J857" s="35">
        <v>50</v>
      </c>
      <c r="K857" s="36"/>
      <c r="L857" s="36"/>
      <c r="M857" s="36"/>
      <c r="N857" s="36"/>
      <c r="O857" s="36"/>
      <c r="P857" s="36"/>
      <c r="Q857" s="36"/>
      <c r="R857" s="36"/>
      <c r="S857" s="36"/>
      <c r="T857" s="36"/>
    </row>
    <row r="858" spans="1:20" ht="15.75">
      <c r="A858" s="13">
        <v>67631</v>
      </c>
      <c r="B858" s="44">
        <f t="shared" si="4"/>
        <v>28</v>
      </c>
      <c r="C858" s="35">
        <v>122.58</v>
      </c>
      <c r="D858" s="35">
        <v>297.94099999999997</v>
      </c>
      <c r="E858" s="41">
        <v>729.47900000000004</v>
      </c>
      <c r="F858" s="35">
        <v>1150</v>
      </c>
      <c r="G858" s="35">
        <v>100</v>
      </c>
      <c r="H858" s="43">
        <v>600</v>
      </c>
      <c r="I858" s="35">
        <v>695</v>
      </c>
      <c r="J858" s="35">
        <v>50</v>
      </c>
      <c r="K858" s="36"/>
      <c r="L858" s="36"/>
      <c r="M858" s="36"/>
      <c r="N858" s="36"/>
      <c r="O858" s="36"/>
      <c r="P858" s="36"/>
      <c r="Q858" s="36"/>
      <c r="R858" s="36"/>
      <c r="S858" s="36"/>
      <c r="T858" s="36"/>
    </row>
    <row r="859" spans="1:20" ht="15.75">
      <c r="A859" s="13">
        <v>67662</v>
      </c>
      <c r="B859" s="44">
        <f t="shared" si="4"/>
        <v>31</v>
      </c>
      <c r="C859" s="35">
        <v>122.58</v>
      </c>
      <c r="D859" s="35">
        <v>297.94099999999997</v>
      </c>
      <c r="E859" s="41">
        <v>729.47900000000004</v>
      </c>
      <c r="F859" s="35">
        <v>1150</v>
      </c>
      <c r="G859" s="35">
        <v>100</v>
      </c>
      <c r="H859" s="43">
        <v>600</v>
      </c>
      <c r="I859" s="35">
        <v>695</v>
      </c>
      <c r="J859" s="35">
        <v>50</v>
      </c>
      <c r="K859" s="36"/>
      <c r="L859" s="36"/>
      <c r="M859" s="36"/>
      <c r="N859" s="36"/>
      <c r="O859" s="36"/>
      <c r="P859" s="36"/>
      <c r="Q859" s="36"/>
      <c r="R859" s="36"/>
      <c r="S859" s="36"/>
      <c r="T859" s="36"/>
    </row>
    <row r="860" spans="1:20" ht="15.75">
      <c r="A860" s="13">
        <v>67692</v>
      </c>
      <c r="B860" s="44">
        <f t="shared" si="4"/>
        <v>30</v>
      </c>
      <c r="C860" s="35">
        <v>141.29300000000001</v>
      </c>
      <c r="D860" s="35">
        <v>267.99299999999999</v>
      </c>
      <c r="E860" s="41">
        <v>829.71400000000006</v>
      </c>
      <c r="F860" s="35">
        <v>1239</v>
      </c>
      <c r="G860" s="35">
        <v>100</v>
      </c>
      <c r="H860" s="43">
        <v>600</v>
      </c>
      <c r="I860" s="35">
        <v>695</v>
      </c>
      <c r="J860" s="35">
        <v>50</v>
      </c>
      <c r="K860" s="36"/>
      <c r="L860" s="36"/>
      <c r="M860" s="36"/>
      <c r="N860" s="36"/>
      <c r="O860" s="36"/>
      <c r="P860" s="36"/>
      <c r="Q860" s="36"/>
      <c r="R860" s="36"/>
      <c r="S860" s="36"/>
      <c r="T860" s="36"/>
    </row>
    <row r="861" spans="1:20" ht="15.75">
      <c r="A861" s="13">
        <v>67723</v>
      </c>
      <c r="B861" s="44">
        <f t="shared" si="4"/>
        <v>31</v>
      </c>
      <c r="C861" s="35">
        <v>194.20500000000001</v>
      </c>
      <c r="D861" s="35">
        <v>267.46600000000001</v>
      </c>
      <c r="E861" s="41">
        <v>812.32899999999995</v>
      </c>
      <c r="F861" s="35">
        <v>1274</v>
      </c>
      <c r="G861" s="35">
        <v>75</v>
      </c>
      <c r="H861" s="43">
        <v>600</v>
      </c>
      <c r="I861" s="35">
        <v>695</v>
      </c>
      <c r="J861" s="35">
        <v>50</v>
      </c>
      <c r="K861" s="36"/>
      <c r="L861" s="36"/>
      <c r="M861" s="36"/>
      <c r="N861" s="36"/>
      <c r="O861" s="36"/>
      <c r="P861" s="36"/>
      <c r="Q861" s="36"/>
      <c r="R861" s="36"/>
      <c r="S861" s="36"/>
      <c r="T861" s="36"/>
    </row>
    <row r="862" spans="1:20" ht="15.75">
      <c r="A862" s="13">
        <v>67753</v>
      </c>
      <c r="B862" s="44">
        <f t="shared" si="4"/>
        <v>30</v>
      </c>
      <c r="C862" s="35">
        <v>194.20500000000001</v>
      </c>
      <c r="D862" s="35">
        <v>267.46600000000001</v>
      </c>
      <c r="E862" s="41">
        <v>812.32899999999995</v>
      </c>
      <c r="F862" s="35">
        <v>1274</v>
      </c>
      <c r="G862" s="35">
        <v>50</v>
      </c>
      <c r="H862" s="43">
        <v>600</v>
      </c>
      <c r="I862" s="35">
        <v>695</v>
      </c>
      <c r="J862" s="35">
        <v>50</v>
      </c>
      <c r="K862" s="36"/>
      <c r="L862" s="36"/>
      <c r="M862" s="36"/>
      <c r="N862" s="36"/>
      <c r="O862" s="36"/>
      <c r="P862" s="36"/>
      <c r="Q862" s="36"/>
      <c r="R862" s="36"/>
      <c r="S862" s="36"/>
      <c r="T862" s="36"/>
    </row>
    <row r="863" spans="1:20" ht="15.75">
      <c r="A863" s="13">
        <v>67784</v>
      </c>
      <c r="B863" s="44">
        <f t="shared" si="4"/>
        <v>31</v>
      </c>
      <c r="C863" s="35">
        <v>194.20500000000001</v>
      </c>
      <c r="D863" s="35">
        <v>267.46600000000001</v>
      </c>
      <c r="E863" s="41">
        <v>812.32899999999995</v>
      </c>
      <c r="F863" s="35">
        <v>1274</v>
      </c>
      <c r="G863" s="35">
        <v>50</v>
      </c>
      <c r="H863" s="43">
        <v>600</v>
      </c>
      <c r="I863" s="35">
        <v>695</v>
      </c>
      <c r="J863" s="35">
        <v>0</v>
      </c>
      <c r="K863" s="36"/>
      <c r="L863" s="36"/>
      <c r="M863" s="36"/>
      <c r="N863" s="36"/>
      <c r="O863" s="36"/>
      <c r="P863" s="36"/>
      <c r="Q863" s="36"/>
      <c r="R863" s="36"/>
      <c r="S863" s="36"/>
      <c r="T863" s="36"/>
    </row>
    <row r="864" spans="1:20" ht="15.75">
      <c r="A864" s="13">
        <v>67815</v>
      </c>
      <c r="B864" s="44">
        <f t="shared" si="4"/>
        <v>31</v>
      </c>
      <c r="C864" s="35">
        <v>194.20500000000001</v>
      </c>
      <c r="D864" s="35">
        <v>267.46600000000001</v>
      </c>
      <c r="E864" s="41">
        <v>812.32899999999995</v>
      </c>
      <c r="F864" s="35">
        <v>1274</v>
      </c>
      <c r="G864" s="35">
        <v>50</v>
      </c>
      <c r="H864" s="43">
        <v>600</v>
      </c>
      <c r="I864" s="35">
        <v>695</v>
      </c>
      <c r="J864" s="35">
        <v>0</v>
      </c>
      <c r="K864" s="36"/>
      <c r="L864" s="36"/>
      <c r="M864" s="36"/>
      <c r="N864" s="36"/>
      <c r="O864" s="36"/>
      <c r="P864" s="36"/>
      <c r="Q864" s="36"/>
      <c r="R864" s="36"/>
      <c r="S864" s="36"/>
      <c r="T864" s="36"/>
    </row>
    <row r="865" spans="1:20" ht="15.75">
      <c r="A865" s="13">
        <v>67845</v>
      </c>
      <c r="B865" s="44">
        <f t="shared" si="4"/>
        <v>30</v>
      </c>
      <c r="C865" s="35">
        <v>194.20500000000001</v>
      </c>
      <c r="D865" s="35">
        <v>267.46600000000001</v>
      </c>
      <c r="E865" s="41">
        <v>812.32899999999995</v>
      </c>
      <c r="F865" s="35">
        <v>1274</v>
      </c>
      <c r="G865" s="35">
        <v>50</v>
      </c>
      <c r="H865" s="43">
        <v>600</v>
      </c>
      <c r="I865" s="35">
        <v>695</v>
      </c>
      <c r="J865" s="35">
        <v>0</v>
      </c>
      <c r="K865" s="36"/>
      <c r="L865" s="36"/>
      <c r="M865" s="36"/>
      <c r="N865" s="36"/>
      <c r="O865" s="36"/>
      <c r="P865" s="36"/>
      <c r="Q865" s="36"/>
      <c r="R865" s="36"/>
      <c r="S865" s="36"/>
      <c r="T865" s="36"/>
    </row>
    <row r="866" spans="1:20" ht="15.75">
      <c r="A866" s="13">
        <v>67876</v>
      </c>
      <c r="B866" s="44">
        <f t="shared" si="4"/>
        <v>31</v>
      </c>
      <c r="C866" s="35">
        <v>131.881</v>
      </c>
      <c r="D866" s="35">
        <v>277.16699999999997</v>
      </c>
      <c r="E866" s="41">
        <v>829.952</v>
      </c>
      <c r="F866" s="35">
        <v>1239</v>
      </c>
      <c r="G866" s="35">
        <v>75</v>
      </c>
      <c r="H866" s="43">
        <v>600</v>
      </c>
      <c r="I866" s="35">
        <v>695</v>
      </c>
      <c r="J866" s="35">
        <v>0</v>
      </c>
      <c r="K866" s="36"/>
      <c r="L866" s="36"/>
      <c r="M866" s="36"/>
      <c r="N866" s="36"/>
      <c r="O866" s="36"/>
      <c r="P866" s="36"/>
      <c r="Q866" s="36"/>
      <c r="R866" s="36"/>
      <c r="S866" s="36"/>
      <c r="T866" s="36"/>
    </row>
    <row r="867" spans="1:20" ht="15.75">
      <c r="A867" s="13">
        <v>67906</v>
      </c>
      <c r="B867" s="44">
        <f t="shared" si="4"/>
        <v>30</v>
      </c>
      <c r="C867" s="35">
        <v>122.58</v>
      </c>
      <c r="D867" s="35">
        <v>297.94099999999997</v>
      </c>
      <c r="E867" s="41">
        <v>729.47900000000004</v>
      </c>
      <c r="F867" s="35">
        <v>1150</v>
      </c>
      <c r="G867" s="35">
        <v>100</v>
      </c>
      <c r="H867" s="43">
        <v>600</v>
      </c>
      <c r="I867" s="35">
        <v>695</v>
      </c>
      <c r="J867" s="35">
        <v>50</v>
      </c>
      <c r="K867" s="36"/>
      <c r="L867" s="36"/>
      <c r="M867" s="36"/>
      <c r="N867" s="36"/>
      <c r="O867" s="36"/>
      <c r="P867" s="36"/>
      <c r="Q867" s="36"/>
      <c r="R867" s="36"/>
      <c r="S867" s="36"/>
      <c r="T867" s="36"/>
    </row>
    <row r="868" spans="1:20" ht="15.75">
      <c r="A868" s="13">
        <v>67937</v>
      </c>
      <c r="B868" s="44">
        <f t="shared" si="4"/>
        <v>31</v>
      </c>
      <c r="C868" s="35">
        <v>122.58</v>
      </c>
      <c r="D868" s="35">
        <v>297.94099999999997</v>
      </c>
      <c r="E868" s="41">
        <v>729.47900000000004</v>
      </c>
      <c r="F868" s="35">
        <v>1150</v>
      </c>
      <c r="G868" s="35">
        <v>100</v>
      </c>
      <c r="H868" s="43">
        <v>600</v>
      </c>
      <c r="I868" s="35">
        <v>695</v>
      </c>
      <c r="J868" s="35">
        <v>50</v>
      </c>
      <c r="K868" s="36"/>
      <c r="L868" s="36"/>
      <c r="M868" s="36"/>
      <c r="N868" s="36"/>
      <c r="O868" s="36"/>
      <c r="P868" s="36"/>
      <c r="Q868" s="36"/>
      <c r="R868" s="36"/>
      <c r="S868" s="36"/>
      <c r="T868" s="36"/>
    </row>
    <row r="869" spans="1:20" ht="15.75">
      <c r="A869" s="13">
        <v>67968</v>
      </c>
      <c r="B869" s="44">
        <f t="shared" si="4"/>
        <v>31</v>
      </c>
      <c r="C869" s="35">
        <v>122.58</v>
      </c>
      <c r="D869" s="35">
        <v>297.94099999999997</v>
      </c>
      <c r="E869" s="41">
        <v>729.47900000000004</v>
      </c>
      <c r="F869" s="35">
        <v>1150</v>
      </c>
      <c r="G869" s="35">
        <v>100</v>
      </c>
      <c r="H869" s="43">
        <v>600</v>
      </c>
      <c r="I869" s="35">
        <v>695</v>
      </c>
      <c r="J869" s="35">
        <v>50</v>
      </c>
      <c r="K869" s="36"/>
      <c r="L869" s="36"/>
      <c r="M869" s="36"/>
      <c r="N869" s="36"/>
      <c r="O869" s="36"/>
      <c r="P869" s="36"/>
      <c r="Q869" s="36"/>
      <c r="R869" s="36"/>
      <c r="S869" s="36"/>
      <c r="T869" s="36"/>
    </row>
    <row r="870" spans="1:20" ht="15.75">
      <c r="A870" s="13">
        <v>67996</v>
      </c>
      <c r="B870" s="44">
        <f t="shared" si="4"/>
        <v>28</v>
      </c>
      <c r="C870" s="35">
        <v>122.58</v>
      </c>
      <c r="D870" s="35">
        <v>297.94099999999997</v>
      </c>
      <c r="E870" s="41">
        <v>729.47900000000004</v>
      </c>
      <c r="F870" s="35">
        <v>1150</v>
      </c>
      <c r="G870" s="35">
        <v>100</v>
      </c>
      <c r="H870" s="43">
        <v>600</v>
      </c>
      <c r="I870" s="35">
        <v>695</v>
      </c>
      <c r="J870" s="35">
        <v>50</v>
      </c>
      <c r="K870" s="36"/>
      <c r="L870" s="36"/>
      <c r="M870" s="36"/>
      <c r="N870" s="36"/>
      <c r="O870" s="36"/>
      <c r="P870" s="36"/>
      <c r="Q870" s="36"/>
      <c r="R870" s="36"/>
      <c r="S870" s="36"/>
      <c r="T870" s="36"/>
    </row>
    <row r="871" spans="1:20" ht="15.75">
      <c r="A871" s="13">
        <v>68027</v>
      </c>
      <c r="B871" s="44">
        <f t="shared" si="4"/>
        <v>31</v>
      </c>
      <c r="C871" s="35">
        <v>122.58</v>
      </c>
      <c r="D871" s="35">
        <v>297.94099999999997</v>
      </c>
      <c r="E871" s="41">
        <v>729.47900000000004</v>
      </c>
      <c r="F871" s="35">
        <v>1150</v>
      </c>
      <c r="G871" s="35">
        <v>100</v>
      </c>
      <c r="H871" s="43">
        <v>600</v>
      </c>
      <c r="I871" s="35">
        <v>695</v>
      </c>
      <c r="J871" s="35">
        <v>50</v>
      </c>
      <c r="K871" s="36"/>
      <c r="L871" s="36"/>
      <c r="M871" s="36"/>
      <c r="N871" s="36"/>
      <c r="O871" s="36"/>
      <c r="P871" s="36"/>
      <c r="Q871" s="36"/>
      <c r="R871" s="36"/>
      <c r="S871" s="36"/>
      <c r="T871" s="36"/>
    </row>
    <row r="872" spans="1:20" ht="15.75">
      <c r="A872" s="13">
        <v>68057</v>
      </c>
      <c r="B872" s="44">
        <f t="shared" si="4"/>
        <v>30</v>
      </c>
      <c r="C872" s="35">
        <v>141.29300000000001</v>
      </c>
      <c r="D872" s="35">
        <v>267.99299999999999</v>
      </c>
      <c r="E872" s="41">
        <v>829.71400000000006</v>
      </c>
      <c r="F872" s="35">
        <v>1239</v>
      </c>
      <c r="G872" s="35">
        <v>100</v>
      </c>
      <c r="H872" s="43">
        <v>600</v>
      </c>
      <c r="I872" s="35">
        <v>695</v>
      </c>
      <c r="J872" s="35">
        <v>50</v>
      </c>
      <c r="K872" s="36"/>
      <c r="L872" s="36"/>
      <c r="M872" s="36"/>
      <c r="N872" s="36"/>
      <c r="O872" s="36"/>
      <c r="P872" s="36"/>
      <c r="Q872" s="36"/>
      <c r="R872" s="36"/>
      <c r="S872" s="36"/>
      <c r="T872" s="36"/>
    </row>
    <row r="873" spans="1:20" ht="15.75">
      <c r="A873" s="13">
        <v>68088</v>
      </c>
      <c r="B873" s="44">
        <f t="shared" si="4"/>
        <v>31</v>
      </c>
      <c r="C873" s="35">
        <v>194.20500000000001</v>
      </c>
      <c r="D873" s="35">
        <v>267.46600000000001</v>
      </c>
      <c r="E873" s="41">
        <v>812.32899999999995</v>
      </c>
      <c r="F873" s="35">
        <v>1274</v>
      </c>
      <c r="G873" s="35">
        <v>75</v>
      </c>
      <c r="H873" s="43">
        <v>600</v>
      </c>
      <c r="I873" s="35">
        <v>695</v>
      </c>
      <c r="J873" s="35">
        <v>50</v>
      </c>
      <c r="K873" s="36"/>
      <c r="L873" s="36"/>
      <c r="M873" s="36"/>
      <c r="N873" s="36"/>
      <c r="O873" s="36"/>
      <c r="P873" s="36"/>
      <c r="Q873" s="36"/>
      <c r="R873" s="36"/>
      <c r="S873" s="36"/>
      <c r="T873" s="36"/>
    </row>
    <row r="874" spans="1:20" ht="15.75">
      <c r="A874" s="13">
        <v>68118</v>
      </c>
      <c r="B874" s="44">
        <f t="shared" si="4"/>
        <v>30</v>
      </c>
      <c r="C874" s="35">
        <v>194.20500000000001</v>
      </c>
      <c r="D874" s="35">
        <v>267.46600000000001</v>
      </c>
      <c r="E874" s="41">
        <v>812.32899999999995</v>
      </c>
      <c r="F874" s="35">
        <v>1274</v>
      </c>
      <c r="G874" s="35">
        <v>50</v>
      </c>
      <c r="H874" s="43">
        <v>600</v>
      </c>
      <c r="I874" s="35">
        <v>695</v>
      </c>
      <c r="J874" s="35">
        <v>50</v>
      </c>
      <c r="K874" s="36"/>
      <c r="L874" s="36"/>
      <c r="M874" s="36"/>
      <c r="N874" s="36"/>
      <c r="O874" s="36"/>
      <c r="P874" s="36"/>
      <c r="Q874" s="36"/>
      <c r="R874" s="36"/>
      <c r="S874" s="36"/>
      <c r="T874" s="36"/>
    </row>
    <row r="875" spans="1:20" ht="15.75">
      <c r="A875" s="13">
        <v>68149</v>
      </c>
      <c r="B875" s="44">
        <f t="shared" si="4"/>
        <v>31</v>
      </c>
      <c r="C875" s="35">
        <v>194.20500000000001</v>
      </c>
      <c r="D875" s="35">
        <v>267.46600000000001</v>
      </c>
      <c r="E875" s="41">
        <v>812.32899999999995</v>
      </c>
      <c r="F875" s="35">
        <v>1274</v>
      </c>
      <c r="G875" s="35">
        <v>50</v>
      </c>
      <c r="H875" s="43">
        <v>600</v>
      </c>
      <c r="I875" s="35">
        <v>695</v>
      </c>
      <c r="J875" s="35">
        <v>0</v>
      </c>
      <c r="K875" s="36"/>
      <c r="L875" s="36"/>
      <c r="M875" s="36"/>
      <c r="N875" s="36"/>
      <c r="O875" s="36"/>
      <c r="P875" s="36"/>
      <c r="Q875" s="36"/>
      <c r="R875" s="36"/>
      <c r="S875" s="36"/>
      <c r="T875" s="36"/>
    </row>
    <row r="876" spans="1:20" ht="15.75">
      <c r="A876" s="13">
        <v>68180</v>
      </c>
      <c r="B876" s="44">
        <f t="shared" si="4"/>
        <v>31</v>
      </c>
      <c r="C876" s="35">
        <v>194.20500000000001</v>
      </c>
      <c r="D876" s="35">
        <v>267.46600000000001</v>
      </c>
      <c r="E876" s="41">
        <v>812.32899999999995</v>
      </c>
      <c r="F876" s="35">
        <v>1274</v>
      </c>
      <c r="G876" s="35">
        <v>50</v>
      </c>
      <c r="H876" s="43">
        <v>600</v>
      </c>
      <c r="I876" s="35">
        <v>695</v>
      </c>
      <c r="J876" s="35">
        <v>0</v>
      </c>
      <c r="K876" s="36"/>
      <c r="L876" s="36"/>
      <c r="M876" s="36"/>
      <c r="N876" s="36"/>
      <c r="O876" s="36"/>
      <c r="P876" s="36"/>
      <c r="Q876" s="36"/>
      <c r="R876" s="36"/>
      <c r="S876" s="36"/>
      <c r="T876" s="36"/>
    </row>
    <row r="877" spans="1:20" ht="15.75">
      <c r="A877" s="13">
        <v>68210</v>
      </c>
      <c r="B877" s="44">
        <f t="shared" si="4"/>
        <v>30</v>
      </c>
      <c r="C877" s="35">
        <v>194.20500000000001</v>
      </c>
      <c r="D877" s="35">
        <v>267.46600000000001</v>
      </c>
      <c r="E877" s="41">
        <v>812.32899999999995</v>
      </c>
      <c r="F877" s="35">
        <v>1274</v>
      </c>
      <c r="G877" s="35">
        <v>50</v>
      </c>
      <c r="H877" s="43">
        <v>600</v>
      </c>
      <c r="I877" s="35">
        <v>695</v>
      </c>
      <c r="J877" s="35">
        <v>0</v>
      </c>
      <c r="K877" s="36"/>
      <c r="L877" s="36"/>
      <c r="M877" s="36"/>
      <c r="N877" s="36"/>
      <c r="O877" s="36"/>
      <c r="P877" s="36"/>
      <c r="Q877" s="36"/>
      <c r="R877" s="36"/>
      <c r="S877" s="36"/>
      <c r="T877" s="36"/>
    </row>
    <row r="878" spans="1:20" ht="15.75">
      <c r="A878" s="13">
        <v>68241</v>
      </c>
      <c r="B878" s="44">
        <f t="shared" si="4"/>
        <v>31</v>
      </c>
      <c r="C878" s="35">
        <v>131.881</v>
      </c>
      <c r="D878" s="35">
        <v>277.16699999999997</v>
      </c>
      <c r="E878" s="41">
        <v>829.952</v>
      </c>
      <c r="F878" s="35">
        <v>1239</v>
      </c>
      <c r="G878" s="35">
        <v>75</v>
      </c>
      <c r="H878" s="43">
        <v>600</v>
      </c>
      <c r="I878" s="35">
        <v>695</v>
      </c>
      <c r="J878" s="35">
        <v>0</v>
      </c>
      <c r="K878" s="36"/>
      <c r="L878" s="36"/>
      <c r="M878" s="36"/>
      <c r="N878" s="36"/>
      <c r="O878" s="36"/>
      <c r="P878" s="36"/>
      <c r="Q878" s="36"/>
      <c r="R878" s="36"/>
      <c r="S878" s="36"/>
      <c r="T878" s="36"/>
    </row>
    <row r="879" spans="1:20" ht="15.75">
      <c r="A879" s="13">
        <v>68271</v>
      </c>
      <c r="B879" s="44">
        <f t="shared" si="4"/>
        <v>30</v>
      </c>
      <c r="C879" s="35">
        <v>122.58</v>
      </c>
      <c r="D879" s="35">
        <v>297.94099999999997</v>
      </c>
      <c r="E879" s="41">
        <v>729.47900000000004</v>
      </c>
      <c r="F879" s="35">
        <v>1150</v>
      </c>
      <c r="G879" s="35">
        <v>100</v>
      </c>
      <c r="H879" s="43">
        <v>600</v>
      </c>
      <c r="I879" s="35">
        <v>695</v>
      </c>
      <c r="J879" s="35">
        <v>50</v>
      </c>
      <c r="K879" s="36"/>
      <c r="L879" s="36"/>
      <c r="M879" s="36"/>
      <c r="N879" s="36"/>
      <c r="O879" s="36"/>
      <c r="P879" s="36"/>
      <c r="Q879" s="36"/>
      <c r="R879" s="36"/>
      <c r="S879" s="36"/>
      <c r="T879" s="36"/>
    </row>
    <row r="880" spans="1:20" ht="15.75">
      <c r="A880" s="13">
        <v>68302</v>
      </c>
      <c r="B880" s="44">
        <f t="shared" si="4"/>
        <v>31</v>
      </c>
      <c r="C880" s="35">
        <v>122.58</v>
      </c>
      <c r="D880" s="35">
        <v>297.94099999999997</v>
      </c>
      <c r="E880" s="41">
        <v>729.47900000000004</v>
      </c>
      <c r="F880" s="35">
        <v>1150</v>
      </c>
      <c r="G880" s="35">
        <v>100</v>
      </c>
      <c r="H880" s="43">
        <v>600</v>
      </c>
      <c r="I880" s="35">
        <v>695</v>
      </c>
      <c r="J880" s="35">
        <v>50</v>
      </c>
      <c r="K880" s="36"/>
      <c r="L880" s="36"/>
      <c r="M880" s="36"/>
      <c r="N880" s="36"/>
      <c r="O880" s="36"/>
      <c r="P880" s="36"/>
      <c r="Q880" s="36"/>
      <c r="R880" s="36"/>
      <c r="S880" s="36"/>
      <c r="T880" s="36"/>
    </row>
    <row r="881" spans="1:20" ht="15.75">
      <c r="A881" s="13">
        <v>68333</v>
      </c>
      <c r="B881" s="44">
        <f t="shared" si="4"/>
        <v>31</v>
      </c>
      <c r="C881" s="35">
        <v>122.58</v>
      </c>
      <c r="D881" s="35">
        <v>297.94099999999997</v>
      </c>
      <c r="E881" s="41">
        <v>729.47900000000004</v>
      </c>
      <c r="F881" s="35">
        <v>1150</v>
      </c>
      <c r="G881" s="35">
        <v>100</v>
      </c>
      <c r="H881" s="43">
        <v>600</v>
      </c>
      <c r="I881" s="35">
        <v>695</v>
      </c>
      <c r="J881" s="35">
        <v>50</v>
      </c>
      <c r="K881" s="36"/>
      <c r="L881" s="36"/>
      <c r="M881" s="36"/>
      <c r="N881" s="36"/>
      <c r="O881" s="36"/>
      <c r="P881" s="36"/>
      <c r="Q881" s="36"/>
      <c r="R881" s="36"/>
      <c r="S881" s="36"/>
      <c r="T881" s="36"/>
    </row>
    <row r="882" spans="1:20" ht="15.75">
      <c r="A882" s="13">
        <v>68361</v>
      </c>
      <c r="B882" s="44">
        <f t="shared" si="4"/>
        <v>28</v>
      </c>
      <c r="C882" s="35">
        <v>122.58</v>
      </c>
      <c r="D882" s="35">
        <v>297.94099999999997</v>
      </c>
      <c r="E882" s="41">
        <v>729.47900000000004</v>
      </c>
      <c r="F882" s="35">
        <v>1150</v>
      </c>
      <c r="G882" s="35">
        <v>100</v>
      </c>
      <c r="H882" s="43">
        <v>600</v>
      </c>
      <c r="I882" s="35">
        <v>695</v>
      </c>
      <c r="J882" s="35">
        <v>50</v>
      </c>
      <c r="K882" s="36"/>
      <c r="L882" s="36"/>
      <c r="M882" s="36"/>
      <c r="N882" s="36"/>
      <c r="O882" s="36"/>
      <c r="P882" s="36"/>
      <c r="Q882" s="36"/>
      <c r="R882" s="36"/>
      <c r="S882" s="36"/>
      <c r="T882" s="36"/>
    </row>
    <row r="883" spans="1:20" ht="15.75">
      <c r="A883" s="13">
        <v>68392</v>
      </c>
      <c r="B883" s="44">
        <f t="shared" si="4"/>
        <v>31</v>
      </c>
      <c r="C883" s="35">
        <v>122.58</v>
      </c>
      <c r="D883" s="35">
        <v>297.94099999999997</v>
      </c>
      <c r="E883" s="41">
        <v>729.47900000000004</v>
      </c>
      <c r="F883" s="35">
        <v>1150</v>
      </c>
      <c r="G883" s="35">
        <v>100</v>
      </c>
      <c r="H883" s="43">
        <v>600</v>
      </c>
      <c r="I883" s="35">
        <v>695</v>
      </c>
      <c r="J883" s="35">
        <v>50</v>
      </c>
      <c r="K883" s="36"/>
      <c r="L883" s="36"/>
      <c r="M883" s="36"/>
      <c r="N883" s="36"/>
      <c r="O883" s="36"/>
      <c r="P883" s="36"/>
      <c r="Q883" s="36"/>
      <c r="R883" s="36"/>
      <c r="S883" s="36"/>
      <c r="T883" s="36"/>
    </row>
    <row r="884" spans="1:20" ht="15.75">
      <c r="A884" s="13">
        <v>68422</v>
      </c>
      <c r="B884" s="44">
        <f t="shared" si="4"/>
        <v>30</v>
      </c>
      <c r="C884" s="35">
        <v>141.29300000000001</v>
      </c>
      <c r="D884" s="35">
        <v>267.99299999999999</v>
      </c>
      <c r="E884" s="41">
        <v>829.71400000000006</v>
      </c>
      <c r="F884" s="35">
        <v>1239</v>
      </c>
      <c r="G884" s="35">
        <v>100</v>
      </c>
      <c r="H884" s="43">
        <v>600</v>
      </c>
      <c r="I884" s="35">
        <v>695</v>
      </c>
      <c r="J884" s="35">
        <v>50</v>
      </c>
      <c r="K884" s="36"/>
      <c r="L884" s="36"/>
      <c r="M884" s="36"/>
      <c r="N884" s="36"/>
      <c r="O884" s="36"/>
      <c r="P884" s="36"/>
      <c r="Q884" s="36"/>
      <c r="R884" s="36"/>
      <c r="S884" s="36"/>
      <c r="T884" s="36"/>
    </row>
    <row r="885" spans="1:20" ht="15.75">
      <c r="A885" s="13">
        <v>68453</v>
      </c>
      <c r="B885" s="44">
        <f t="shared" si="4"/>
        <v>31</v>
      </c>
      <c r="C885" s="35">
        <v>194.20500000000001</v>
      </c>
      <c r="D885" s="35">
        <v>267.46600000000001</v>
      </c>
      <c r="E885" s="41">
        <v>812.32899999999995</v>
      </c>
      <c r="F885" s="35">
        <v>1274</v>
      </c>
      <c r="G885" s="35">
        <v>75</v>
      </c>
      <c r="H885" s="43">
        <v>600</v>
      </c>
      <c r="I885" s="35">
        <v>695</v>
      </c>
      <c r="J885" s="35">
        <v>50</v>
      </c>
      <c r="K885" s="36"/>
      <c r="L885" s="36"/>
      <c r="M885" s="36"/>
      <c r="N885" s="36"/>
      <c r="O885" s="36"/>
      <c r="P885" s="36"/>
      <c r="Q885" s="36"/>
      <c r="R885" s="36"/>
      <c r="S885" s="36"/>
      <c r="T885" s="36"/>
    </row>
    <row r="886" spans="1:20" ht="15.75">
      <c r="A886" s="13">
        <v>68483</v>
      </c>
      <c r="B886" s="44">
        <f t="shared" si="4"/>
        <v>30</v>
      </c>
      <c r="C886" s="35">
        <v>194.20500000000001</v>
      </c>
      <c r="D886" s="35">
        <v>267.46600000000001</v>
      </c>
      <c r="E886" s="41">
        <v>812.32899999999995</v>
      </c>
      <c r="F886" s="35">
        <v>1274</v>
      </c>
      <c r="G886" s="35">
        <v>50</v>
      </c>
      <c r="H886" s="43">
        <v>600</v>
      </c>
      <c r="I886" s="35">
        <v>695</v>
      </c>
      <c r="J886" s="35">
        <v>50</v>
      </c>
      <c r="K886" s="36"/>
      <c r="L886" s="36"/>
      <c r="M886" s="36"/>
      <c r="N886" s="36"/>
      <c r="O886" s="36"/>
      <c r="P886" s="36"/>
      <c r="Q886" s="36"/>
      <c r="R886" s="36"/>
      <c r="S886" s="36"/>
      <c r="T886" s="36"/>
    </row>
    <row r="887" spans="1:20" ht="15.75">
      <c r="A887" s="13">
        <v>68514</v>
      </c>
      <c r="B887" s="44">
        <f t="shared" si="4"/>
        <v>31</v>
      </c>
      <c r="C887" s="35">
        <v>194.20500000000001</v>
      </c>
      <c r="D887" s="35">
        <v>267.46600000000001</v>
      </c>
      <c r="E887" s="41">
        <v>812.32899999999995</v>
      </c>
      <c r="F887" s="35">
        <v>1274</v>
      </c>
      <c r="G887" s="35">
        <v>50</v>
      </c>
      <c r="H887" s="43">
        <v>600</v>
      </c>
      <c r="I887" s="35">
        <v>695</v>
      </c>
      <c r="J887" s="35">
        <v>0</v>
      </c>
      <c r="K887" s="36"/>
      <c r="L887" s="36"/>
      <c r="M887" s="36"/>
      <c r="N887" s="36"/>
      <c r="O887" s="36"/>
      <c r="P887" s="36"/>
      <c r="Q887" s="36"/>
      <c r="R887" s="36"/>
      <c r="S887" s="36"/>
      <c r="T887" s="36"/>
    </row>
    <row r="888" spans="1:20" ht="15.75">
      <c r="A888" s="13">
        <v>68545</v>
      </c>
      <c r="B888" s="44">
        <f t="shared" si="4"/>
        <v>31</v>
      </c>
      <c r="C888" s="35">
        <v>194.20500000000001</v>
      </c>
      <c r="D888" s="35">
        <v>267.46600000000001</v>
      </c>
      <c r="E888" s="41">
        <v>812.32899999999995</v>
      </c>
      <c r="F888" s="35">
        <v>1274</v>
      </c>
      <c r="G888" s="35">
        <v>50</v>
      </c>
      <c r="H888" s="43">
        <v>600</v>
      </c>
      <c r="I888" s="35">
        <v>695</v>
      </c>
      <c r="J888" s="35">
        <v>0</v>
      </c>
      <c r="K888" s="36"/>
      <c r="L888" s="36"/>
      <c r="M888" s="36"/>
      <c r="N888" s="36"/>
      <c r="O888" s="36"/>
      <c r="P888" s="36"/>
      <c r="Q888" s="36"/>
      <c r="R888" s="36"/>
      <c r="S888" s="36"/>
      <c r="T888" s="36"/>
    </row>
    <row r="889" spans="1:20" ht="15.75">
      <c r="A889" s="13">
        <v>68575</v>
      </c>
      <c r="B889" s="44">
        <f t="shared" si="4"/>
        <v>30</v>
      </c>
      <c r="C889" s="35">
        <v>194.20500000000001</v>
      </c>
      <c r="D889" s="35">
        <v>267.46600000000001</v>
      </c>
      <c r="E889" s="41">
        <v>812.32899999999995</v>
      </c>
      <c r="F889" s="35">
        <v>1274</v>
      </c>
      <c r="G889" s="35">
        <v>50</v>
      </c>
      <c r="H889" s="43">
        <v>600</v>
      </c>
      <c r="I889" s="35">
        <v>695</v>
      </c>
      <c r="J889" s="35">
        <v>0</v>
      </c>
      <c r="K889" s="36"/>
      <c r="L889" s="36"/>
      <c r="M889" s="36"/>
      <c r="N889" s="36"/>
      <c r="O889" s="36"/>
      <c r="P889" s="36"/>
      <c r="Q889" s="36"/>
      <c r="R889" s="36"/>
      <c r="S889" s="36"/>
      <c r="T889" s="36"/>
    </row>
    <row r="890" spans="1:20" ht="15.75">
      <c r="A890" s="13">
        <v>68606</v>
      </c>
      <c r="B890" s="44">
        <f t="shared" si="4"/>
        <v>31</v>
      </c>
      <c r="C890" s="35">
        <v>131.881</v>
      </c>
      <c r="D890" s="35">
        <v>277.16699999999997</v>
      </c>
      <c r="E890" s="41">
        <v>829.952</v>
      </c>
      <c r="F890" s="35">
        <v>1239</v>
      </c>
      <c r="G890" s="35">
        <v>75</v>
      </c>
      <c r="H890" s="43">
        <v>600</v>
      </c>
      <c r="I890" s="35">
        <v>695</v>
      </c>
      <c r="J890" s="35">
        <v>0</v>
      </c>
      <c r="K890" s="36"/>
      <c r="L890" s="36"/>
      <c r="M890" s="36"/>
      <c r="N890" s="36"/>
      <c r="O890" s="36"/>
      <c r="P890" s="36"/>
      <c r="Q890" s="36"/>
      <c r="R890" s="36"/>
      <c r="S890" s="36"/>
      <c r="T890" s="36"/>
    </row>
    <row r="891" spans="1:20" ht="15.75">
      <c r="A891" s="13">
        <v>68636</v>
      </c>
      <c r="B891" s="44">
        <f t="shared" si="4"/>
        <v>30</v>
      </c>
      <c r="C891" s="35">
        <v>122.58</v>
      </c>
      <c r="D891" s="35">
        <v>297.94099999999997</v>
      </c>
      <c r="E891" s="41">
        <v>729.47900000000004</v>
      </c>
      <c r="F891" s="35">
        <v>1150</v>
      </c>
      <c r="G891" s="35">
        <v>100</v>
      </c>
      <c r="H891" s="43">
        <v>600</v>
      </c>
      <c r="I891" s="35">
        <v>695</v>
      </c>
      <c r="J891" s="35">
        <v>50</v>
      </c>
      <c r="K891" s="36"/>
      <c r="L891" s="36"/>
      <c r="M891" s="36"/>
      <c r="N891" s="36"/>
      <c r="O891" s="36"/>
      <c r="P891" s="36"/>
      <c r="Q891" s="36"/>
      <c r="R891" s="36"/>
      <c r="S891" s="36"/>
      <c r="T891" s="36"/>
    </row>
    <row r="892" spans="1:20" ht="15.75">
      <c r="A892" s="13">
        <v>68667</v>
      </c>
      <c r="B892" s="44">
        <f t="shared" si="4"/>
        <v>31</v>
      </c>
      <c r="C892" s="35">
        <v>122.58</v>
      </c>
      <c r="D892" s="35">
        <v>297.94099999999997</v>
      </c>
      <c r="E892" s="41">
        <v>729.47900000000004</v>
      </c>
      <c r="F892" s="35">
        <v>1150</v>
      </c>
      <c r="G892" s="35">
        <v>100</v>
      </c>
      <c r="H892" s="43">
        <v>600</v>
      </c>
      <c r="I892" s="35">
        <v>695</v>
      </c>
      <c r="J892" s="35">
        <v>50</v>
      </c>
      <c r="K892" s="36"/>
      <c r="L892" s="36"/>
      <c r="M892" s="36"/>
      <c r="N892" s="36"/>
      <c r="O892" s="36"/>
      <c r="P892" s="36"/>
      <c r="Q892" s="36"/>
      <c r="R892" s="36"/>
      <c r="S892" s="36"/>
      <c r="T892" s="36"/>
    </row>
    <row r="893" spans="1:20" ht="15.75">
      <c r="A893" s="13">
        <v>68698</v>
      </c>
      <c r="B893" s="44">
        <f t="shared" si="4"/>
        <v>31</v>
      </c>
      <c r="C893" s="35">
        <v>122.58</v>
      </c>
      <c r="D893" s="35">
        <v>297.94099999999997</v>
      </c>
      <c r="E893" s="41">
        <v>729.47900000000004</v>
      </c>
      <c r="F893" s="35">
        <v>1150</v>
      </c>
      <c r="G893" s="35">
        <v>100</v>
      </c>
      <c r="H893" s="43">
        <v>600</v>
      </c>
      <c r="I893" s="35">
        <v>695</v>
      </c>
      <c r="J893" s="35">
        <v>50</v>
      </c>
      <c r="K893" s="36"/>
      <c r="L893" s="36"/>
      <c r="M893" s="36"/>
      <c r="N893" s="36"/>
      <c r="O893" s="36"/>
      <c r="P893" s="36"/>
      <c r="Q893" s="36"/>
      <c r="R893" s="36"/>
      <c r="S893" s="36"/>
      <c r="T893" s="36"/>
    </row>
    <row r="894" spans="1:20" ht="15.75">
      <c r="A894" s="13">
        <v>68727</v>
      </c>
      <c r="B894" s="44">
        <f t="shared" si="4"/>
        <v>29</v>
      </c>
      <c r="C894" s="35">
        <v>122.58</v>
      </c>
      <c r="D894" s="35">
        <v>297.94099999999997</v>
      </c>
      <c r="E894" s="41">
        <v>729.47900000000004</v>
      </c>
      <c r="F894" s="35">
        <v>1150</v>
      </c>
      <c r="G894" s="35">
        <v>100</v>
      </c>
      <c r="H894" s="43">
        <v>600</v>
      </c>
      <c r="I894" s="35">
        <v>695</v>
      </c>
      <c r="J894" s="35">
        <v>50</v>
      </c>
      <c r="K894" s="36"/>
      <c r="L894" s="36"/>
      <c r="M894" s="36"/>
      <c r="N894" s="36"/>
      <c r="O894" s="36"/>
      <c r="P894" s="36"/>
      <c r="Q894" s="36"/>
      <c r="R894" s="36"/>
      <c r="S894" s="36"/>
      <c r="T894" s="36"/>
    </row>
    <row r="895" spans="1:20" ht="15.75">
      <c r="A895" s="13">
        <v>68758</v>
      </c>
      <c r="B895" s="44">
        <f t="shared" si="4"/>
        <v>31</v>
      </c>
      <c r="C895" s="35">
        <v>122.58</v>
      </c>
      <c r="D895" s="35">
        <v>297.94099999999997</v>
      </c>
      <c r="E895" s="41">
        <v>729.47900000000004</v>
      </c>
      <c r="F895" s="35">
        <v>1150</v>
      </c>
      <c r="G895" s="35">
        <v>100</v>
      </c>
      <c r="H895" s="43">
        <v>600</v>
      </c>
      <c r="I895" s="35">
        <v>695</v>
      </c>
      <c r="J895" s="35">
        <v>50</v>
      </c>
      <c r="K895" s="36"/>
      <c r="L895" s="36"/>
      <c r="M895" s="36"/>
      <c r="N895" s="36"/>
      <c r="O895" s="36"/>
      <c r="P895" s="36"/>
      <c r="Q895" s="36"/>
      <c r="R895" s="36"/>
      <c r="S895" s="36"/>
      <c r="T895" s="36"/>
    </row>
    <row r="896" spans="1:20" ht="15.75">
      <c r="A896" s="13">
        <v>68788</v>
      </c>
      <c r="B896" s="44">
        <f t="shared" si="4"/>
        <v>30</v>
      </c>
      <c r="C896" s="35">
        <v>141.29300000000001</v>
      </c>
      <c r="D896" s="35">
        <v>267.99299999999999</v>
      </c>
      <c r="E896" s="41">
        <v>829.71400000000006</v>
      </c>
      <c r="F896" s="35">
        <v>1239</v>
      </c>
      <c r="G896" s="35">
        <v>100</v>
      </c>
      <c r="H896" s="43">
        <v>600</v>
      </c>
      <c r="I896" s="35">
        <v>695</v>
      </c>
      <c r="J896" s="35">
        <v>50</v>
      </c>
      <c r="K896" s="36"/>
      <c r="L896" s="36"/>
      <c r="M896" s="36"/>
      <c r="N896" s="36"/>
      <c r="O896" s="36"/>
      <c r="P896" s="36"/>
      <c r="Q896" s="36"/>
      <c r="R896" s="36"/>
      <c r="S896" s="36"/>
      <c r="T896" s="36"/>
    </row>
    <row r="897" spans="1:20" ht="15.75">
      <c r="A897" s="13">
        <v>68819</v>
      </c>
      <c r="B897" s="44">
        <f t="shared" si="4"/>
        <v>31</v>
      </c>
      <c r="C897" s="35">
        <v>194.20500000000001</v>
      </c>
      <c r="D897" s="35">
        <v>267.46600000000001</v>
      </c>
      <c r="E897" s="41">
        <v>812.32899999999995</v>
      </c>
      <c r="F897" s="35">
        <v>1274</v>
      </c>
      <c r="G897" s="35">
        <v>75</v>
      </c>
      <c r="H897" s="43">
        <v>600</v>
      </c>
      <c r="I897" s="35">
        <v>695</v>
      </c>
      <c r="J897" s="35">
        <v>50</v>
      </c>
      <c r="K897" s="36"/>
      <c r="L897" s="36"/>
      <c r="M897" s="36"/>
      <c r="N897" s="36"/>
      <c r="O897" s="36"/>
      <c r="P897" s="36"/>
      <c r="Q897" s="36"/>
      <c r="R897" s="36"/>
      <c r="S897" s="36"/>
      <c r="T897" s="36"/>
    </row>
    <row r="898" spans="1:20" ht="15.75">
      <c r="A898" s="13">
        <v>68849</v>
      </c>
      <c r="B898" s="44">
        <f t="shared" si="4"/>
        <v>30</v>
      </c>
      <c r="C898" s="35">
        <v>194.20500000000001</v>
      </c>
      <c r="D898" s="35">
        <v>267.46600000000001</v>
      </c>
      <c r="E898" s="41">
        <v>812.32899999999995</v>
      </c>
      <c r="F898" s="35">
        <v>1274</v>
      </c>
      <c r="G898" s="35">
        <v>50</v>
      </c>
      <c r="H898" s="43">
        <v>600</v>
      </c>
      <c r="I898" s="35">
        <v>695</v>
      </c>
      <c r="J898" s="35">
        <v>50</v>
      </c>
      <c r="K898" s="36"/>
      <c r="L898" s="36"/>
      <c r="M898" s="36"/>
      <c r="N898" s="36"/>
      <c r="O898" s="36"/>
      <c r="P898" s="36"/>
      <c r="Q898" s="36"/>
      <c r="R898" s="36"/>
      <c r="S898" s="36"/>
      <c r="T898" s="36"/>
    </row>
    <row r="899" spans="1:20" ht="15.75">
      <c r="A899" s="13">
        <v>68880</v>
      </c>
      <c r="B899" s="44">
        <f t="shared" si="4"/>
        <v>31</v>
      </c>
      <c r="C899" s="35">
        <v>194.20500000000001</v>
      </c>
      <c r="D899" s="35">
        <v>267.46600000000001</v>
      </c>
      <c r="E899" s="41">
        <v>812.32899999999995</v>
      </c>
      <c r="F899" s="35">
        <v>1274</v>
      </c>
      <c r="G899" s="35">
        <v>50</v>
      </c>
      <c r="H899" s="43">
        <v>600</v>
      </c>
      <c r="I899" s="35">
        <v>695</v>
      </c>
      <c r="J899" s="35">
        <v>0</v>
      </c>
      <c r="K899" s="36"/>
      <c r="L899" s="36"/>
      <c r="M899" s="36"/>
      <c r="N899" s="36"/>
      <c r="O899" s="36"/>
      <c r="P899" s="36"/>
      <c r="Q899" s="36"/>
      <c r="R899" s="36"/>
      <c r="S899" s="36"/>
      <c r="T899" s="36"/>
    </row>
    <row r="900" spans="1:20" ht="15.75">
      <c r="A900" s="13">
        <v>68911</v>
      </c>
      <c r="B900" s="44">
        <f t="shared" si="4"/>
        <v>31</v>
      </c>
      <c r="C900" s="35">
        <v>194.20500000000001</v>
      </c>
      <c r="D900" s="35">
        <v>267.46600000000001</v>
      </c>
      <c r="E900" s="41">
        <v>812.32899999999995</v>
      </c>
      <c r="F900" s="35">
        <v>1274</v>
      </c>
      <c r="G900" s="35">
        <v>50</v>
      </c>
      <c r="H900" s="43">
        <v>600</v>
      </c>
      <c r="I900" s="35">
        <v>695</v>
      </c>
      <c r="J900" s="35">
        <v>0</v>
      </c>
      <c r="K900" s="36"/>
      <c r="L900" s="36"/>
      <c r="M900" s="36"/>
      <c r="N900" s="36"/>
      <c r="O900" s="36"/>
      <c r="P900" s="36"/>
      <c r="Q900" s="36"/>
      <c r="R900" s="36"/>
      <c r="S900" s="36"/>
      <c r="T900" s="36"/>
    </row>
    <row r="901" spans="1:20" ht="15.75">
      <c r="A901" s="13">
        <v>68941</v>
      </c>
      <c r="B901" s="44">
        <f t="shared" ref="B901:B964" si="5">EOMONTH(A901,0)-EOMONTH(A901,-1)</f>
        <v>30</v>
      </c>
      <c r="C901" s="35">
        <v>194.20500000000001</v>
      </c>
      <c r="D901" s="35">
        <v>267.46600000000001</v>
      </c>
      <c r="E901" s="41">
        <v>812.32899999999995</v>
      </c>
      <c r="F901" s="35">
        <v>1274</v>
      </c>
      <c r="G901" s="35">
        <v>50</v>
      </c>
      <c r="H901" s="43">
        <v>600</v>
      </c>
      <c r="I901" s="35">
        <v>695</v>
      </c>
      <c r="J901" s="35">
        <v>0</v>
      </c>
      <c r="K901" s="36"/>
      <c r="L901" s="36"/>
      <c r="M901" s="36"/>
      <c r="N901" s="36"/>
      <c r="O901" s="36"/>
      <c r="P901" s="36"/>
      <c r="Q901" s="36"/>
      <c r="R901" s="36"/>
      <c r="S901" s="36"/>
      <c r="T901" s="36"/>
    </row>
    <row r="902" spans="1:20" ht="15.75">
      <c r="A902" s="13">
        <v>68972</v>
      </c>
      <c r="B902" s="44">
        <f t="shared" si="5"/>
        <v>31</v>
      </c>
      <c r="C902" s="35">
        <v>131.881</v>
      </c>
      <c r="D902" s="35">
        <v>277.16699999999997</v>
      </c>
      <c r="E902" s="41">
        <v>829.952</v>
      </c>
      <c r="F902" s="35">
        <v>1239</v>
      </c>
      <c r="G902" s="35">
        <v>75</v>
      </c>
      <c r="H902" s="43">
        <v>600</v>
      </c>
      <c r="I902" s="35">
        <v>695</v>
      </c>
      <c r="J902" s="35">
        <v>0</v>
      </c>
      <c r="K902" s="36"/>
      <c r="L902" s="36"/>
      <c r="M902" s="36"/>
      <c r="N902" s="36"/>
      <c r="O902" s="36"/>
      <c r="P902" s="36"/>
      <c r="Q902" s="36"/>
      <c r="R902" s="36"/>
      <c r="S902" s="36"/>
      <c r="T902" s="36"/>
    </row>
    <row r="903" spans="1:20" ht="15.75">
      <c r="A903" s="13">
        <v>69002</v>
      </c>
      <c r="B903" s="44">
        <f t="shared" si="5"/>
        <v>30</v>
      </c>
      <c r="C903" s="35">
        <v>122.58</v>
      </c>
      <c r="D903" s="35">
        <v>297.94099999999997</v>
      </c>
      <c r="E903" s="41">
        <v>729.47900000000004</v>
      </c>
      <c r="F903" s="35">
        <v>1150</v>
      </c>
      <c r="G903" s="35">
        <v>100</v>
      </c>
      <c r="H903" s="43">
        <v>600</v>
      </c>
      <c r="I903" s="35">
        <v>695</v>
      </c>
      <c r="J903" s="35">
        <v>50</v>
      </c>
      <c r="K903" s="36"/>
      <c r="L903" s="36"/>
      <c r="M903" s="36"/>
      <c r="N903" s="36"/>
      <c r="O903" s="36"/>
      <c r="P903" s="36"/>
      <c r="Q903" s="36"/>
      <c r="R903" s="36"/>
      <c r="S903" s="36"/>
      <c r="T903" s="36"/>
    </row>
    <row r="904" spans="1:20" ht="15.75">
      <c r="A904" s="13">
        <v>69033</v>
      </c>
      <c r="B904" s="44">
        <f t="shared" si="5"/>
        <v>31</v>
      </c>
      <c r="C904" s="35">
        <v>122.58</v>
      </c>
      <c r="D904" s="35">
        <v>297.94099999999997</v>
      </c>
      <c r="E904" s="41">
        <v>729.47900000000004</v>
      </c>
      <c r="F904" s="35">
        <v>1150</v>
      </c>
      <c r="G904" s="35">
        <v>100</v>
      </c>
      <c r="H904" s="43">
        <v>600</v>
      </c>
      <c r="I904" s="35">
        <v>695</v>
      </c>
      <c r="J904" s="35">
        <v>50</v>
      </c>
      <c r="K904" s="36"/>
      <c r="L904" s="36"/>
      <c r="M904" s="36"/>
      <c r="N904" s="36"/>
      <c r="O904" s="36"/>
      <c r="P904" s="36"/>
      <c r="Q904" s="36"/>
      <c r="R904" s="36"/>
      <c r="S904" s="36"/>
      <c r="T904" s="36"/>
    </row>
    <row r="905" spans="1:20" ht="15.75">
      <c r="A905" s="13">
        <v>69064</v>
      </c>
      <c r="B905" s="44">
        <f t="shared" si="5"/>
        <v>31</v>
      </c>
      <c r="C905" s="35">
        <v>122.58</v>
      </c>
      <c r="D905" s="35">
        <v>297.94099999999997</v>
      </c>
      <c r="E905" s="41">
        <v>729.47900000000004</v>
      </c>
      <c r="F905" s="35">
        <v>1150</v>
      </c>
      <c r="G905" s="35">
        <v>100</v>
      </c>
      <c r="H905" s="43">
        <v>600</v>
      </c>
      <c r="I905" s="35">
        <v>695</v>
      </c>
      <c r="J905" s="35">
        <v>50</v>
      </c>
      <c r="K905" s="36"/>
      <c r="L905" s="36"/>
      <c r="M905" s="36"/>
      <c r="N905" s="36"/>
      <c r="O905" s="36"/>
      <c r="P905" s="36"/>
      <c r="Q905" s="36"/>
      <c r="R905" s="36"/>
      <c r="S905" s="36"/>
      <c r="T905" s="36"/>
    </row>
    <row r="906" spans="1:20" ht="15.75">
      <c r="A906" s="13">
        <v>69092</v>
      </c>
      <c r="B906" s="44">
        <f t="shared" si="5"/>
        <v>28</v>
      </c>
      <c r="C906" s="35">
        <v>122.58</v>
      </c>
      <c r="D906" s="35">
        <v>297.94099999999997</v>
      </c>
      <c r="E906" s="41">
        <v>729.47900000000004</v>
      </c>
      <c r="F906" s="35">
        <v>1150</v>
      </c>
      <c r="G906" s="35">
        <v>100</v>
      </c>
      <c r="H906" s="43">
        <v>600</v>
      </c>
      <c r="I906" s="35">
        <v>695</v>
      </c>
      <c r="J906" s="35">
        <v>50</v>
      </c>
      <c r="K906" s="36"/>
      <c r="L906" s="36"/>
      <c r="M906" s="36"/>
      <c r="N906" s="36"/>
      <c r="O906" s="36"/>
      <c r="P906" s="36"/>
      <c r="Q906" s="36"/>
      <c r="R906" s="36"/>
      <c r="S906" s="36"/>
      <c r="T906" s="36"/>
    </row>
    <row r="907" spans="1:20" ht="15.75">
      <c r="A907" s="13">
        <v>69123</v>
      </c>
      <c r="B907" s="44">
        <f t="shared" si="5"/>
        <v>31</v>
      </c>
      <c r="C907" s="35">
        <v>122.58</v>
      </c>
      <c r="D907" s="35">
        <v>297.94099999999997</v>
      </c>
      <c r="E907" s="41">
        <v>729.47900000000004</v>
      </c>
      <c r="F907" s="35">
        <v>1150</v>
      </c>
      <c r="G907" s="35">
        <v>100</v>
      </c>
      <c r="H907" s="43">
        <v>600</v>
      </c>
      <c r="I907" s="35">
        <v>695</v>
      </c>
      <c r="J907" s="35">
        <v>50</v>
      </c>
      <c r="K907" s="36"/>
      <c r="L907" s="36"/>
      <c r="M907" s="36"/>
      <c r="N907" s="36"/>
      <c r="O907" s="36"/>
      <c r="P907" s="36"/>
      <c r="Q907" s="36"/>
      <c r="R907" s="36"/>
      <c r="S907" s="36"/>
      <c r="T907" s="36"/>
    </row>
    <row r="908" spans="1:20" ht="15.75">
      <c r="A908" s="13">
        <v>69153</v>
      </c>
      <c r="B908" s="44">
        <f t="shared" si="5"/>
        <v>30</v>
      </c>
      <c r="C908" s="35">
        <v>141.29300000000001</v>
      </c>
      <c r="D908" s="35">
        <v>267.99299999999999</v>
      </c>
      <c r="E908" s="41">
        <v>829.71400000000006</v>
      </c>
      <c r="F908" s="35">
        <v>1239</v>
      </c>
      <c r="G908" s="35">
        <v>100</v>
      </c>
      <c r="H908" s="43">
        <v>600</v>
      </c>
      <c r="I908" s="35">
        <v>695</v>
      </c>
      <c r="J908" s="35">
        <v>50</v>
      </c>
      <c r="K908" s="36"/>
      <c r="L908" s="36"/>
      <c r="M908" s="36"/>
      <c r="N908" s="36"/>
      <c r="O908" s="36"/>
      <c r="P908" s="36"/>
      <c r="Q908" s="36"/>
      <c r="R908" s="36"/>
      <c r="S908" s="36"/>
      <c r="T908" s="36"/>
    </row>
    <row r="909" spans="1:20" ht="15.75">
      <c r="A909" s="13">
        <v>69184</v>
      </c>
      <c r="B909" s="44">
        <f t="shared" si="5"/>
        <v>31</v>
      </c>
      <c r="C909" s="35">
        <v>194.20500000000001</v>
      </c>
      <c r="D909" s="35">
        <v>267.46600000000001</v>
      </c>
      <c r="E909" s="41">
        <v>812.32899999999995</v>
      </c>
      <c r="F909" s="35">
        <v>1274</v>
      </c>
      <c r="G909" s="35">
        <v>75</v>
      </c>
      <c r="H909" s="43">
        <v>600</v>
      </c>
      <c r="I909" s="35">
        <v>695</v>
      </c>
      <c r="J909" s="35">
        <v>50</v>
      </c>
      <c r="K909" s="36"/>
      <c r="L909" s="36"/>
      <c r="M909" s="36"/>
      <c r="N909" s="36"/>
      <c r="O909" s="36"/>
      <c r="P909" s="36"/>
      <c r="Q909" s="36"/>
      <c r="R909" s="36"/>
      <c r="S909" s="36"/>
      <c r="T909" s="36"/>
    </row>
    <row r="910" spans="1:20" ht="15.75">
      <c r="A910" s="13">
        <v>69214</v>
      </c>
      <c r="B910" s="44">
        <f t="shared" si="5"/>
        <v>30</v>
      </c>
      <c r="C910" s="35">
        <v>194.20500000000001</v>
      </c>
      <c r="D910" s="35">
        <v>267.46600000000001</v>
      </c>
      <c r="E910" s="41">
        <v>812.32899999999995</v>
      </c>
      <c r="F910" s="35">
        <v>1274</v>
      </c>
      <c r="G910" s="35">
        <v>50</v>
      </c>
      <c r="H910" s="43">
        <v>600</v>
      </c>
      <c r="I910" s="35">
        <v>695</v>
      </c>
      <c r="J910" s="35">
        <v>50</v>
      </c>
      <c r="K910" s="36"/>
      <c r="L910" s="36"/>
      <c r="M910" s="36"/>
      <c r="N910" s="36"/>
      <c r="O910" s="36"/>
      <c r="P910" s="36"/>
      <c r="Q910" s="36"/>
      <c r="R910" s="36"/>
      <c r="S910" s="36"/>
      <c r="T910" s="36"/>
    </row>
    <row r="911" spans="1:20" ht="15.75">
      <c r="A911" s="13">
        <v>69245</v>
      </c>
      <c r="B911" s="44">
        <f t="shared" si="5"/>
        <v>31</v>
      </c>
      <c r="C911" s="35">
        <v>194.20500000000001</v>
      </c>
      <c r="D911" s="35">
        <v>267.46600000000001</v>
      </c>
      <c r="E911" s="41">
        <v>812.32899999999995</v>
      </c>
      <c r="F911" s="35">
        <v>1274</v>
      </c>
      <c r="G911" s="35">
        <v>50</v>
      </c>
      <c r="H911" s="43">
        <v>600</v>
      </c>
      <c r="I911" s="35">
        <v>695</v>
      </c>
      <c r="J911" s="35">
        <v>0</v>
      </c>
      <c r="K911" s="36"/>
      <c r="L911" s="36"/>
      <c r="M911" s="36"/>
      <c r="N911" s="36"/>
      <c r="O911" s="36"/>
      <c r="P911" s="36"/>
      <c r="Q911" s="36"/>
      <c r="R911" s="36"/>
      <c r="S911" s="36"/>
      <c r="T911" s="36"/>
    </row>
    <row r="912" spans="1:20" ht="15.75">
      <c r="A912" s="13">
        <v>69276</v>
      </c>
      <c r="B912" s="44">
        <f t="shared" si="5"/>
        <v>31</v>
      </c>
      <c r="C912" s="35">
        <v>194.20500000000001</v>
      </c>
      <c r="D912" s="35">
        <v>267.46600000000001</v>
      </c>
      <c r="E912" s="41">
        <v>812.32899999999995</v>
      </c>
      <c r="F912" s="35">
        <v>1274</v>
      </c>
      <c r="G912" s="35">
        <v>50</v>
      </c>
      <c r="H912" s="43">
        <v>600</v>
      </c>
      <c r="I912" s="35">
        <v>695</v>
      </c>
      <c r="J912" s="35">
        <v>0</v>
      </c>
      <c r="K912" s="36"/>
      <c r="L912" s="36"/>
      <c r="M912" s="36"/>
      <c r="N912" s="36"/>
      <c r="O912" s="36"/>
      <c r="P912" s="36"/>
      <c r="Q912" s="36"/>
      <c r="R912" s="36"/>
      <c r="S912" s="36"/>
      <c r="T912" s="36"/>
    </row>
    <row r="913" spans="1:20" ht="15.75">
      <c r="A913" s="13">
        <v>69306</v>
      </c>
      <c r="B913" s="44">
        <f t="shared" si="5"/>
        <v>30</v>
      </c>
      <c r="C913" s="35">
        <v>194.20500000000001</v>
      </c>
      <c r="D913" s="35">
        <v>267.46600000000001</v>
      </c>
      <c r="E913" s="41">
        <v>812.32899999999995</v>
      </c>
      <c r="F913" s="35">
        <v>1274</v>
      </c>
      <c r="G913" s="35">
        <v>50</v>
      </c>
      <c r="H913" s="43">
        <v>600</v>
      </c>
      <c r="I913" s="35">
        <v>695</v>
      </c>
      <c r="J913" s="35">
        <v>0</v>
      </c>
      <c r="K913" s="36"/>
      <c r="L913" s="36"/>
      <c r="M913" s="36"/>
      <c r="N913" s="36"/>
      <c r="O913" s="36"/>
      <c r="P913" s="36"/>
      <c r="Q913" s="36"/>
      <c r="R913" s="36"/>
      <c r="S913" s="36"/>
      <c r="T913" s="36"/>
    </row>
    <row r="914" spans="1:20" ht="15.75">
      <c r="A914" s="13">
        <v>69337</v>
      </c>
      <c r="B914" s="44">
        <f t="shared" si="5"/>
        <v>31</v>
      </c>
      <c r="C914" s="35">
        <v>131.881</v>
      </c>
      <c r="D914" s="35">
        <v>277.16699999999997</v>
      </c>
      <c r="E914" s="41">
        <v>829.952</v>
      </c>
      <c r="F914" s="35">
        <v>1239</v>
      </c>
      <c r="G914" s="35">
        <v>75</v>
      </c>
      <c r="H914" s="43">
        <v>600</v>
      </c>
      <c r="I914" s="35">
        <v>695</v>
      </c>
      <c r="J914" s="35">
        <v>0</v>
      </c>
      <c r="K914" s="36"/>
      <c r="L914" s="36"/>
      <c r="M914" s="36"/>
      <c r="N914" s="36"/>
      <c r="O914" s="36"/>
      <c r="P914" s="36"/>
      <c r="Q914" s="36"/>
      <c r="R914" s="36"/>
      <c r="S914" s="36"/>
      <c r="T914" s="36"/>
    </row>
    <row r="915" spans="1:20" ht="15.75">
      <c r="A915" s="13">
        <v>69367</v>
      </c>
      <c r="B915" s="44">
        <f t="shared" si="5"/>
        <v>30</v>
      </c>
      <c r="C915" s="35">
        <v>122.58</v>
      </c>
      <c r="D915" s="35">
        <v>297.94099999999997</v>
      </c>
      <c r="E915" s="41">
        <v>729.47900000000004</v>
      </c>
      <c r="F915" s="35">
        <v>1150</v>
      </c>
      <c r="G915" s="35">
        <v>100</v>
      </c>
      <c r="H915" s="43">
        <v>600</v>
      </c>
      <c r="I915" s="35">
        <v>695</v>
      </c>
      <c r="J915" s="35">
        <v>50</v>
      </c>
      <c r="K915" s="36"/>
      <c r="L915" s="36"/>
      <c r="M915" s="36"/>
      <c r="N915" s="36"/>
      <c r="O915" s="36"/>
      <c r="P915" s="36"/>
      <c r="Q915" s="36"/>
      <c r="R915" s="36"/>
      <c r="S915" s="36"/>
      <c r="T915" s="36"/>
    </row>
    <row r="916" spans="1:20" ht="15.75">
      <c r="A916" s="13">
        <v>69398</v>
      </c>
      <c r="B916" s="44">
        <f t="shared" si="5"/>
        <v>31</v>
      </c>
      <c r="C916" s="35">
        <v>122.58</v>
      </c>
      <c r="D916" s="35">
        <v>297.94099999999997</v>
      </c>
      <c r="E916" s="41">
        <v>729.47900000000004</v>
      </c>
      <c r="F916" s="35">
        <v>1150</v>
      </c>
      <c r="G916" s="35">
        <v>100</v>
      </c>
      <c r="H916" s="43">
        <v>600</v>
      </c>
      <c r="I916" s="35">
        <v>695</v>
      </c>
      <c r="J916" s="35">
        <v>50</v>
      </c>
      <c r="K916" s="36"/>
      <c r="L916" s="36"/>
      <c r="M916" s="36"/>
      <c r="N916" s="36"/>
      <c r="O916" s="36"/>
      <c r="P916" s="36"/>
      <c r="Q916" s="36"/>
      <c r="R916" s="36"/>
      <c r="S916" s="36"/>
      <c r="T916" s="36"/>
    </row>
    <row r="917" spans="1:20" ht="15.75">
      <c r="A917" s="13">
        <v>69429</v>
      </c>
      <c r="B917" s="44">
        <f t="shared" si="5"/>
        <v>31</v>
      </c>
      <c r="C917" s="35">
        <v>122.58</v>
      </c>
      <c r="D917" s="35">
        <v>297.94099999999997</v>
      </c>
      <c r="E917" s="41">
        <v>729.47900000000004</v>
      </c>
      <c r="F917" s="35">
        <v>1150</v>
      </c>
      <c r="G917" s="35">
        <v>100</v>
      </c>
      <c r="H917" s="43">
        <v>600</v>
      </c>
      <c r="I917" s="35">
        <v>695</v>
      </c>
      <c r="J917" s="35">
        <v>50</v>
      </c>
      <c r="K917" s="36"/>
      <c r="L917" s="36"/>
      <c r="M917" s="36"/>
      <c r="N917" s="36"/>
      <c r="O917" s="36"/>
      <c r="P917" s="36"/>
      <c r="Q917" s="36"/>
      <c r="R917" s="36"/>
      <c r="S917" s="36"/>
      <c r="T917" s="36"/>
    </row>
    <row r="918" spans="1:20" ht="15.75">
      <c r="A918" s="13">
        <v>69457</v>
      </c>
      <c r="B918" s="44">
        <f t="shared" si="5"/>
        <v>28</v>
      </c>
      <c r="C918" s="35">
        <v>122.58</v>
      </c>
      <c r="D918" s="35">
        <v>297.94099999999997</v>
      </c>
      <c r="E918" s="41">
        <v>729.47900000000004</v>
      </c>
      <c r="F918" s="35">
        <v>1150</v>
      </c>
      <c r="G918" s="35">
        <v>100</v>
      </c>
      <c r="H918" s="43">
        <v>600</v>
      </c>
      <c r="I918" s="35">
        <v>695</v>
      </c>
      <c r="J918" s="35">
        <v>50</v>
      </c>
      <c r="K918" s="36"/>
      <c r="L918" s="36"/>
      <c r="M918" s="36"/>
      <c r="N918" s="36"/>
      <c r="O918" s="36"/>
      <c r="P918" s="36"/>
      <c r="Q918" s="36"/>
      <c r="R918" s="36"/>
      <c r="S918" s="36"/>
      <c r="T918" s="36"/>
    </row>
    <row r="919" spans="1:20" ht="15.75">
      <c r="A919" s="13">
        <v>69488</v>
      </c>
      <c r="B919" s="44">
        <f t="shared" si="5"/>
        <v>31</v>
      </c>
      <c r="C919" s="35">
        <v>122.58</v>
      </c>
      <c r="D919" s="35">
        <v>297.94099999999997</v>
      </c>
      <c r="E919" s="41">
        <v>729.47900000000004</v>
      </c>
      <c r="F919" s="35">
        <v>1150</v>
      </c>
      <c r="G919" s="35">
        <v>100</v>
      </c>
      <c r="H919" s="43">
        <v>600</v>
      </c>
      <c r="I919" s="35">
        <v>695</v>
      </c>
      <c r="J919" s="35">
        <v>50</v>
      </c>
      <c r="K919" s="36"/>
      <c r="L919" s="36"/>
      <c r="M919" s="36"/>
      <c r="N919" s="36"/>
      <c r="O919" s="36"/>
      <c r="P919" s="36"/>
      <c r="Q919" s="36"/>
      <c r="R919" s="36"/>
      <c r="S919" s="36"/>
      <c r="T919" s="36"/>
    </row>
    <row r="920" spans="1:20" ht="15.75">
      <c r="A920" s="13">
        <v>69518</v>
      </c>
      <c r="B920" s="44">
        <f t="shared" si="5"/>
        <v>30</v>
      </c>
      <c r="C920" s="35">
        <v>141.29300000000001</v>
      </c>
      <c r="D920" s="35">
        <v>267.99299999999999</v>
      </c>
      <c r="E920" s="41">
        <v>829.71400000000006</v>
      </c>
      <c r="F920" s="35">
        <v>1239</v>
      </c>
      <c r="G920" s="35">
        <v>100</v>
      </c>
      <c r="H920" s="43">
        <v>600</v>
      </c>
      <c r="I920" s="35">
        <v>695</v>
      </c>
      <c r="J920" s="35">
        <v>50</v>
      </c>
      <c r="K920" s="36"/>
      <c r="L920" s="36"/>
      <c r="M920" s="36"/>
      <c r="N920" s="36"/>
      <c r="O920" s="36"/>
      <c r="P920" s="36"/>
      <c r="Q920" s="36"/>
      <c r="R920" s="36"/>
      <c r="S920" s="36"/>
      <c r="T920" s="36"/>
    </row>
    <row r="921" spans="1:20" ht="15.75">
      <c r="A921" s="13">
        <v>69549</v>
      </c>
      <c r="B921" s="44">
        <f t="shared" si="5"/>
        <v>31</v>
      </c>
      <c r="C921" s="35">
        <v>194.20500000000001</v>
      </c>
      <c r="D921" s="35">
        <v>267.46600000000001</v>
      </c>
      <c r="E921" s="41">
        <v>812.32899999999995</v>
      </c>
      <c r="F921" s="35">
        <v>1274</v>
      </c>
      <c r="G921" s="35">
        <v>75</v>
      </c>
      <c r="H921" s="43">
        <v>600</v>
      </c>
      <c r="I921" s="35">
        <v>695</v>
      </c>
      <c r="J921" s="35">
        <v>50</v>
      </c>
      <c r="K921" s="36"/>
      <c r="L921" s="36"/>
      <c r="M921" s="36"/>
      <c r="N921" s="36"/>
      <c r="O921" s="36"/>
      <c r="P921" s="36"/>
      <c r="Q921" s="36"/>
      <c r="R921" s="36"/>
      <c r="S921" s="36"/>
      <c r="T921" s="36"/>
    </row>
    <row r="922" spans="1:20" ht="15.75">
      <c r="A922" s="13">
        <v>69579</v>
      </c>
      <c r="B922" s="44">
        <f t="shared" si="5"/>
        <v>30</v>
      </c>
      <c r="C922" s="35">
        <v>194.20500000000001</v>
      </c>
      <c r="D922" s="35">
        <v>267.46600000000001</v>
      </c>
      <c r="E922" s="41">
        <v>812.32899999999995</v>
      </c>
      <c r="F922" s="35">
        <v>1274</v>
      </c>
      <c r="G922" s="35">
        <v>50</v>
      </c>
      <c r="H922" s="43">
        <v>600</v>
      </c>
      <c r="I922" s="35">
        <v>695</v>
      </c>
      <c r="J922" s="35">
        <v>50</v>
      </c>
      <c r="K922" s="36"/>
      <c r="L922" s="36"/>
      <c r="M922" s="36"/>
      <c r="N922" s="36"/>
      <c r="O922" s="36"/>
      <c r="P922" s="36"/>
      <c r="Q922" s="36"/>
      <c r="R922" s="36"/>
      <c r="S922" s="36"/>
      <c r="T922" s="36"/>
    </row>
    <row r="923" spans="1:20" ht="15.75">
      <c r="A923" s="13">
        <v>69610</v>
      </c>
      <c r="B923" s="44">
        <f t="shared" si="5"/>
        <v>31</v>
      </c>
      <c r="C923" s="35">
        <v>194.20500000000001</v>
      </c>
      <c r="D923" s="35">
        <v>267.46600000000001</v>
      </c>
      <c r="E923" s="41">
        <v>812.32899999999995</v>
      </c>
      <c r="F923" s="35">
        <v>1274</v>
      </c>
      <c r="G923" s="35">
        <v>50</v>
      </c>
      <c r="H923" s="43">
        <v>600</v>
      </c>
      <c r="I923" s="35">
        <v>695</v>
      </c>
      <c r="J923" s="35">
        <v>0</v>
      </c>
      <c r="K923" s="36"/>
      <c r="L923" s="36"/>
      <c r="M923" s="36"/>
      <c r="N923" s="36"/>
      <c r="O923" s="36"/>
      <c r="P923" s="36"/>
      <c r="Q923" s="36"/>
      <c r="R923" s="36"/>
      <c r="S923" s="36"/>
      <c r="T923" s="36"/>
    </row>
    <row r="924" spans="1:20" ht="15.75">
      <c r="A924" s="13">
        <v>69641</v>
      </c>
      <c r="B924" s="44">
        <f t="shared" si="5"/>
        <v>31</v>
      </c>
      <c r="C924" s="35">
        <v>194.20500000000001</v>
      </c>
      <c r="D924" s="35">
        <v>267.46600000000001</v>
      </c>
      <c r="E924" s="41">
        <v>812.32899999999995</v>
      </c>
      <c r="F924" s="35">
        <v>1274</v>
      </c>
      <c r="G924" s="35">
        <v>50</v>
      </c>
      <c r="H924" s="43">
        <v>600</v>
      </c>
      <c r="I924" s="35">
        <v>695</v>
      </c>
      <c r="J924" s="35">
        <v>0</v>
      </c>
      <c r="K924" s="36"/>
      <c r="L924" s="36"/>
      <c r="M924" s="36"/>
      <c r="N924" s="36"/>
      <c r="O924" s="36"/>
      <c r="P924" s="36"/>
      <c r="Q924" s="36"/>
      <c r="R924" s="36"/>
      <c r="S924" s="36"/>
      <c r="T924" s="36"/>
    </row>
    <row r="925" spans="1:20" ht="15.75">
      <c r="A925" s="13">
        <v>69671</v>
      </c>
      <c r="B925" s="44">
        <f t="shared" si="5"/>
        <v>30</v>
      </c>
      <c r="C925" s="35">
        <v>194.20500000000001</v>
      </c>
      <c r="D925" s="35">
        <v>267.46600000000001</v>
      </c>
      <c r="E925" s="41">
        <v>812.32899999999995</v>
      </c>
      <c r="F925" s="35">
        <v>1274</v>
      </c>
      <c r="G925" s="35">
        <v>50</v>
      </c>
      <c r="H925" s="43">
        <v>600</v>
      </c>
      <c r="I925" s="35">
        <v>695</v>
      </c>
      <c r="J925" s="35">
        <v>0</v>
      </c>
      <c r="K925" s="36"/>
      <c r="L925" s="36"/>
      <c r="M925" s="36"/>
      <c r="N925" s="36"/>
      <c r="O925" s="36"/>
      <c r="P925" s="36"/>
      <c r="Q925" s="36"/>
      <c r="R925" s="36"/>
      <c r="S925" s="36"/>
      <c r="T925" s="36"/>
    </row>
    <row r="926" spans="1:20" ht="15.75">
      <c r="A926" s="13">
        <v>69702</v>
      </c>
      <c r="B926" s="44">
        <f t="shared" si="5"/>
        <v>31</v>
      </c>
      <c r="C926" s="35">
        <v>131.881</v>
      </c>
      <c r="D926" s="35">
        <v>277.16699999999997</v>
      </c>
      <c r="E926" s="41">
        <v>829.952</v>
      </c>
      <c r="F926" s="35">
        <v>1239</v>
      </c>
      <c r="G926" s="35">
        <v>75</v>
      </c>
      <c r="H926" s="43">
        <v>600</v>
      </c>
      <c r="I926" s="35">
        <v>695</v>
      </c>
      <c r="J926" s="35">
        <v>0</v>
      </c>
      <c r="K926" s="36"/>
      <c r="L926" s="36"/>
      <c r="M926" s="36"/>
      <c r="N926" s="36"/>
      <c r="O926" s="36"/>
      <c r="P926" s="36"/>
      <c r="Q926" s="36"/>
      <c r="R926" s="36"/>
      <c r="S926" s="36"/>
      <c r="T926" s="36"/>
    </row>
    <row r="927" spans="1:20" ht="15.75">
      <c r="A927" s="13">
        <v>69732</v>
      </c>
      <c r="B927" s="44">
        <f t="shared" si="5"/>
        <v>30</v>
      </c>
      <c r="C927" s="35">
        <v>122.58</v>
      </c>
      <c r="D927" s="35">
        <v>297.94099999999997</v>
      </c>
      <c r="E927" s="41">
        <v>729.47900000000004</v>
      </c>
      <c r="F927" s="35">
        <v>1150</v>
      </c>
      <c r="G927" s="35">
        <v>100</v>
      </c>
      <c r="H927" s="43">
        <v>600</v>
      </c>
      <c r="I927" s="35">
        <v>695</v>
      </c>
      <c r="J927" s="35">
        <v>50</v>
      </c>
      <c r="K927" s="36"/>
      <c r="L927" s="36"/>
      <c r="M927" s="36"/>
      <c r="N927" s="36"/>
      <c r="O927" s="36"/>
      <c r="P927" s="36"/>
      <c r="Q927" s="36"/>
      <c r="R927" s="36"/>
      <c r="S927" s="36"/>
      <c r="T927" s="36"/>
    </row>
    <row r="928" spans="1:20" ht="15.75">
      <c r="A928" s="13">
        <v>69763</v>
      </c>
      <c r="B928" s="44">
        <f t="shared" si="5"/>
        <v>31</v>
      </c>
      <c r="C928" s="35">
        <v>122.58</v>
      </c>
      <c r="D928" s="35">
        <v>297.94099999999997</v>
      </c>
      <c r="E928" s="41">
        <v>729.47900000000004</v>
      </c>
      <c r="F928" s="35">
        <v>1150</v>
      </c>
      <c r="G928" s="35">
        <v>100</v>
      </c>
      <c r="H928" s="43">
        <v>600</v>
      </c>
      <c r="I928" s="35">
        <v>695</v>
      </c>
      <c r="J928" s="35">
        <v>50</v>
      </c>
      <c r="K928" s="36"/>
      <c r="L928" s="36"/>
      <c r="M928" s="36"/>
      <c r="N928" s="36"/>
      <c r="O928" s="36"/>
      <c r="P928" s="36"/>
      <c r="Q928" s="36"/>
      <c r="R928" s="36"/>
      <c r="S928" s="36"/>
      <c r="T928" s="36"/>
    </row>
    <row r="929" spans="1:20" ht="15.75">
      <c r="A929" s="13">
        <v>69794</v>
      </c>
      <c r="B929" s="44">
        <f t="shared" si="5"/>
        <v>31</v>
      </c>
      <c r="C929" s="35">
        <v>122.58</v>
      </c>
      <c r="D929" s="35">
        <v>297.94099999999997</v>
      </c>
      <c r="E929" s="41">
        <v>729.47900000000004</v>
      </c>
      <c r="F929" s="35">
        <v>1150</v>
      </c>
      <c r="G929" s="35">
        <v>100</v>
      </c>
      <c r="H929" s="43">
        <v>600</v>
      </c>
      <c r="I929" s="35">
        <v>695</v>
      </c>
      <c r="J929" s="35">
        <v>50</v>
      </c>
      <c r="K929" s="36"/>
      <c r="L929" s="36"/>
      <c r="M929" s="36"/>
      <c r="N929" s="36"/>
      <c r="O929" s="36"/>
      <c r="P929" s="36"/>
      <c r="Q929" s="36"/>
      <c r="R929" s="36"/>
      <c r="S929" s="36"/>
      <c r="T929" s="36"/>
    </row>
    <row r="930" spans="1:20" ht="15.75">
      <c r="A930" s="13">
        <v>69822</v>
      </c>
      <c r="B930" s="44">
        <f t="shared" si="5"/>
        <v>28</v>
      </c>
      <c r="C930" s="35">
        <v>122.58</v>
      </c>
      <c r="D930" s="35">
        <v>297.94099999999997</v>
      </c>
      <c r="E930" s="41">
        <v>729.47900000000004</v>
      </c>
      <c r="F930" s="35">
        <v>1150</v>
      </c>
      <c r="G930" s="35">
        <v>100</v>
      </c>
      <c r="H930" s="43">
        <v>600</v>
      </c>
      <c r="I930" s="35">
        <v>695</v>
      </c>
      <c r="J930" s="35">
        <v>50</v>
      </c>
      <c r="K930" s="36"/>
      <c r="L930" s="36"/>
      <c r="M930" s="36"/>
      <c r="N930" s="36"/>
      <c r="O930" s="36"/>
      <c r="P930" s="36"/>
      <c r="Q930" s="36"/>
      <c r="R930" s="36"/>
      <c r="S930" s="36"/>
      <c r="T930" s="36"/>
    </row>
    <row r="931" spans="1:20" ht="15.75">
      <c r="A931" s="13">
        <v>69853</v>
      </c>
      <c r="B931" s="44">
        <f t="shared" si="5"/>
        <v>31</v>
      </c>
      <c r="C931" s="35">
        <v>122.58</v>
      </c>
      <c r="D931" s="35">
        <v>297.94099999999997</v>
      </c>
      <c r="E931" s="41">
        <v>729.47900000000004</v>
      </c>
      <c r="F931" s="35">
        <v>1150</v>
      </c>
      <c r="G931" s="35">
        <v>100</v>
      </c>
      <c r="H931" s="43">
        <v>600</v>
      </c>
      <c r="I931" s="35">
        <v>695</v>
      </c>
      <c r="J931" s="35">
        <v>50</v>
      </c>
      <c r="K931" s="36"/>
      <c r="L931" s="36"/>
      <c r="M931" s="36"/>
      <c r="N931" s="36"/>
      <c r="O931" s="36"/>
      <c r="P931" s="36"/>
      <c r="Q931" s="36"/>
      <c r="R931" s="36"/>
      <c r="S931" s="36"/>
      <c r="T931" s="36"/>
    </row>
    <row r="932" spans="1:20" ht="15.75">
      <c r="A932" s="13">
        <v>69883</v>
      </c>
      <c r="B932" s="44">
        <f t="shared" si="5"/>
        <v>30</v>
      </c>
      <c r="C932" s="35">
        <v>141.29300000000001</v>
      </c>
      <c r="D932" s="35">
        <v>267.99299999999999</v>
      </c>
      <c r="E932" s="41">
        <v>829.71400000000006</v>
      </c>
      <c r="F932" s="35">
        <v>1239</v>
      </c>
      <c r="G932" s="35">
        <v>100</v>
      </c>
      <c r="H932" s="43">
        <v>600</v>
      </c>
      <c r="I932" s="35">
        <v>695</v>
      </c>
      <c r="J932" s="35">
        <v>50</v>
      </c>
      <c r="K932" s="36"/>
      <c r="L932" s="36"/>
      <c r="M932" s="36"/>
      <c r="N932" s="36"/>
      <c r="O932" s="36"/>
      <c r="P932" s="36"/>
      <c r="Q932" s="36"/>
      <c r="R932" s="36"/>
      <c r="S932" s="36"/>
      <c r="T932" s="36"/>
    </row>
    <row r="933" spans="1:20" ht="15.75">
      <c r="A933" s="13">
        <v>69914</v>
      </c>
      <c r="B933" s="44">
        <f t="shared" si="5"/>
        <v>31</v>
      </c>
      <c r="C933" s="35">
        <v>194.20500000000001</v>
      </c>
      <c r="D933" s="35">
        <v>267.46600000000001</v>
      </c>
      <c r="E933" s="41">
        <v>812.32899999999995</v>
      </c>
      <c r="F933" s="35">
        <v>1274</v>
      </c>
      <c r="G933" s="35">
        <v>75</v>
      </c>
      <c r="H933" s="43">
        <v>600</v>
      </c>
      <c r="I933" s="35">
        <v>695</v>
      </c>
      <c r="J933" s="35">
        <v>50</v>
      </c>
      <c r="K933" s="36"/>
      <c r="L933" s="36"/>
      <c r="M933" s="36"/>
      <c r="N933" s="36"/>
      <c r="O933" s="36"/>
      <c r="P933" s="36"/>
      <c r="Q933" s="36"/>
      <c r="R933" s="36"/>
      <c r="S933" s="36"/>
      <c r="T933" s="36"/>
    </row>
    <row r="934" spans="1:20" ht="15.75">
      <c r="A934" s="13">
        <v>69944</v>
      </c>
      <c r="B934" s="44">
        <f t="shared" si="5"/>
        <v>30</v>
      </c>
      <c r="C934" s="35">
        <v>194.20500000000001</v>
      </c>
      <c r="D934" s="35">
        <v>267.46600000000001</v>
      </c>
      <c r="E934" s="41">
        <v>812.32899999999995</v>
      </c>
      <c r="F934" s="35">
        <v>1274</v>
      </c>
      <c r="G934" s="35">
        <v>50</v>
      </c>
      <c r="H934" s="43">
        <v>600</v>
      </c>
      <c r="I934" s="35">
        <v>695</v>
      </c>
      <c r="J934" s="35">
        <v>50</v>
      </c>
      <c r="K934" s="36"/>
      <c r="L934" s="36"/>
      <c r="M934" s="36"/>
      <c r="N934" s="36"/>
      <c r="O934" s="36"/>
      <c r="P934" s="36"/>
      <c r="Q934" s="36"/>
      <c r="R934" s="36"/>
      <c r="S934" s="36"/>
      <c r="T934" s="36"/>
    </row>
    <row r="935" spans="1:20" ht="15.75">
      <c r="A935" s="13">
        <v>69975</v>
      </c>
      <c r="B935" s="44">
        <f t="shared" si="5"/>
        <v>31</v>
      </c>
      <c r="C935" s="35">
        <v>194.20500000000001</v>
      </c>
      <c r="D935" s="35">
        <v>267.46600000000001</v>
      </c>
      <c r="E935" s="41">
        <v>812.32899999999995</v>
      </c>
      <c r="F935" s="35">
        <v>1274</v>
      </c>
      <c r="G935" s="35">
        <v>50</v>
      </c>
      <c r="H935" s="43">
        <v>600</v>
      </c>
      <c r="I935" s="35">
        <v>695</v>
      </c>
      <c r="J935" s="35">
        <v>0</v>
      </c>
      <c r="K935" s="36"/>
      <c r="L935" s="36"/>
      <c r="M935" s="36"/>
      <c r="N935" s="36"/>
      <c r="O935" s="36"/>
      <c r="P935" s="36"/>
      <c r="Q935" s="36"/>
      <c r="R935" s="36"/>
      <c r="S935" s="36"/>
      <c r="T935" s="36"/>
    </row>
    <row r="936" spans="1:20" ht="15.75">
      <c r="A936" s="13">
        <v>70006</v>
      </c>
      <c r="B936" s="44">
        <f t="shared" si="5"/>
        <v>31</v>
      </c>
      <c r="C936" s="35">
        <v>194.20500000000001</v>
      </c>
      <c r="D936" s="35">
        <v>267.46600000000001</v>
      </c>
      <c r="E936" s="41">
        <v>812.32899999999995</v>
      </c>
      <c r="F936" s="35">
        <v>1274</v>
      </c>
      <c r="G936" s="35">
        <v>50</v>
      </c>
      <c r="H936" s="43">
        <v>600</v>
      </c>
      <c r="I936" s="35">
        <v>695</v>
      </c>
      <c r="J936" s="35">
        <v>0</v>
      </c>
      <c r="K936" s="36"/>
      <c r="L936" s="36"/>
      <c r="M936" s="36"/>
      <c r="N936" s="36"/>
      <c r="O936" s="36"/>
      <c r="P936" s="36"/>
      <c r="Q936" s="36"/>
      <c r="R936" s="36"/>
      <c r="S936" s="36"/>
      <c r="T936" s="36"/>
    </row>
    <row r="937" spans="1:20" ht="15.75">
      <c r="A937" s="13">
        <v>70036</v>
      </c>
      <c r="B937" s="44">
        <f t="shared" si="5"/>
        <v>30</v>
      </c>
      <c r="C937" s="35">
        <v>194.20500000000001</v>
      </c>
      <c r="D937" s="35">
        <v>267.46600000000001</v>
      </c>
      <c r="E937" s="41">
        <v>812.32899999999995</v>
      </c>
      <c r="F937" s="35">
        <v>1274</v>
      </c>
      <c r="G937" s="35">
        <v>50</v>
      </c>
      <c r="H937" s="43">
        <v>600</v>
      </c>
      <c r="I937" s="35">
        <v>695</v>
      </c>
      <c r="J937" s="35">
        <v>0</v>
      </c>
      <c r="K937" s="36"/>
      <c r="L937" s="36"/>
      <c r="M937" s="36"/>
      <c r="N937" s="36"/>
      <c r="O937" s="36"/>
      <c r="P937" s="36"/>
      <c r="Q937" s="36"/>
      <c r="R937" s="36"/>
      <c r="S937" s="36"/>
      <c r="T937" s="36"/>
    </row>
    <row r="938" spans="1:20" ht="15.75">
      <c r="A938" s="13">
        <v>70067</v>
      </c>
      <c r="B938" s="44">
        <f t="shared" si="5"/>
        <v>31</v>
      </c>
      <c r="C938" s="35">
        <v>131.881</v>
      </c>
      <c r="D938" s="35">
        <v>277.16699999999997</v>
      </c>
      <c r="E938" s="41">
        <v>829.952</v>
      </c>
      <c r="F938" s="35">
        <v>1239</v>
      </c>
      <c r="G938" s="35">
        <v>75</v>
      </c>
      <c r="H938" s="43">
        <v>600</v>
      </c>
      <c r="I938" s="35">
        <v>695</v>
      </c>
      <c r="J938" s="35">
        <v>0</v>
      </c>
      <c r="K938" s="36"/>
      <c r="L938" s="36"/>
      <c r="M938" s="36"/>
      <c r="N938" s="36"/>
      <c r="O938" s="36"/>
      <c r="P938" s="36"/>
      <c r="Q938" s="36"/>
      <c r="R938" s="36"/>
      <c r="S938" s="36"/>
      <c r="T938" s="36"/>
    </row>
    <row r="939" spans="1:20" ht="15.75">
      <c r="A939" s="13">
        <v>70097</v>
      </c>
      <c r="B939" s="44">
        <f t="shared" si="5"/>
        <v>30</v>
      </c>
      <c r="C939" s="35">
        <v>122.58</v>
      </c>
      <c r="D939" s="35">
        <v>297.94099999999997</v>
      </c>
      <c r="E939" s="41">
        <v>729.47900000000004</v>
      </c>
      <c r="F939" s="35">
        <v>1150</v>
      </c>
      <c r="G939" s="35">
        <v>100</v>
      </c>
      <c r="H939" s="43">
        <v>600</v>
      </c>
      <c r="I939" s="35">
        <v>695</v>
      </c>
      <c r="J939" s="35">
        <v>50</v>
      </c>
      <c r="K939" s="36"/>
      <c r="L939" s="36"/>
      <c r="M939" s="36"/>
      <c r="N939" s="36"/>
      <c r="O939" s="36"/>
      <c r="P939" s="36"/>
      <c r="Q939" s="36"/>
      <c r="R939" s="36"/>
      <c r="S939" s="36"/>
      <c r="T939" s="36"/>
    </row>
    <row r="940" spans="1:20" ht="15.75">
      <c r="A940" s="13">
        <v>70128</v>
      </c>
      <c r="B940" s="44">
        <f t="shared" si="5"/>
        <v>31</v>
      </c>
      <c r="C940" s="35">
        <v>122.58</v>
      </c>
      <c r="D940" s="35">
        <v>297.94099999999997</v>
      </c>
      <c r="E940" s="41">
        <v>729.47900000000004</v>
      </c>
      <c r="F940" s="35">
        <v>1150</v>
      </c>
      <c r="G940" s="35">
        <v>100</v>
      </c>
      <c r="H940" s="43">
        <v>600</v>
      </c>
      <c r="I940" s="35">
        <v>695</v>
      </c>
      <c r="J940" s="35">
        <v>50</v>
      </c>
      <c r="K940" s="36"/>
      <c r="L940" s="36"/>
      <c r="M940" s="36"/>
      <c r="N940" s="36"/>
      <c r="O940" s="36"/>
      <c r="P940" s="36"/>
      <c r="Q940" s="36"/>
      <c r="R940" s="36"/>
      <c r="S940" s="36"/>
      <c r="T940" s="36"/>
    </row>
    <row r="941" spans="1:20" ht="15.75">
      <c r="A941" s="13">
        <v>70159</v>
      </c>
      <c r="B941" s="44">
        <f t="shared" si="5"/>
        <v>31</v>
      </c>
      <c r="C941" s="35">
        <v>122.58</v>
      </c>
      <c r="D941" s="35">
        <v>297.94099999999997</v>
      </c>
      <c r="E941" s="41">
        <v>729.47900000000004</v>
      </c>
      <c r="F941" s="35">
        <v>1150</v>
      </c>
      <c r="G941" s="35">
        <v>100</v>
      </c>
      <c r="H941" s="43">
        <v>600</v>
      </c>
      <c r="I941" s="35">
        <v>695</v>
      </c>
      <c r="J941" s="35">
        <v>50</v>
      </c>
      <c r="K941" s="36"/>
      <c r="L941" s="36"/>
      <c r="M941" s="36"/>
      <c r="N941" s="36"/>
      <c r="O941" s="36"/>
      <c r="P941" s="36"/>
      <c r="Q941" s="36"/>
      <c r="R941" s="36"/>
      <c r="S941" s="36"/>
      <c r="T941" s="36"/>
    </row>
    <row r="942" spans="1:20" ht="15.75">
      <c r="A942" s="13">
        <v>70188</v>
      </c>
      <c r="B942" s="44">
        <f t="shared" si="5"/>
        <v>29</v>
      </c>
      <c r="C942" s="35">
        <v>122.58</v>
      </c>
      <c r="D942" s="35">
        <v>297.94099999999997</v>
      </c>
      <c r="E942" s="41">
        <v>729.47900000000004</v>
      </c>
      <c r="F942" s="35">
        <v>1150</v>
      </c>
      <c r="G942" s="35">
        <v>100</v>
      </c>
      <c r="H942" s="43">
        <v>600</v>
      </c>
      <c r="I942" s="35">
        <v>695</v>
      </c>
      <c r="J942" s="35">
        <v>50</v>
      </c>
      <c r="K942" s="36"/>
      <c r="L942" s="36"/>
      <c r="M942" s="36"/>
      <c r="N942" s="36"/>
      <c r="O942" s="36"/>
      <c r="P942" s="36"/>
      <c r="Q942" s="36"/>
      <c r="R942" s="36"/>
      <c r="S942" s="36"/>
      <c r="T942" s="36"/>
    </row>
    <row r="943" spans="1:20" ht="15.75">
      <c r="A943" s="13">
        <v>70219</v>
      </c>
      <c r="B943" s="44">
        <f t="shared" si="5"/>
        <v>31</v>
      </c>
      <c r="C943" s="35">
        <v>122.58</v>
      </c>
      <c r="D943" s="35">
        <v>297.94099999999997</v>
      </c>
      <c r="E943" s="41">
        <v>729.47900000000004</v>
      </c>
      <c r="F943" s="35">
        <v>1150</v>
      </c>
      <c r="G943" s="35">
        <v>100</v>
      </c>
      <c r="H943" s="43">
        <v>600</v>
      </c>
      <c r="I943" s="35">
        <v>695</v>
      </c>
      <c r="J943" s="35">
        <v>50</v>
      </c>
      <c r="K943" s="36"/>
      <c r="L943" s="36"/>
      <c r="M943" s="36"/>
      <c r="N943" s="36"/>
      <c r="O943" s="36"/>
      <c r="P943" s="36"/>
      <c r="Q943" s="36"/>
      <c r="R943" s="36"/>
      <c r="S943" s="36"/>
      <c r="T943" s="36"/>
    </row>
    <row r="944" spans="1:20" ht="15.75">
      <c r="A944" s="13">
        <v>70249</v>
      </c>
      <c r="B944" s="44">
        <f t="shared" si="5"/>
        <v>30</v>
      </c>
      <c r="C944" s="35">
        <v>141.29300000000001</v>
      </c>
      <c r="D944" s="35">
        <v>267.99299999999999</v>
      </c>
      <c r="E944" s="41">
        <v>829.71400000000006</v>
      </c>
      <c r="F944" s="35">
        <v>1239</v>
      </c>
      <c r="G944" s="35">
        <v>100</v>
      </c>
      <c r="H944" s="43">
        <v>600</v>
      </c>
      <c r="I944" s="35">
        <v>695</v>
      </c>
      <c r="J944" s="35">
        <v>50</v>
      </c>
      <c r="K944" s="36"/>
      <c r="L944" s="36"/>
      <c r="M944" s="36"/>
      <c r="N944" s="36"/>
      <c r="O944" s="36"/>
      <c r="P944" s="36"/>
      <c r="Q944" s="36"/>
      <c r="R944" s="36"/>
      <c r="S944" s="36"/>
      <c r="T944" s="36"/>
    </row>
    <row r="945" spans="1:20" ht="15.75">
      <c r="A945" s="13">
        <v>70280</v>
      </c>
      <c r="B945" s="44">
        <f t="shared" si="5"/>
        <v>31</v>
      </c>
      <c r="C945" s="35">
        <v>194.20500000000001</v>
      </c>
      <c r="D945" s="35">
        <v>267.46600000000001</v>
      </c>
      <c r="E945" s="41">
        <v>812.32899999999995</v>
      </c>
      <c r="F945" s="35">
        <v>1274</v>
      </c>
      <c r="G945" s="35">
        <v>75</v>
      </c>
      <c r="H945" s="43">
        <v>600</v>
      </c>
      <c r="I945" s="35">
        <v>695</v>
      </c>
      <c r="J945" s="35">
        <v>50</v>
      </c>
      <c r="K945" s="36"/>
      <c r="L945" s="36"/>
      <c r="M945" s="36"/>
      <c r="N945" s="36"/>
      <c r="O945" s="36"/>
      <c r="P945" s="36"/>
      <c r="Q945" s="36"/>
      <c r="R945" s="36"/>
      <c r="S945" s="36"/>
      <c r="T945" s="36"/>
    </row>
    <row r="946" spans="1:20" ht="15.75">
      <c r="A946" s="13">
        <v>70310</v>
      </c>
      <c r="B946" s="44">
        <f t="shared" si="5"/>
        <v>30</v>
      </c>
      <c r="C946" s="35">
        <v>194.20500000000001</v>
      </c>
      <c r="D946" s="35">
        <v>267.46600000000001</v>
      </c>
      <c r="E946" s="41">
        <v>812.32899999999995</v>
      </c>
      <c r="F946" s="35">
        <v>1274</v>
      </c>
      <c r="G946" s="35">
        <v>50</v>
      </c>
      <c r="H946" s="43">
        <v>600</v>
      </c>
      <c r="I946" s="35">
        <v>695</v>
      </c>
      <c r="J946" s="35">
        <v>50</v>
      </c>
      <c r="K946" s="36"/>
      <c r="L946" s="36"/>
      <c r="M946" s="36"/>
      <c r="N946" s="36"/>
      <c r="O946" s="36"/>
      <c r="P946" s="36"/>
      <c r="Q946" s="36"/>
      <c r="R946" s="36"/>
      <c r="S946" s="36"/>
      <c r="T946" s="36"/>
    </row>
    <row r="947" spans="1:20" ht="15.75">
      <c r="A947" s="13">
        <v>70341</v>
      </c>
      <c r="B947" s="44">
        <f t="shared" si="5"/>
        <v>31</v>
      </c>
      <c r="C947" s="35">
        <v>194.20500000000001</v>
      </c>
      <c r="D947" s="35">
        <v>267.46600000000001</v>
      </c>
      <c r="E947" s="41">
        <v>812.32899999999995</v>
      </c>
      <c r="F947" s="35">
        <v>1274</v>
      </c>
      <c r="G947" s="35">
        <v>50</v>
      </c>
      <c r="H947" s="43">
        <v>600</v>
      </c>
      <c r="I947" s="35">
        <v>695</v>
      </c>
      <c r="J947" s="35">
        <v>0</v>
      </c>
      <c r="K947" s="36"/>
      <c r="L947" s="36"/>
      <c r="M947" s="36"/>
      <c r="N947" s="36"/>
      <c r="O947" s="36"/>
      <c r="P947" s="36"/>
      <c r="Q947" s="36"/>
      <c r="R947" s="36"/>
      <c r="S947" s="36"/>
      <c r="T947" s="36"/>
    </row>
    <row r="948" spans="1:20" ht="15.75">
      <c r="A948" s="13">
        <v>70372</v>
      </c>
      <c r="B948" s="44">
        <f t="shared" si="5"/>
        <v>31</v>
      </c>
      <c r="C948" s="35">
        <v>194.20500000000001</v>
      </c>
      <c r="D948" s="35">
        <v>267.46600000000001</v>
      </c>
      <c r="E948" s="41">
        <v>812.32899999999995</v>
      </c>
      <c r="F948" s="35">
        <v>1274</v>
      </c>
      <c r="G948" s="35">
        <v>50</v>
      </c>
      <c r="H948" s="43">
        <v>600</v>
      </c>
      <c r="I948" s="35">
        <v>695</v>
      </c>
      <c r="J948" s="35">
        <v>0</v>
      </c>
      <c r="K948" s="36"/>
      <c r="L948" s="36"/>
      <c r="M948" s="36"/>
      <c r="N948" s="36"/>
      <c r="O948" s="36"/>
      <c r="P948" s="36"/>
      <c r="Q948" s="36"/>
      <c r="R948" s="36"/>
      <c r="S948" s="36"/>
      <c r="T948" s="36"/>
    </row>
    <row r="949" spans="1:20" ht="15.75">
      <c r="A949" s="13">
        <v>70402</v>
      </c>
      <c r="B949" s="44">
        <f t="shared" si="5"/>
        <v>30</v>
      </c>
      <c r="C949" s="35">
        <v>194.20500000000001</v>
      </c>
      <c r="D949" s="35">
        <v>267.46600000000001</v>
      </c>
      <c r="E949" s="41">
        <v>812.32899999999995</v>
      </c>
      <c r="F949" s="35">
        <v>1274</v>
      </c>
      <c r="G949" s="35">
        <v>50</v>
      </c>
      <c r="H949" s="43">
        <v>600</v>
      </c>
      <c r="I949" s="35">
        <v>695</v>
      </c>
      <c r="J949" s="35">
        <v>0</v>
      </c>
      <c r="K949" s="36"/>
      <c r="L949" s="36"/>
      <c r="M949" s="36"/>
      <c r="N949" s="36"/>
      <c r="O949" s="36"/>
      <c r="P949" s="36"/>
      <c r="Q949" s="36"/>
      <c r="R949" s="36"/>
      <c r="S949" s="36"/>
      <c r="T949" s="36"/>
    </row>
    <row r="950" spans="1:20" ht="15.75">
      <c r="A950" s="13">
        <v>70433</v>
      </c>
      <c r="B950" s="44">
        <f t="shared" si="5"/>
        <v>31</v>
      </c>
      <c r="C950" s="35">
        <v>131.881</v>
      </c>
      <c r="D950" s="35">
        <v>277.16699999999997</v>
      </c>
      <c r="E950" s="41">
        <v>829.952</v>
      </c>
      <c r="F950" s="35">
        <v>1239</v>
      </c>
      <c r="G950" s="35">
        <v>75</v>
      </c>
      <c r="H950" s="43">
        <v>600</v>
      </c>
      <c r="I950" s="35">
        <v>695</v>
      </c>
      <c r="J950" s="35">
        <v>0</v>
      </c>
      <c r="K950" s="36"/>
      <c r="L950" s="36"/>
      <c r="M950" s="36"/>
      <c r="N950" s="36"/>
      <c r="O950" s="36"/>
      <c r="P950" s="36"/>
      <c r="Q950" s="36"/>
      <c r="R950" s="36"/>
      <c r="S950" s="36"/>
      <c r="T950" s="36"/>
    </row>
    <row r="951" spans="1:20" ht="15.75">
      <c r="A951" s="13">
        <v>70463</v>
      </c>
      <c r="B951" s="44">
        <f t="shared" si="5"/>
        <v>30</v>
      </c>
      <c r="C951" s="35">
        <v>122.58</v>
      </c>
      <c r="D951" s="35">
        <v>297.94099999999997</v>
      </c>
      <c r="E951" s="41">
        <v>729.47900000000004</v>
      </c>
      <c r="F951" s="35">
        <v>1150</v>
      </c>
      <c r="G951" s="35">
        <v>100</v>
      </c>
      <c r="H951" s="43">
        <v>600</v>
      </c>
      <c r="I951" s="35">
        <v>695</v>
      </c>
      <c r="J951" s="35">
        <v>50</v>
      </c>
      <c r="K951" s="36"/>
      <c r="L951" s="36"/>
      <c r="M951" s="36"/>
      <c r="N951" s="36"/>
      <c r="O951" s="36"/>
      <c r="P951" s="36"/>
      <c r="Q951" s="36"/>
      <c r="R951" s="36"/>
      <c r="S951" s="36"/>
      <c r="T951" s="36"/>
    </row>
    <row r="952" spans="1:20" ht="15.75">
      <c r="A952" s="13">
        <v>70494</v>
      </c>
      <c r="B952" s="44">
        <f t="shared" si="5"/>
        <v>31</v>
      </c>
      <c r="C952" s="35">
        <v>122.58</v>
      </c>
      <c r="D952" s="35">
        <v>297.94099999999997</v>
      </c>
      <c r="E952" s="41">
        <v>729.47900000000004</v>
      </c>
      <c r="F952" s="35">
        <v>1150</v>
      </c>
      <c r="G952" s="35">
        <v>100</v>
      </c>
      <c r="H952" s="43">
        <v>600</v>
      </c>
      <c r="I952" s="35">
        <v>695</v>
      </c>
      <c r="J952" s="35">
        <v>50</v>
      </c>
      <c r="K952" s="36"/>
      <c r="L952" s="36"/>
      <c r="M952" s="36"/>
      <c r="N952" s="36"/>
      <c r="O952" s="36"/>
      <c r="P952" s="36"/>
      <c r="Q952" s="36"/>
      <c r="R952" s="36"/>
      <c r="S952" s="36"/>
      <c r="T952" s="36"/>
    </row>
    <row r="953" spans="1:20" ht="15.75">
      <c r="A953" s="13">
        <v>70525</v>
      </c>
      <c r="B953" s="44">
        <f t="shared" si="5"/>
        <v>31</v>
      </c>
      <c r="C953" s="35">
        <v>122.58</v>
      </c>
      <c r="D953" s="35">
        <v>297.94099999999997</v>
      </c>
      <c r="E953" s="41">
        <v>729.47900000000004</v>
      </c>
      <c r="F953" s="35">
        <v>1150</v>
      </c>
      <c r="G953" s="35">
        <v>100</v>
      </c>
      <c r="H953" s="43">
        <v>600</v>
      </c>
      <c r="I953" s="35">
        <v>695</v>
      </c>
      <c r="J953" s="35">
        <v>50</v>
      </c>
      <c r="K953" s="36"/>
      <c r="L953" s="36"/>
      <c r="M953" s="36"/>
      <c r="N953" s="36"/>
      <c r="O953" s="36"/>
      <c r="P953" s="36"/>
      <c r="Q953" s="36"/>
      <c r="R953" s="36"/>
      <c r="S953" s="36"/>
      <c r="T953" s="36"/>
    </row>
    <row r="954" spans="1:20" ht="15.75">
      <c r="A954" s="13">
        <v>70553</v>
      </c>
      <c r="B954" s="44">
        <f t="shared" si="5"/>
        <v>28</v>
      </c>
      <c r="C954" s="35">
        <v>122.58</v>
      </c>
      <c r="D954" s="35">
        <v>297.94099999999997</v>
      </c>
      <c r="E954" s="41">
        <v>729.47900000000004</v>
      </c>
      <c r="F954" s="35">
        <v>1150</v>
      </c>
      <c r="G954" s="35">
        <v>100</v>
      </c>
      <c r="H954" s="43">
        <v>600</v>
      </c>
      <c r="I954" s="35">
        <v>695</v>
      </c>
      <c r="J954" s="35">
        <v>50</v>
      </c>
      <c r="K954" s="36"/>
      <c r="L954" s="36"/>
      <c r="M954" s="36"/>
      <c r="N954" s="36"/>
      <c r="O954" s="36"/>
      <c r="P954" s="36"/>
      <c r="Q954" s="36"/>
      <c r="R954" s="36"/>
      <c r="S954" s="36"/>
      <c r="T954" s="36"/>
    </row>
    <row r="955" spans="1:20" ht="15.75">
      <c r="A955" s="13">
        <v>70584</v>
      </c>
      <c r="B955" s="44">
        <f t="shared" si="5"/>
        <v>31</v>
      </c>
      <c r="C955" s="35">
        <v>122.58</v>
      </c>
      <c r="D955" s="35">
        <v>297.94099999999997</v>
      </c>
      <c r="E955" s="41">
        <v>729.47900000000004</v>
      </c>
      <c r="F955" s="35">
        <v>1150</v>
      </c>
      <c r="G955" s="35">
        <v>100</v>
      </c>
      <c r="H955" s="43">
        <v>600</v>
      </c>
      <c r="I955" s="35">
        <v>695</v>
      </c>
      <c r="J955" s="35">
        <v>50</v>
      </c>
      <c r="K955" s="36"/>
      <c r="L955" s="36"/>
      <c r="M955" s="36"/>
      <c r="N955" s="36"/>
      <c r="O955" s="36"/>
      <c r="P955" s="36"/>
      <c r="Q955" s="36"/>
      <c r="R955" s="36"/>
      <c r="S955" s="36"/>
      <c r="T955" s="36"/>
    </row>
    <row r="956" spans="1:20" ht="15.75">
      <c r="A956" s="13">
        <v>70614</v>
      </c>
      <c r="B956" s="44">
        <f t="shared" si="5"/>
        <v>30</v>
      </c>
      <c r="C956" s="35">
        <v>141.29300000000001</v>
      </c>
      <c r="D956" s="35">
        <v>267.99299999999999</v>
      </c>
      <c r="E956" s="41">
        <v>829.71400000000006</v>
      </c>
      <c r="F956" s="35">
        <v>1239</v>
      </c>
      <c r="G956" s="35">
        <v>100</v>
      </c>
      <c r="H956" s="43">
        <v>600</v>
      </c>
      <c r="I956" s="35">
        <v>695</v>
      </c>
      <c r="J956" s="35">
        <v>50</v>
      </c>
      <c r="K956" s="36"/>
      <c r="L956" s="36"/>
      <c r="M956" s="36"/>
      <c r="N956" s="36"/>
      <c r="O956" s="36"/>
      <c r="P956" s="36"/>
      <c r="Q956" s="36"/>
      <c r="R956" s="36"/>
      <c r="S956" s="36"/>
      <c r="T956" s="36"/>
    </row>
    <row r="957" spans="1:20" ht="15.75">
      <c r="A957" s="13">
        <v>70645</v>
      </c>
      <c r="B957" s="44">
        <f t="shared" si="5"/>
        <v>31</v>
      </c>
      <c r="C957" s="35">
        <v>194.20500000000001</v>
      </c>
      <c r="D957" s="35">
        <v>267.46600000000001</v>
      </c>
      <c r="E957" s="41">
        <v>812.32899999999995</v>
      </c>
      <c r="F957" s="35">
        <v>1274</v>
      </c>
      <c r="G957" s="35">
        <v>75</v>
      </c>
      <c r="H957" s="43">
        <v>600</v>
      </c>
      <c r="I957" s="35">
        <v>695</v>
      </c>
      <c r="J957" s="35">
        <v>50</v>
      </c>
      <c r="K957" s="36"/>
      <c r="L957" s="36"/>
      <c r="M957" s="36"/>
      <c r="N957" s="36"/>
      <c r="O957" s="36"/>
      <c r="P957" s="36"/>
      <c r="Q957" s="36"/>
      <c r="R957" s="36"/>
      <c r="S957" s="36"/>
      <c r="T957" s="36"/>
    </row>
    <row r="958" spans="1:20" ht="15.75">
      <c r="A958" s="13">
        <v>70675</v>
      </c>
      <c r="B958" s="44">
        <f t="shared" si="5"/>
        <v>30</v>
      </c>
      <c r="C958" s="35">
        <v>194.20500000000001</v>
      </c>
      <c r="D958" s="35">
        <v>267.46600000000001</v>
      </c>
      <c r="E958" s="41">
        <v>812.32899999999995</v>
      </c>
      <c r="F958" s="35">
        <v>1274</v>
      </c>
      <c r="G958" s="35">
        <v>50</v>
      </c>
      <c r="H958" s="43">
        <v>600</v>
      </c>
      <c r="I958" s="35">
        <v>695</v>
      </c>
      <c r="J958" s="35">
        <v>50</v>
      </c>
      <c r="K958" s="36"/>
      <c r="L958" s="36"/>
      <c r="M958" s="36"/>
      <c r="N958" s="36"/>
      <c r="O958" s="36"/>
      <c r="P958" s="36"/>
      <c r="Q958" s="36"/>
      <c r="R958" s="36"/>
      <c r="S958" s="36"/>
      <c r="T958" s="36"/>
    </row>
    <row r="959" spans="1:20" ht="15.75">
      <c r="A959" s="13">
        <v>70706</v>
      </c>
      <c r="B959" s="44">
        <f t="shared" si="5"/>
        <v>31</v>
      </c>
      <c r="C959" s="35">
        <v>194.20500000000001</v>
      </c>
      <c r="D959" s="35">
        <v>267.46600000000001</v>
      </c>
      <c r="E959" s="41">
        <v>812.32899999999995</v>
      </c>
      <c r="F959" s="35">
        <v>1274</v>
      </c>
      <c r="G959" s="35">
        <v>50</v>
      </c>
      <c r="H959" s="43">
        <v>600</v>
      </c>
      <c r="I959" s="35">
        <v>695</v>
      </c>
      <c r="J959" s="35">
        <v>0</v>
      </c>
      <c r="K959" s="36"/>
      <c r="L959" s="36"/>
      <c r="M959" s="36"/>
      <c r="N959" s="36"/>
      <c r="O959" s="36"/>
      <c r="P959" s="36"/>
      <c r="Q959" s="36"/>
      <c r="R959" s="36"/>
      <c r="S959" s="36"/>
      <c r="T959" s="36"/>
    </row>
    <row r="960" spans="1:20" ht="15.75">
      <c r="A960" s="13">
        <v>70737</v>
      </c>
      <c r="B960" s="44">
        <f t="shared" si="5"/>
        <v>31</v>
      </c>
      <c r="C960" s="35">
        <v>194.20500000000001</v>
      </c>
      <c r="D960" s="35">
        <v>267.46600000000001</v>
      </c>
      <c r="E960" s="41">
        <v>812.32899999999995</v>
      </c>
      <c r="F960" s="35">
        <v>1274</v>
      </c>
      <c r="G960" s="35">
        <v>50</v>
      </c>
      <c r="H960" s="43">
        <v>600</v>
      </c>
      <c r="I960" s="35">
        <v>695</v>
      </c>
      <c r="J960" s="35">
        <v>0</v>
      </c>
      <c r="K960" s="36"/>
      <c r="L960" s="36"/>
      <c r="M960" s="36"/>
      <c r="N960" s="36"/>
      <c r="O960" s="36"/>
      <c r="P960" s="36"/>
      <c r="Q960" s="36"/>
      <c r="R960" s="36"/>
      <c r="S960" s="36"/>
      <c r="T960" s="36"/>
    </row>
    <row r="961" spans="1:20" ht="15.75">
      <c r="A961" s="13">
        <v>70767</v>
      </c>
      <c r="B961" s="44">
        <f t="shared" si="5"/>
        <v>30</v>
      </c>
      <c r="C961" s="35">
        <v>194.20500000000001</v>
      </c>
      <c r="D961" s="35">
        <v>267.46600000000001</v>
      </c>
      <c r="E961" s="41">
        <v>812.32899999999995</v>
      </c>
      <c r="F961" s="35">
        <v>1274</v>
      </c>
      <c r="G961" s="35">
        <v>50</v>
      </c>
      <c r="H961" s="43">
        <v>600</v>
      </c>
      <c r="I961" s="35">
        <v>695</v>
      </c>
      <c r="J961" s="35">
        <v>0</v>
      </c>
      <c r="K961" s="36"/>
      <c r="L961" s="36"/>
      <c r="M961" s="36"/>
      <c r="N961" s="36"/>
      <c r="O961" s="36"/>
      <c r="P961" s="36"/>
      <c r="Q961" s="36"/>
      <c r="R961" s="36"/>
      <c r="S961" s="36"/>
      <c r="T961" s="36"/>
    </row>
    <row r="962" spans="1:20" ht="15.75">
      <c r="A962" s="13">
        <v>70798</v>
      </c>
      <c r="B962" s="44">
        <f t="shared" si="5"/>
        <v>31</v>
      </c>
      <c r="C962" s="35">
        <v>131.881</v>
      </c>
      <c r="D962" s="35">
        <v>277.16699999999997</v>
      </c>
      <c r="E962" s="41">
        <v>829.952</v>
      </c>
      <c r="F962" s="35">
        <v>1239</v>
      </c>
      <c r="G962" s="35">
        <v>75</v>
      </c>
      <c r="H962" s="43">
        <v>600</v>
      </c>
      <c r="I962" s="35">
        <v>695</v>
      </c>
      <c r="J962" s="35">
        <v>0</v>
      </c>
      <c r="K962" s="36"/>
      <c r="L962" s="36"/>
      <c r="M962" s="36"/>
      <c r="N962" s="36"/>
      <c r="O962" s="36"/>
      <c r="P962" s="36"/>
      <c r="Q962" s="36"/>
      <c r="R962" s="36"/>
      <c r="S962" s="36"/>
      <c r="T962" s="36"/>
    </row>
    <row r="963" spans="1:20" ht="15.75">
      <c r="A963" s="13">
        <v>70828</v>
      </c>
      <c r="B963" s="44">
        <f t="shared" si="5"/>
        <v>30</v>
      </c>
      <c r="C963" s="35">
        <v>122.58</v>
      </c>
      <c r="D963" s="35">
        <v>297.94099999999997</v>
      </c>
      <c r="E963" s="41">
        <v>729.47900000000004</v>
      </c>
      <c r="F963" s="35">
        <v>1150</v>
      </c>
      <c r="G963" s="35">
        <v>100</v>
      </c>
      <c r="H963" s="43">
        <v>600</v>
      </c>
      <c r="I963" s="35">
        <v>695</v>
      </c>
      <c r="J963" s="35">
        <v>50</v>
      </c>
      <c r="K963" s="36"/>
      <c r="L963" s="36"/>
      <c r="M963" s="36"/>
      <c r="N963" s="36"/>
      <c r="O963" s="36"/>
      <c r="P963" s="36"/>
      <c r="Q963" s="36"/>
      <c r="R963" s="36"/>
      <c r="S963" s="36"/>
      <c r="T963" s="36"/>
    </row>
    <row r="964" spans="1:20" ht="15.75">
      <c r="A964" s="13">
        <v>70859</v>
      </c>
      <c r="B964" s="44">
        <f t="shared" si="5"/>
        <v>31</v>
      </c>
      <c r="C964" s="35">
        <v>122.58</v>
      </c>
      <c r="D964" s="35">
        <v>297.94099999999997</v>
      </c>
      <c r="E964" s="41">
        <v>729.47900000000004</v>
      </c>
      <c r="F964" s="35">
        <v>1150</v>
      </c>
      <c r="G964" s="35">
        <v>100</v>
      </c>
      <c r="H964" s="43">
        <v>600</v>
      </c>
      <c r="I964" s="35">
        <v>695</v>
      </c>
      <c r="J964" s="35">
        <v>50</v>
      </c>
      <c r="K964" s="36"/>
      <c r="L964" s="36"/>
      <c r="M964" s="36"/>
      <c r="N964" s="36"/>
      <c r="O964" s="36"/>
      <c r="P964" s="36"/>
      <c r="Q964" s="36"/>
      <c r="R964" s="36"/>
      <c r="S964" s="36"/>
      <c r="T964" s="36"/>
    </row>
    <row r="965" spans="1:20" ht="15.75">
      <c r="A965" s="13">
        <v>70890</v>
      </c>
      <c r="B965" s="44">
        <f t="shared" ref="B965:B1028" si="6">EOMONTH(A965,0)-EOMONTH(A965,-1)</f>
        <v>31</v>
      </c>
      <c r="C965" s="35">
        <v>122.58</v>
      </c>
      <c r="D965" s="35">
        <v>297.94099999999997</v>
      </c>
      <c r="E965" s="41">
        <v>729.47900000000004</v>
      </c>
      <c r="F965" s="35">
        <v>1150</v>
      </c>
      <c r="G965" s="35">
        <v>100</v>
      </c>
      <c r="H965" s="43">
        <v>600</v>
      </c>
      <c r="I965" s="35">
        <v>695</v>
      </c>
      <c r="J965" s="35">
        <v>50</v>
      </c>
      <c r="K965" s="36"/>
      <c r="L965" s="36"/>
      <c r="M965" s="36"/>
      <c r="N965" s="36"/>
      <c r="O965" s="36"/>
      <c r="P965" s="36"/>
      <c r="Q965" s="36"/>
      <c r="R965" s="36"/>
      <c r="S965" s="36"/>
      <c r="T965" s="36"/>
    </row>
    <row r="966" spans="1:20" ht="15.75">
      <c r="A966" s="13">
        <v>70918</v>
      </c>
      <c r="B966" s="44">
        <f t="shared" si="6"/>
        <v>28</v>
      </c>
      <c r="C966" s="35">
        <v>122.58</v>
      </c>
      <c r="D966" s="35">
        <v>297.94099999999997</v>
      </c>
      <c r="E966" s="41">
        <v>729.47900000000004</v>
      </c>
      <c r="F966" s="35">
        <v>1150</v>
      </c>
      <c r="G966" s="35">
        <v>100</v>
      </c>
      <c r="H966" s="43">
        <v>600</v>
      </c>
      <c r="I966" s="35">
        <v>695</v>
      </c>
      <c r="J966" s="35">
        <v>50</v>
      </c>
      <c r="K966" s="36"/>
      <c r="L966" s="36"/>
      <c r="M966" s="36"/>
      <c r="N966" s="36"/>
      <c r="O966" s="36"/>
      <c r="P966" s="36"/>
      <c r="Q966" s="36"/>
      <c r="R966" s="36"/>
      <c r="S966" s="36"/>
      <c r="T966" s="36"/>
    </row>
    <row r="967" spans="1:20" ht="15.75">
      <c r="A967" s="13">
        <v>70949</v>
      </c>
      <c r="B967" s="44">
        <f t="shared" si="6"/>
        <v>31</v>
      </c>
      <c r="C967" s="35">
        <v>122.58</v>
      </c>
      <c r="D967" s="35">
        <v>297.94099999999997</v>
      </c>
      <c r="E967" s="41">
        <v>729.47900000000004</v>
      </c>
      <c r="F967" s="35">
        <v>1150</v>
      </c>
      <c r="G967" s="35">
        <v>100</v>
      </c>
      <c r="H967" s="43">
        <v>600</v>
      </c>
      <c r="I967" s="35">
        <v>695</v>
      </c>
      <c r="J967" s="35">
        <v>50</v>
      </c>
      <c r="K967" s="36"/>
      <c r="L967" s="36"/>
      <c r="M967" s="36"/>
      <c r="N967" s="36"/>
      <c r="O967" s="36"/>
      <c r="P967" s="36"/>
      <c r="Q967" s="36"/>
      <c r="R967" s="36"/>
      <c r="S967" s="36"/>
      <c r="T967" s="36"/>
    </row>
    <row r="968" spans="1:20" ht="15.75">
      <c r="A968" s="13">
        <v>70979</v>
      </c>
      <c r="B968" s="44">
        <f t="shared" si="6"/>
        <v>30</v>
      </c>
      <c r="C968" s="35">
        <v>141.29300000000001</v>
      </c>
      <c r="D968" s="35">
        <v>267.99299999999999</v>
      </c>
      <c r="E968" s="41">
        <v>829.71400000000006</v>
      </c>
      <c r="F968" s="35">
        <v>1239</v>
      </c>
      <c r="G968" s="35">
        <v>100</v>
      </c>
      <c r="H968" s="43">
        <v>600</v>
      </c>
      <c r="I968" s="35">
        <v>695</v>
      </c>
      <c r="J968" s="35">
        <v>50</v>
      </c>
      <c r="K968" s="36"/>
      <c r="L968" s="36"/>
      <c r="M968" s="36"/>
      <c r="N968" s="36"/>
      <c r="O968" s="36"/>
      <c r="P968" s="36"/>
      <c r="Q968" s="36"/>
      <c r="R968" s="36"/>
      <c r="S968" s="36"/>
      <c r="T968" s="36"/>
    </row>
    <row r="969" spans="1:20" ht="15.75">
      <c r="A969" s="13">
        <v>71010</v>
      </c>
      <c r="B969" s="44">
        <f t="shared" si="6"/>
        <v>31</v>
      </c>
      <c r="C969" s="35">
        <v>194.20500000000001</v>
      </c>
      <c r="D969" s="35">
        <v>267.46600000000001</v>
      </c>
      <c r="E969" s="41">
        <v>812.32899999999995</v>
      </c>
      <c r="F969" s="35">
        <v>1274</v>
      </c>
      <c r="G969" s="35">
        <v>75</v>
      </c>
      <c r="H969" s="43">
        <v>600</v>
      </c>
      <c r="I969" s="35">
        <v>695</v>
      </c>
      <c r="J969" s="35">
        <v>50</v>
      </c>
      <c r="K969" s="36"/>
      <c r="L969" s="36"/>
      <c r="M969" s="36"/>
      <c r="N969" s="36"/>
      <c r="O969" s="36"/>
      <c r="P969" s="36"/>
      <c r="Q969" s="36"/>
      <c r="R969" s="36"/>
      <c r="S969" s="36"/>
      <c r="T969" s="36"/>
    </row>
    <row r="970" spans="1:20" ht="15.75">
      <c r="A970" s="13">
        <v>71040</v>
      </c>
      <c r="B970" s="44">
        <f t="shared" si="6"/>
        <v>30</v>
      </c>
      <c r="C970" s="35">
        <v>194.20500000000001</v>
      </c>
      <c r="D970" s="35">
        <v>267.46600000000001</v>
      </c>
      <c r="E970" s="41">
        <v>812.32899999999995</v>
      </c>
      <c r="F970" s="35">
        <v>1274</v>
      </c>
      <c r="G970" s="35">
        <v>50</v>
      </c>
      <c r="H970" s="43">
        <v>600</v>
      </c>
      <c r="I970" s="35">
        <v>695</v>
      </c>
      <c r="J970" s="35">
        <v>50</v>
      </c>
      <c r="K970" s="36"/>
      <c r="L970" s="36"/>
      <c r="M970" s="36"/>
      <c r="N970" s="36"/>
      <c r="O970" s="36"/>
      <c r="P970" s="36"/>
      <c r="Q970" s="36"/>
      <c r="R970" s="36"/>
      <c r="S970" s="36"/>
      <c r="T970" s="36"/>
    </row>
    <row r="971" spans="1:20" ht="15.75">
      <c r="A971" s="13">
        <v>71071</v>
      </c>
      <c r="B971" s="44">
        <f t="shared" si="6"/>
        <v>31</v>
      </c>
      <c r="C971" s="35">
        <v>194.20500000000001</v>
      </c>
      <c r="D971" s="35">
        <v>267.46600000000001</v>
      </c>
      <c r="E971" s="41">
        <v>812.32899999999995</v>
      </c>
      <c r="F971" s="35">
        <v>1274</v>
      </c>
      <c r="G971" s="35">
        <v>50</v>
      </c>
      <c r="H971" s="43">
        <v>600</v>
      </c>
      <c r="I971" s="35">
        <v>695</v>
      </c>
      <c r="J971" s="35">
        <v>0</v>
      </c>
      <c r="K971" s="36"/>
      <c r="L971" s="36"/>
      <c r="M971" s="36"/>
      <c r="N971" s="36"/>
      <c r="O971" s="36"/>
      <c r="P971" s="36"/>
      <c r="Q971" s="36"/>
      <c r="R971" s="36"/>
      <c r="S971" s="36"/>
      <c r="T971" s="36"/>
    </row>
    <row r="972" spans="1:20" ht="15.75">
      <c r="A972" s="13">
        <v>71102</v>
      </c>
      <c r="B972" s="44">
        <f t="shared" si="6"/>
        <v>31</v>
      </c>
      <c r="C972" s="35">
        <v>194.20500000000001</v>
      </c>
      <c r="D972" s="35">
        <v>267.46600000000001</v>
      </c>
      <c r="E972" s="41">
        <v>812.32899999999995</v>
      </c>
      <c r="F972" s="35">
        <v>1274</v>
      </c>
      <c r="G972" s="35">
        <v>50</v>
      </c>
      <c r="H972" s="43">
        <v>600</v>
      </c>
      <c r="I972" s="35">
        <v>695</v>
      </c>
      <c r="J972" s="35">
        <v>0</v>
      </c>
      <c r="K972" s="36"/>
      <c r="L972" s="36"/>
      <c r="M972" s="36"/>
      <c r="N972" s="36"/>
      <c r="O972" s="36"/>
      <c r="P972" s="36"/>
      <c r="Q972" s="36"/>
      <c r="R972" s="36"/>
      <c r="S972" s="36"/>
      <c r="T972" s="36"/>
    </row>
    <row r="973" spans="1:20" ht="15.75">
      <c r="A973" s="13">
        <v>71132</v>
      </c>
      <c r="B973" s="44">
        <f t="shared" si="6"/>
        <v>30</v>
      </c>
      <c r="C973" s="35">
        <v>194.20500000000001</v>
      </c>
      <c r="D973" s="35">
        <v>267.46600000000001</v>
      </c>
      <c r="E973" s="41">
        <v>812.32899999999995</v>
      </c>
      <c r="F973" s="35">
        <v>1274</v>
      </c>
      <c r="G973" s="35">
        <v>50</v>
      </c>
      <c r="H973" s="43">
        <v>600</v>
      </c>
      <c r="I973" s="35">
        <v>695</v>
      </c>
      <c r="J973" s="35">
        <v>0</v>
      </c>
      <c r="K973" s="36"/>
      <c r="L973" s="36"/>
      <c r="M973" s="36"/>
      <c r="N973" s="36"/>
      <c r="O973" s="36"/>
      <c r="P973" s="36"/>
      <c r="Q973" s="36"/>
      <c r="R973" s="36"/>
      <c r="S973" s="36"/>
      <c r="T973" s="36"/>
    </row>
    <row r="974" spans="1:20" ht="15.75">
      <c r="A974" s="13">
        <v>71163</v>
      </c>
      <c r="B974" s="44">
        <f t="shared" si="6"/>
        <v>31</v>
      </c>
      <c r="C974" s="35">
        <v>131.881</v>
      </c>
      <c r="D974" s="35">
        <v>277.16699999999997</v>
      </c>
      <c r="E974" s="41">
        <v>829.952</v>
      </c>
      <c r="F974" s="35">
        <v>1239</v>
      </c>
      <c r="G974" s="35">
        <v>75</v>
      </c>
      <c r="H974" s="43">
        <v>600</v>
      </c>
      <c r="I974" s="35">
        <v>695</v>
      </c>
      <c r="J974" s="35">
        <v>0</v>
      </c>
      <c r="K974" s="36"/>
      <c r="L974" s="36"/>
      <c r="M974" s="36"/>
      <c r="N974" s="36"/>
      <c r="O974" s="36"/>
      <c r="P974" s="36"/>
      <c r="Q974" s="36"/>
      <c r="R974" s="36"/>
      <c r="S974" s="36"/>
      <c r="T974" s="36"/>
    </row>
    <row r="975" spans="1:20" ht="15.75">
      <c r="A975" s="13">
        <v>71193</v>
      </c>
      <c r="B975" s="44">
        <f t="shared" si="6"/>
        <v>30</v>
      </c>
      <c r="C975" s="35">
        <v>122.58</v>
      </c>
      <c r="D975" s="35">
        <v>297.94099999999997</v>
      </c>
      <c r="E975" s="41">
        <v>729.47900000000004</v>
      </c>
      <c r="F975" s="35">
        <v>1150</v>
      </c>
      <c r="G975" s="35">
        <v>100</v>
      </c>
      <c r="H975" s="43">
        <v>600</v>
      </c>
      <c r="I975" s="35">
        <v>695</v>
      </c>
      <c r="J975" s="35">
        <v>50</v>
      </c>
      <c r="K975" s="36"/>
      <c r="L975" s="36"/>
      <c r="M975" s="36"/>
      <c r="N975" s="36"/>
      <c r="O975" s="36"/>
      <c r="P975" s="36"/>
      <c r="Q975" s="36"/>
      <c r="R975" s="36"/>
      <c r="S975" s="36"/>
      <c r="T975" s="36"/>
    </row>
    <row r="976" spans="1:20" ht="15.75">
      <c r="A976" s="13">
        <v>71224</v>
      </c>
      <c r="B976" s="44">
        <f t="shared" si="6"/>
        <v>31</v>
      </c>
      <c r="C976" s="35">
        <v>122.58</v>
      </c>
      <c r="D976" s="35">
        <v>297.94099999999997</v>
      </c>
      <c r="E976" s="41">
        <v>729.47900000000004</v>
      </c>
      <c r="F976" s="35">
        <v>1150</v>
      </c>
      <c r="G976" s="35">
        <v>100</v>
      </c>
      <c r="H976" s="43">
        <v>600</v>
      </c>
      <c r="I976" s="35">
        <v>695</v>
      </c>
      <c r="J976" s="35">
        <v>50</v>
      </c>
      <c r="K976" s="36"/>
      <c r="L976" s="36"/>
      <c r="M976" s="36"/>
      <c r="N976" s="36"/>
      <c r="O976" s="36"/>
      <c r="P976" s="36"/>
      <c r="Q976" s="36"/>
      <c r="R976" s="36"/>
      <c r="S976" s="36"/>
      <c r="T976" s="36"/>
    </row>
    <row r="977" spans="1:20" ht="15.75">
      <c r="A977" s="13">
        <v>71255</v>
      </c>
      <c r="B977" s="44">
        <f t="shared" si="6"/>
        <v>31</v>
      </c>
      <c r="C977" s="35">
        <v>122.58</v>
      </c>
      <c r="D977" s="35">
        <v>297.94099999999997</v>
      </c>
      <c r="E977" s="41">
        <v>729.47900000000004</v>
      </c>
      <c r="F977" s="35">
        <v>1150</v>
      </c>
      <c r="G977" s="35">
        <v>100</v>
      </c>
      <c r="H977" s="43">
        <v>600</v>
      </c>
      <c r="I977" s="35">
        <v>695</v>
      </c>
      <c r="J977" s="35">
        <v>50</v>
      </c>
      <c r="K977" s="36"/>
      <c r="L977" s="36"/>
      <c r="M977" s="36"/>
      <c r="N977" s="36"/>
      <c r="O977" s="36"/>
      <c r="P977" s="36"/>
      <c r="Q977" s="36"/>
      <c r="R977" s="36"/>
      <c r="S977" s="36"/>
      <c r="T977" s="36"/>
    </row>
    <row r="978" spans="1:20" ht="15.75">
      <c r="A978" s="13">
        <v>71283</v>
      </c>
      <c r="B978" s="44">
        <f t="shared" si="6"/>
        <v>28</v>
      </c>
      <c r="C978" s="35">
        <v>122.58</v>
      </c>
      <c r="D978" s="35">
        <v>297.94099999999997</v>
      </c>
      <c r="E978" s="41">
        <v>729.47900000000004</v>
      </c>
      <c r="F978" s="35">
        <v>1150</v>
      </c>
      <c r="G978" s="35">
        <v>100</v>
      </c>
      <c r="H978" s="43">
        <v>600</v>
      </c>
      <c r="I978" s="35">
        <v>695</v>
      </c>
      <c r="J978" s="35">
        <v>50</v>
      </c>
      <c r="K978" s="36"/>
      <c r="L978" s="36"/>
      <c r="M978" s="36"/>
      <c r="N978" s="36"/>
      <c r="O978" s="36"/>
      <c r="P978" s="36"/>
      <c r="Q978" s="36"/>
      <c r="R978" s="36"/>
      <c r="S978" s="36"/>
      <c r="T978" s="36"/>
    </row>
    <row r="979" spans="1:20" ht="15.75">
      <c r="A979" s="13">
        <v>71314</v>
      </c>
      <c r="B979" s="44">
        <f t="shared" si="6"/>
        <v>31</v>
      </c>
      <c r="C979" s="35">
        <v>122.58</v>
      </c>
      <c r="D979" s="35">
        <v>297.94099999999997</v>
      </c>
      <c r="E979" s="41">
        <v>729.47900000000004</v>
      </c>
      <c r="F979" s="35">
        <v>1150</v>
      </c>
      <c r="G979" s="35">
        <v>100</v>
      </c>
      <c r="H979" s="43">
        <v>600</v>
      </c>
      <c r="I979" s="35">
        <v>695</v>
      </c>
      <c r="J979" s="35">
        <v>50</v>
      </c>
      <c r="K979" s="36"/>
      <c r="L979" s="36"/>
      <c r="M979" s="36"/>
      <c r="N979" s="36"/>
      <c r="O979" s="36"/>
      <c r="P979" s="36"/>
      <c r="Q979" s="36"/>
      <c r="R979" s="36"/>
      <c r="S979" s="36"/>
      <c r="T979" s="36"/>
    </row>
    <row r="980" spans="1:20" ht="15.75">
      <c r="A980" s="13">
        <v>71344</v>
      </c>
      <c r="B980" s="44">
        <f t="shared" si="6"/>
        <v>30</v>
      </c>
      <c r="C980" s="35">
        <v>141.29300000000001</v>
      </c>
      <c r="D980" s="35">
        <v>267.99299999999999</v>
      </c>
      <c r="E980" s="41">
        <v>829.71400000000006</v>
      </c>
      <c r="F980" s="35">
        <v>1239</v>
      </c>
      <c r="G980" s="35">
        <v>100</v>
      </c>
      <c r="H980" s="43">
        <v>600</v>
      </c>
      <c r="I980" s="35">
        <v>695</v>
      </c>
      <c r="J980" s="35">
        <v>50</v>
      </c>
      <c r="K980" s="36"/>
      <c r="L980" s="36"/>
      <c r="M980" s="36"/>
      <c r="N980" s="36"/>
      <c r="O980" s="36"/>
      <c r="P980" s="36"/>
      <c r="Q980" s="36"/>
      <c r="R980" s="36"/>
      <c r="S980" s="36"/>
      <c r="T980" s="36"/>
    </row>
    <row r="981" spans="1:20" ht="15.75">
      <c r="A981" s="13">
        <v>71375</v>
      </c>
      <c r="B981" s="44">
        <f t="shared" si="6"/>
        <v>31</v>
      </c>
      <c r="C981" s="35">
        <v>194.20500000000001</v>
      </c>
      <c r="D981" s="35">
        <v>267.46600000000001</v>
      </c>
      <c r="E981" s="41">
        <v>812.32899999999995</v>
      </c>
      <c r="F981" s="35">
        <v>1274</v>
      </c>
      <c r="G981" s="35">
        <v>75</v>
      </c>
      <c r="H981" s="43">
        <v>600</v>
      </c>
      <c r="I981" s="35">
        <v>695</v>
      </c>
      <c r="J981" s="35">
        <v>50</v>
      </c>
      <c r="K981" s="36"/>
      <c r="L981" s="36"/>
      <c r="M981" s="36"/>
      <c r="N981" s="36"/>
      <c r="O981" s="36"/>
      <c r="P981" s="36"/>
      <c r="Q981" s="36"/>
      <c r="R981" s="36"/>
      <c r="S981" s="36"/>
      <c r="T981" s="36"/>
    </row>
    <row r="982" spans="1:20" ht="15.75">
      <c r="A982" s="13">
        <v>71405</v>
      </c>
      <c r="B982" s="44">
        <f t="shared" si="6"/>
        <v>30</v>
      </c>
      <c r="C982" s="35">
        <v>194.20500000000001</v>
      </c>
      <c r="D982" s="35">
        <v>267.46600000000001</v>
      </c>
      <c r="E982" s="41">
        <v>812.32899999999995</v>
      </c>
      <c r="F982" s="35">
        <v>1274</v>
      </c>
      <c r="G982" s="35">
        <v>50</v>
      </c>
      <c r="H982" s="43">
        <v>600</v>
      </c>
      <c r="I982" s="35">
        <v>695</v>
      </c>
      <c r="J982" s="35">
        <v>50</v>
      </c>
      <c r="K982" s="36"/>
      <c r="L982" s="36"/>
      <c r="M982" s="36"/>
      <c r="N982" s="36"/>
      <c r="O982" s="36"/>
      <c r="P982" s="36"/>
      <c r="Q982" s="36"/>
      <c r="R982" s="36"/>
      <c r="S982" s="36"/>
      <c r="T982" s="36"/>
    </row>
    <row r="983" spans="1:20" ht="15.75">
      <c r="A983" s="13">
        <v>71436</v>
      </c>
      <c r="B983" s="44">
        <f t="shared" si="6"/>
        <v>31</v>
      </c>
      <c r="C983" s="35">
        <v>194.20500000000001</v>
      </c>
      <c r="D983" s="35">
        <v>267.46600000000001</v>
      </c>
      <c r="E983" s="41">
        <v>812.32899999999995</v>
      </c>
      <c r="F983" s="35">
        <v>1274</v>
      </c>
      <c r="G983" s="35">
        <v>50</v>
      </c>
      <c r="H983" s="43">
        <v>600</v>
      </c>
      <c r="I983" s="35">
        <v>695</v>
      </c>
      <c r="J983" s="35">
        <v>0</v>
      </c>
      <c r="K983" s="36"/>
      <c r="L983" s="36"/>
      <c r="M983" s="36"/>
      <c r="N983" s="36"/>
      <c r="O983" s="36"/>
      <c r="P983" s="36"/>
      <c r="Q983" s="36"/>
      <c r="R983" s="36"/>
      <c r="S983" s="36"/>
      <c r="T983" s="36"/>
    </row>
    <row r="984" spans="1:20" ht="15.75">
      <c r="A984" s="13">
        <v>71467</v>
      </c>
      <c r="B984" s="44">
        <f t="shared" si="6"/>
        <v>31</v>
      </c>
      <c r="C984" s="35">
        <v>194.20500000000001</v>
      </c>
      <c r="D984" s="35">
        <v>267.46600000000001</v>
      </c>
      <c r="E984" s="41">
        <v>812.32899999999995</v>
      </c>
      <c r="F984" s="35">
        <v>1274</v>
      </c>
      <c r="G984" s="35">
        <v>50</v>
      </c>
      <c r="H984" s="43">
        <v>600</v>
      </c>
      <c r="I984" s="35">
        <v>695</v>
      </c>
      <c r="J984" s="35">
        <v>0</v>
      </c>
      <c r="K984" s="36"/>
      <c r="L984" s="36"/>
      <c r="M984" s="36"/>
      <c r="N984" s="36"/>
      <c r="O984" s="36"/>
      <c r="P984" s="36"/>
      <c r="Q984" s="36"/>
      <c r="R984" s="36"/>
      <c r="S984" s="36"/>
      <c r="T984" s="36"/>
    </row>
    <row r="985" spans="1:20" ht="15.75">
      <c r="A985" s="13">
        <v>71497</v>
      </c>
      <c r="B985" s="44">
        <f t="shared" si="6"/>
        <v>30</v>
      </c>
      <c r="C985" s="35">
        <v>194.20500000000001</v>
      </c>
      <c r="D985" s="35">
        <v>267.46600000000001</v>
      </c>
      <c r="E985" s="41">
        <v>812.32899999999995</v>
      </c>
      <c r="F985" s="35">
        <v>1274</v>
      </c>
      <c r="G985" s="35">
        <v>50</v>
      </c>
      <c r="H985" s="43">
        <v>600</v>
      </c>
      <c r="I985" s="35">
        <v>695</v>
      </c>
      <c r="J985" s="35">
        <v>0</v>
      </c>
      <c r="K985" s="36"/>
      <c r="L985" s="36"/>
      <c r="M985" s="36"/>
      <c r="N985" s="36"/>
      <c r="O985" s="36"/>
      <c r="P985" s="36"/>
      <c r="Q985" s="36"/>
      <c r="R985" s="36"/>
      <c r="S985" s="36"/>
      <c r="T985" s="36"/>
    </row>
    <row r="986" spans="1:20" ht="15.75">
      <c r="A986" s="13">
        <v>71528</v>
      </c>
      <c r="B986" s="44">
        <f t="shared" si="6"/>
        <v>31</v>
      </c>
      <c r="C986" s="35">
        <v>131.881</v>
      </c>
      <c r="D986" s="35">
        <v>277.16699999999997</v>
      </c>
      <c r="E986" s="41">
        <v>829.952</v>
      </c>
      <c r="F986" s="35">
        <v>1239</v>
      </c>
      <c r="G986" s="35">
        <v>75</v>
      </c>
      <c r="H986" s="43">
        <v>600</v>
      </c>
      <c r="I986" s="35">
        <v>695</v>
      </c>
      <c r="J986" s="35">
        <v>0</v>
      </c>
      <c r="K986" s="36"/>
      <c r="L986" s="36"/>
      <c r="M986" s="36"/>
      <c r="N986" s="36"/>
      <c r="O986" s="36"/>
      <c r="P986" s="36"/>
      <c r="Q986" s="36"/>
      <c r="R986" s="36"/>
      <c r="S986" s="36"/>
      <c r="T986" s="36"/>
    </row>
    <row r="987" spans="1:20" ht="15.75">
      <c r="A987" s="13">
        <v>71558</v>
      </c>
      <c r="B987" s="44">
        <f t="shared" si="6"/>
        <v>30</v>
      </c>
      <c r="C987" s="35">
        <v>122.58</v>
      </c>
      <c r="D987" s="35">
        <v>297.94099999999997</v>
      </c>
      <c r="E987" s="41">
        <v>729.47900000000004</v>
      </c>
      <c r="F987" s="35">
        <v>1150</v>
      </c>
      <c r="G987" s="35">
        <v>100</v>
      </c>
      <c r="H987" s="43">
        <v>600</v>
      </c>
      <c r="I987" s="35">
        <v>695</v>
      </c>
      <c r="J987" s="35">
        <v>50</v>
      </c>
      <c r="K987" s="36"/>
      <c r="L987" s="36"/>
      <c r="M987" s="36"/>
      <c r="N987" s="36"/>
      <c r="O987" s="36"/>
      <c r="P987" s="36"/>
      <c r="Q987" s="36"/>
      <c r="R987" s="36"/>
      <c r="S987" s="36"/>
      <c r="T987" s="36"/>
    </row>
    <row r="988" spans="1:20" ht="15.75">
      <c r="A988" s="13">
        <v>71589</v>
      </c>
      <c r="B988" s="44">
        <f t="shared" si="6"/>
        <v>31</v>
      </c>
      <c r="C988" s="35">
        <v>122.58</v>
      </c>
      <c r="D988" s="35">
        <v>297.94099999999997</v>
      </c>
      <c r="E988" s="41">
        <v>729.47900000000004</v>
      </c>
      <c r="F988" s="35">
        <v>1150</v>
      </c>
      <c r="G988" s="35">
        <v>100</v>
      </c>
      <c r="H988" s="43">
        <v>600</v>
      </c>
      <c r="I988" s="35">
        <v>695</v>
      </c>
      <c r="J988" s="35">
        <v>50</v>
      </c>
      <c r="K988" s="36"/>
      <c r="L988" s="36"/>
      <c r="M988" s="36"/>
      <c r="N988" s="36"/>
      <c r="O988" s="36"/>
      <c r="P988" s="36"/>
      <c r="Q988" s="36"/>
      <c r="R988" s="36"/>
      <c r="S988" s="36"/>
      <c r="T988" s="36"/>
    </row>
    <row r="989" spans="1:20" ht="15.75">
      <c r="A989" s="13">
        <v>71620</v>
      </c>
      <c r="B989" s="44">
        <f t="shared" si="6"/>
        <v>31</v>
      </c>
      <c r="C989" s="35">
        <v>122.58</v>
      </c>
      <c r="D989" s="35">
        <v>297.94099999999997</v>
      </c>
      <c r="E989" s="41">
        <v>729.47900000000004</v>
      </c>
      <c r="F989" s="35">
        <v>1150</v>
      </c>
      <c r="G989" s="35">
        <v>100</v>
      </c>
      <c r="H989" s="43">
        <v>600</v>
      </c>
      <c r="I989" s="35">
        <v>695</v>
      </c>
      <c r="J989" s="35">
        <v>50</v>
      </c>
      <c r="K989" s="36"/>
      <c r="L989" s="36"/>
      <c r="M989" s="36"/>
      <c r="N989" s="36"/>
      <c r="O989" s="36"/>
      <c r="P989" s="36"/>
      <c r="Q989" s="36"/>
      <c r="R989" s="36"/>
      <c r="S989" s="36"/>
      <c r="T989" s="36"/>
    </row>
    <row r="990" spans="1:20" ht="15.75">
      <c r="A990" s="13">
        <v>71649</v>
      </c>
      <c r="B990" s="44">
        <f t="shared" si="6"/>
        <v>29</v>
      </c>
      <c r="C990" s="35">
        <v>122.58</v>
      </c>
      <c r="D990" s="35">
        <v>297.94099999999997</v>
      </c>
      <c r="E990" s="41">
        <v>729.47900000000004</v>
      </c>
      <c r="F990" s="35">
        <v>1150</v>
      </c>
      <c r="G990" s="35">
        <v>100</v>
      </c>
      <c r="H990" s="43">
        <v>600</v>
      </c>
      <c r="I990" s="35">
        <v>695</v>
      </c>
      <c r="J990" s="35">
        <v>50</v>
      </c>
      <c r="K990" s="36"/>
      <c r="L990" s="36"/>
      <c r="M990" s="36"/>
      <c r="N990" s="36"/>
      <c r="O990" s="36"/>
      <c r="P990" s="36"/>
      <c r="Q990" s="36"/>
      <c r="R990" s="36"/>
      <c r="S990" s="36"/>
      <c r="T990" s="36"/>
    </row>
    <row r="991" spans="1:20" ht="15.75">
      <c r="A991" s="13">
        <v>71680</v>
      </c>
      <c r="B991" s="44">
        <f t="shared" si="6"/>
        <v>31</v>
      </c>
      <c r="C991" s="35">
        <v>122.58</v>
      </c>
      <c r="D991" s="35">
        <v>297.94099999999997</v>
      </c>
      <c r="E991" s="41">
        <v>729.47900000000004</v>
      </c>
      <c r="F991" s="35">
        <v>1150</v>
      </c>
      <c r="G991" s="35">
        <v>100</v>
      </c>
      <c r="H991" s="43">
        <v>600</v>
      </c>
      <c r="I991" s="35">
        <v>695</v>
      </c>
      <c r="J991" s="35">
        <v>50</v>
      </c>
      <c r="K991" s="36"/>
      <c r="L991" s="36"/>
      <c r="M991" s="36"/>
      <c r="N991" s="36"/>
      <c r="O991" s="36"/>
      <c r="P991" s="36"/>
      <c r="Q991" s="36"/>
      <c r="R991" s="36"/>
      <c r="S991" s="36"/>
      <c r="T991" s="36"/>
    </row>
    <row r="992" spans="1:20" ht="15.75">
      <c r="A992" s="13">
        <v>71710</v>
      </c>
      <c r="B992" s="44">
        <f t="shared" si="6"/>
        <v>30</v>
      </c>
      <c r="C992" s="35">
        <v>141.29300000000001</v>
      </c>
      <c r="D992" s="35">
        <v>267.99299999999999</v>
      </c>
      <c r="E992" s="41">
        <v>829.71400000000006</v>
      </c>
      <c r="F992" s="35">
        <v>1239</v>
      </c>
      <c r="G992" s="35">
        <v>100</v>
      </c>
      <c r="H992" s="43">
        <v>600</v>
      </c>
      <c r="I992" s="35">
        <v>695</v>
      </c>
      <c r="J992" s="35">
        <v>50</v>
      </c>
      <c r="K992" s="36"/>
      <c r="L992" s="36"/>
      <c r="M992" s="36"/>
      <c r="N992" s="36"/>
      <c r="O992" s="36"/>
      <c r="P992" s="36"/>
      <c r="Q992" s="36"/>
      <c r="R992" s="36"/>
      <c r="S992" s="36"/>
      <c r="T992" s="36"/>
    </row>
    <row r="993" spans="1:20" ht="15.75">
      <c r="A993" s="13">
        <v>71741</v>
      </c>
      <c r="B993" s="44">
        <f t="shared" si="6"/>
        <v>31</v>
      </c>
      <c r="C993" s="35">
        <v>194.20500000000001</v>
      </c>
      <c r="D993" s="35">
        <v>267.46600000000001</v>
      </c>
      <c r="E993" s="41">
        <v>812.32899999999995</v>
      </c>
      <c r="F993" s="35">
        <v>1274</v>
      </c>
      <c r="G993" s="35">
        <v>75</v>
      </c>
      <c r="H993" s="43">
        <v>600</v>
      </c>
      <c r="I993" s="35">
        <v>695</v>
      </c>
      <c r="J993" s="35">
        <v>50</v>
      </c>
      <c r="K993" s="36"/>
      <c r="L993" s="36"/>
      <c r="M993" s="36"/>
      <c r="N993" s="36"/>
      <c r="O993" s="36"/>
      <c r="P993" s="36"/>
      <c r="Q993" s="36"/>
      <c r="R993" s="36"/>
      <c r="S993" s="36"/>
      <c r="T993" s="36"/>
    </row>
    <row r="994" spans="1:20" ht="15.75">
      <c r="A994" s="13">
        <v>71771</v>
      </c>
      <c r="B994" s="44">
        <f t="shared" si="6"/>
        <v>30</v>
      </c>
      <c r="C994" s="35">
        <v>194.20500000000001</v>
      </c>
      <c r="D994" s="35">
        <v>267.46600000000001</v>
      </c>
      <c r="E994" s="41">
        <v>812.32899999999995</v>
      </c>
      <c r="F994" s="35">
        <v>1274</v>
      </c>
      <c r="G994" s="35">
        <v>50</v>
      </c>
      <c r="H994" s="43">
        <v>600</v>
      </c>
      <c r="I994" s="35">
        <v>695</v>
      </c>
      <c r="J994" s="35">
        <v>50</v>
      </c>
      <c r="K994" s="36"/>
      <c r="L994" s="36"/>
      <c r="M994" s="36"/>
      <c r="N994" s="36"/>
      <c r="O994" s="36"/>
      <c r="P994" s="36"/>
      <c r="Q994" s="36"/>
      <c r="R994" s="36"/>
      <c r="S994" s="36"/>
      <c r="T994" s="36"/>
    </row>
    <row r="995" spans="1:20" ht="15.75">
      <c r="A995" s="13">
        <v>71802</v>
      </c>
      <c r="B995" s="44">
        <f t="shared" si="6"/>
        <v>31</v>
      </c>
      <c r="C995" s="35">
        <v>194.20500000000001</v>
      </c>
      <c r="D995" s="35">
        <v>267.46600000000001</v>
      </c>
      <c r="E995" s="41">
        <v>812.32899999999995</v>
      </c>
      <c r="F995" s="35">
        <v>1274</v>
      </c>
      <c r="G995" s="35">
        <v>50</v>
      </c>
      <c r="H995" s="43">
        <v>600</v>
      </c>
      <c r="I995" s="35">
        <v>695</v>
      </c>
      <c r="J995" s="35">
        <v>0</v>
      </c>
      <c r="K995" s="36"/>
      <c r="L995" s="36"/>
      <c r="M995" s="36"/>
      <c r="N995" s="36"/>
      <c r="O995" s="36"/>
      <c r="P995" s="36"/>
      <c r="Q995" s="36"/>
      <c r="R995" s="36"/>
      <c r="S995" s="36"/>
      <c r="T995" s="36"/>
    </row>
    <row r="996" spans="1:20" ht="15.75">
      <c r="A996" s="13">
        <v>71833</v>
      </c>
      <c r="B996" s="44">
        <f t="shared" si="6"/>
        <v>31</v>
      </c>
      <c r="C996" s="35">
        <v>194.20500000000001</v>
      </c>
      <c r="D996" s="35">
        <v>267.46600000000001</v>
      </c>
      <c r="E996" s="41">
        <v>812.32899999999995</v>
      </c>
      <c r="F996" s="35">
        <v>1274</v>
      </c>
      <c r="G996" s="35">
        <v>50</v>
      </c>
      <c r="H996" s="43">
        <v>600</v>
      </c>
      <c r="I996" s="35">
        <v>695</v>
      </c>
      <c r="J996" s="35">
        <v>0</v>
      </c>
      <c r="K996" s="36"/>
      <c r="L996" s="36"/>
      <c r="M996" s="36"/>
      <c r="N996" s="36"/>
      <c r="O996" s="36"/>
      <c r="P996" s="36"/>
      <c r="Q996" s="36"/>
      <c r="R996" s="36"/>
      <c r="S996" s="36"/>
      <c r="T996" s="36"/>
    </row>
    <row r="997" spans="1:20" ht="15.75">
      <c r="A997" s="13">
        <v>71863</v>
      </c>
      <c r="B997" s="44">
        <f t="shared" si="6"/>
        <v>30</v>
      </c>
      <c r="C997" s="35">
        <v>194.20500000000001</v>
      </c>
      <c r="D997" s="35">
        <v>267.46600000000001</v>
      </c>
      <c r="E997" s="41">
        <v>812.32899999999995</v>
      </c>
      <c r="F997" s="35">
        <v>1274</v>
      </c>
      <c r="G997" s="35">
        <v>50</v>
      </c>
      <c r="H997" s="43">
        <v>600</v>
      </c>
      <c r="I997" s="35">
        <v>695</v>
      </c>
      <c r="J997" s="35">
        <v>0</v>
      </c>
      <c r="K997" s="36"/>
      <c r="L997" s="36"/>
      <c r="M997" s="36"/>
      <c r="N997" s="36"/>
      <c r="O997" s="36"/>
      <c r="P997" s="36"/>
      <c r="Q997" s="36"/>
      <c r="R997" s="36"/>
      <c r="S997" s="36"/>
      <c r="T997" s="36"/>
    </row>
    <row r="998" spans="1:20" ht="15.75">
      <c r="A998" s="13">
        <v>71894</v>
      </c>
      <c r="B998" s="44">
        <f t="shared" si="6"/>
        <v>31</v>
      </c>
      <c r="C998" s="35">
        <v>131.881</v>
      </c>
      <c r="D998" s="35">
        <v>277.16699999999997</v>
      </c>
      <c r="E998" s="41">
        <v>829.952</v>
      </c>
      <c r="F998" s="35">
        <v>1239</v>
      </c>
      <c r="G998" s="35">
        <v>75</v>
      </c>
      <c r="H998" s="43">
        <v>600</v>
      </c>
      <c r="I998" s="35">
        <v>695</v>
      </c>
      <c r="J998" s="35">
        <v>0</v>
      </c>
      <c r="K998" s="36"/>
      <c r="L998" s="36"/>
      <c r="M998" s="36"/>
      <c r="N998" s="36"/>
      <c r="O998" s="36"/>
      <c r="P998" s="36"/>
      <c r="Q998" s="36"/>
      <c r="R998" s="36"/>
      <c r="S998" s="36"/>
      <c r="T998" s="36"/>
    </row>
    <row r="999" spans="1:20" ht="15.75">
      <c r="A999" s="13">
        <v>71924</v>
      </c>
      <c r="B999" s="44">
        <f t="shared" si="6"/>
        <v>30</v>
      </c>
      <c r="C999" s="35">
        <v>122.58</v>
      </c>
      <c r="D999" s="35">
        <v>297.94099999999997</v>
      </c>
      <c r="E999" s="41">
        <v>729.47900000000004</v>
      </c>
      <c r="F999" s="35">
        <v>1150</v>
      </c>
      <c r="G999" s="35">
        <v>100</v>
      </c>
      <c r="H999" s="43">
        <v>600</v>
      </c>
      <c r="I999" s="35">
        <v>695</v>
      </c>
      <c r="J999" s="35">
        <v>50</v>
      </c>
      <c r="K999" s="36"/>
      <c r="L999" s="36"/>
      <c r="M999" s="36"/>
      <c r="N999" s="36"/>
      <c r="O999" s="36"/>
      <c r="P999" s="36"/>
      <c r="Q999" s="36"/>
      <c r="R999" s="36"/>
      <c r="S999" s="36"/>
      <c r="T999" s="36"/>
    </row>
    <row r="1000" spans="1:20" ht="15.75">
      <c r="A1000" s="13">
        <v>71955</v>
      </c>
      <c r="B1000" s="44">
        <f t="shared" si="6"/>
        <v>31</v>
      </c>
      <c r="C1000" s="35">
        <v>122.58</v>
      </c>
      <c r="D1000" s="35">
        <v>297.94099999999997</v>
      </c>
      <c r="E1000" s="41">
        <v>729.47900000000004</v>
      </c>
      <c r="F1000" s="35">
        <v>1150</v>
      </c>
      <c r="G1000" s="35">
        <v>100</v>
      </c>
      <c r="H1000" s="43">
        <v>600</v>
      </c>
      <c r="I1000" s="35">
        <v>695</v>
      </c>
      <c r="J1000" s="35">
        <v>50</v>
      </c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</row>
    <row r="1001" spans="1:20" ht="15.75">
      <c r="A1001" s="13">
        <v>71986</v>
      </c>
      <c r="B1001" s="44">
        <f t="shared" si="6"/>
        <v>31</v>
      </c>
      <c r="C1001" s="35">
        <v>122.58</v>
      </c>
      <c r="D1001" s="35">
        <v>297.94099999999997</v>
      </c>
      <c r="E1001" s="41">
        <v>729.47900000000004</v>
      </c>
      <c r="F1001" s="35">
        <v>1150</v>
      </c>
      <c r="G1001" s="35">
        <v>100</v>
      </c>
      <c r="H1001" s="43">
        <v>600</v>
      </c>
      <c r="I1001" s="35">
        <v>695</v>
      </c>
      <c r="J1001" s="35">
        <v>50</v>
      </c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</row>
    <row r="1002" spans="1:20" ht="15.75">
      <c r="A1002" s="13">
        <v>72014</v>
      </c>
      <c r="B1002" s="44">
        <f t="shared" si="6"/>
        <v>28</v>
      </c>
      <c r="C1002" s="35">
        <v>122.58</v>
      </c>
      <c r="D1002" s="35">
        <v>297.94099999999997</v>
      </c>
      <c r="E1002" s="41">
        <v>729.47900000000004</v>
      </c>
      <c r="F1002" s="35">
        <v>1150</v>
      </c>
      <c r="G1002" s="35">
        <v>100</v>
      </c>
      <c r="H1002" s="43">
        <v>600</v>
      </c>
      <c r="I1002" s="35">
        <v>695</v>
      </c>
      <c r="J1002" s="35">
        <v>50</v>
      </c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</row>
    <row r="1003" spans="1:20" ht="15.75">
      <c r="A1003" s="13">
        <v>72045</v>
      </c>
      <c r="B1003" s="44">
        <f t="shared" si="6"/>
        <v>31</v>
      </c>
      <c r="C1003" s="35">
        <v>122.58</v>
      </c>
      <c r="D1003" s="35">
        <v>297.94099999999997</v>
      </c>
      <c r="E1003" s="41">
        <v>729.47900000000004</v>
      </c>
      <c r="F1003" s="35">
        <v>1150</v>
      </c>
      <c r="G1003" s="35">
        <v>100</v>
      </c>
      <c r="H1003" s="43">
        <v>600</v>
      </c>
      <c r="I1003" s="35">
        <v>695</v>
      </c>
      <c r="J1003" s="35">
        <v>50</v>
      </c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</row>
    <row r="1004" spans="1:20" ht="15.75">
      <c r="A1004" s="13">
        <v>72075</v>
      </c>
      <c r="B1004" s="44">
        <f t="shared" si="6"/>
        <v>30</v>
      </c>
      <c r="C1004" s="35">
        <v>141.29300000000001</v>
      </c>
      <c r="D1004" s="35">
        <v>267.99299999999999</v>
      </c>
      <c r="E1004" s="41">
        <v>829.71400000000006</v>
      </c>
      <c r="F1004" s="35">
        <v>1239</v>
      </c>
      <c r="G1004" s="35">
        <v>100</v>
      </c>
      <c r="H1004" s="43">
        <v>600</v>
      </c>
      <c r="I1004" s="35">
        <v>695</v>
      </c>
      <c r="J1004" s="35">
        <v>50</v>
      </c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</row>
    <row r="1005" spans="1:20" ht="15.75">
      <c r="A1005" s="13">
        <v>72106</v>
      </c>
      <c r="B1005" s="44">
        <f t="shared" si="6"/>
        <v>31</v>
      </c>
      <c r="C1005" s="35">
        <v>194.20500000000001</v>
      </c>
      <c r="D1005" s="35">
        <v>267.46600000000001</v>
      </c>
      <c r="E1005" s="41">
        <v>812.32899999999995</v>
      </c>
      <c r="F1005" s="35">
        <v>1274</v>
      </c>
      <c r="G1005" s="35">
        <v>75</v>
      </c>
      <c r="H1005" s="43">
        <v>600</v>
      </c>
      <c r="I1005" s="35">
        <v>695</v>
      </c>
      <c r="J1005" s="35">
        <v>50</v>
      </c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</row>
    <row r="1006" spans="1:20" ht="15.75">
      <c r="A1006" s="13">
        <v>72136</v>
      </c>
      <c r="B1006" s="44">
        <f t="shared" si="6"/>
        <v>30</v>
      </c>
      <c r="C1006" s="35">
        <v>194.20500000000001</v>
      </c>
      <c r="D1006" s="35">
        <v>267.46600000000001</v>
      </c>
      <c r="E1006" s="41">
        <v>812.32899999999995</v>
      </c>
      <c r="F1006" s="35">
        <v>1274</v>
      </c>
      <c r="G1006" s="35">
        <v>50</v>
      </c>
      <c r="H1006" s="43">
        <v>600</v>
      </c>
      <c r="I1006" s="35">
        <v>695</v>
      </c>
      <c r="J1006" s="35">
        <v>50</v>
      </c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</row>
    <row r="1007" spans="1:20" ht="15.75">
      <c r="A1007" s="13">
        <v>72167</v>
      </c>
      <c r="B1007" s="44">
        <f t="shared" si="6"/>
        <v>31</v>
      </c>
      <c r="C1007" s="35">
        <v>194.20500000000001</v>
      </c>
      <c r="D1007" s="35">
        <v>267.46600000000001</v>
      </c>
      <c r="E1007" s="41">
        <v>812.32899999999995</v>
      </c>
      <c r="F1007" s="35">
        <v>1274</v>
      </c>
      <c r="G1007" s="35">
        <v>50</v>
      </c>
      <c r="H1007" s="43">
        <v>600</v>
      </c>
      <c r="I1007" s="35">
        <v>695</v>
      </c>
      <c r="J1007" s="35">
        <v>0</v>
      </c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</row>
    <row r="1008" spans="1:20" ht="15.75">
      <c r="A1008" s="13">
        <v>72198</v>
      </c>
      <c r="B1008" s="44">
        <f t="shared" si="6"/>
        <v>31</v>
      </c>
      <c r="C1008" s="35">
        <v>194.20500000000001</v>
      </c>
      <c r="D1008" s="35">
        <v>267.46600000000001</v>
      </c>
      <c r="E1008" s="41">
        <v>812.32899999999995</v>
      </c>
      <c r="F1008" s="35">
        <v>1274</v>
      </c>
      <c r="G1008" s="35">
        <v>50</v>
      </c>
      <c r="H1008" s="43">
        <v>600</v>
      </c>
      <c r="I1008" s="35">
        <v>695</v>
      </c>
      <c r="J1008" s="35">
        <v>0</v>
      </c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</row>
    <row r="1009" spans="1:20" ht="15.75">
      <c r="A1009" s="13">
        <v>72228</v>
      </c>
      <c r="B1009" s="44">
        <f t="shared" si="6"/>
        <v>30</v>
      </c>
      <c r="C1009" s="35">
        <v>194.20500000000001</v>
      </c>
      <c r="D1009" s="35">
        <v>267.46600000000001</v>
      </c>
      <c r="E1009" s="41">
        <v>812.32899999999995</v>
      </c>
      <c r="F1009" s="35">
        <v>1274</v>
      </c>
      <c r="G1009" s="35">
        <v>50</v>
      </c>
      <c r="H1009" s="43">
        <v>600</v>
      </c>
      <c r="I1009" s="35">
        <v>695</v>
      </c>
      <c r="J1009" s="35">
        <v>0</v>
      </c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</row>
    <row r="1010" spans="1:20" ht="15.75">
      <c r="A1010" s="13">
        <v>72259</v>
      </c>
      <c r="B1010" s="44">
        <f t="shared" si="6"/>
        <v>31</v>
      </c>
      <c r="C1010" s="35">
        <v>131.881</v>
      </c>
      <c r="D1010" s="35">
        <v>277.16699999999997</v>
      </c>
      <c r="E1010" s="41">
        <v>829.952</v>
      </c>
      <c r="F1010" s="35">
        <v>1239</v>
      </c>
      <c r="G1010" s="35">
        <v>75</v>
      </c>
      <c r="H1010" s="43">
        <v>600</v>
      </c>
      <c r="I1010" s="35">
        <v>695</v>
      </c>
      <c r="J1010" s="35">
        <v>0</v>
      </c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</row>
    <row r="1011" spans="1:20" ht="15.75">
      <c r="A1011" s="13">
        <v>72289</v>
      </c>
      <c r="B1011" s="44">
        <f t="shared" si="6"/>
        <v>30</v>
      </c>
      <c r="C1011" s="35">
        <v>122.58</v>
      </c>
      <c r="D1011" s="35">
        <v>297.94099999999997</v>
      </c>
      <c r="E1011" s="41">
        <v>729.47900000000004</v>
      </c>
      <c r="F1011" s="35">
        <v>1150</v>
      </c>
      <c r="G1011" s="35">
        <v>100</v>
      </c>
      <c r="H1011" s="43">
        <v>600</v>
      </c>
      <c r="I1011" s="35">
        <v>695</v>
      </c>
      <c r="J1011" s="35">
        <v>50</v>
      </c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</row>
    <row r="1012" spans="1:20" ht="15.75">
      <c r="A1012" s="13">
        <v>72320</v>
      </c>
      <c r="B1012" s="44">
        <f t="shared" si="6"/>
        <v>31</v>
      </c>
      <c r="C1012" s="35">
        <v>122.58</v>
      </c>
      <c r="D1012" s="35">
        <v>297.94099999999997</v>
      </c>
      <c r="E1012" s="41">
        <v>729.47900000000004</v>
      </c>
      <c r="F1012" s="35">
        <v>1150</v>
      </c>
      <c r="G1012" s="35">
        <v>100</v>
      </c>
      <c r="H1012" s="43">
        <v>600</v>
      </c>
      <c r="I1012" s="35">
        <v>695</v>
      </c>
      <c r="J1012" s="35">
        <v>50</v>
      </c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</row>
    <row r="1013" spans="1:20" ht="15.75">
      <c r="A1013" s="13">
        <v>72351</v>
      </c>
      <c r="B1013" s="44">
        <f t="shared" si="6"/>
        <v>31</v>
      </c>
      <c r="C1013" s="35">
        <v>122.58</v>
      </c>
      <c r="D1013" s="35">
        <v>297.94099999999997</v>
      </c>
      <c r="E1013" s="41">
        <v>729.47900000000004</v>
      </c>
      <c r="F1013" s="35">
        <v>1150</v>
      </c>
      <c r="G1013" s="35">
        <v>100</v>
      </c>
      <c r="H1013" s="43">
        <v>600</v>
      </c>
      <c r="I1013" s="35">
        <v>695</v>
      </c>
      <c r="J1013" s="35">
        <v>50</v>
      </c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</row>
    <row r="1014" spans="1:20" ht="15.75">
      <c r="A1014" s="13">
        <v>72379</v>
      </c>
      <c r="B1014" s="44">
        <f t="shared" si="6"/>
        <v>28</v>
      </c>
      <c r="C1014" s="35">
        <v>122.58</v>
      </c>
      <c r="D1014" s="35">
        <v>297.94099999999997</v>
      </c>
      <c r="E1014" s="41">
        <v>729.47900000000004</v>
      </c>
      <c r="F1014" s="35">
        <v>1150</v>
      </c>
      <c r="G1014" s="35">
        <v>100</v>
      </c>
      <c r="H1014" s="43">
        <v>600</v>
      </c>
      <c r="I1014" s="35">
        <v>695</v>
      </c>
      <c r="J1014" s="35">
        <v>50</v>
      </c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</row>
    <row r="1015" spans="1:20" ht="15.75">
      <c r="A1015" s="13">
        <v>72410</v>
      </c>
      <c r="B1015" s="44">
        <f t="shared" si="6"/>
        <v>31</v>
      </c>
      <c r="C1015" s="35">
        <v>122.58</v>
      </c>
      <c r="D1015" s="35">
        <v>297.94099999999997</v>
      </c>
      <c r="E1015" s="41">
        <v>729.47900000000004</v>
      </c>
      <c r="F1015" s="35">
        <v>1150</v>
      </c>
      <c r="G1015" s="35">
        <v>100</v>
      </c>
      <c r="H1015" s="43">
        <v>600</v>
      </c>
      <c r="I1015" s="35">
        <v>695</v>
      </c>
      <c r="J1015" s="35">
        <v>50</v>
      </c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</row>
    <row r="1016" spans="1:20" ht="15.75">
      <c r="A1016" s="13">
        <v>72440</v>
      </c>
      <c r="B1016" s="44">
        <f t="shared" si="6"/>
        <v>30</v>
      </c>
      <c r="C1016" s="35">
        <v>141.29300000000001</v>
      </c>
      <c r="D1016" s="35">
        <v>267.99299999999999</v>
      </c>
      <c r="E1016" s="41">
        <v>829.71400000000006</v>
      </c>
      <c r="F1016" s="35">
        <v>1239</v>
      </c>
      <c r="G1016" s="35">
        <v>100</v>
      </c>
      <c r="H1016" s="43">
        <v>600</v>
      </c>
      <c r="I1016" s="35">
        <v>695</v>
      </c>
      <c r="J1016" s="35">
        <v>50</v>
      </c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</row>
    <row r="1017" spans="1:20" ht="15.75">
      <c r="A1017" s="13">
        <v>72471</v>
      </c>
      <c r="B1017" s="44">
        <f t="shared" si="6"/>
        <v>31</v>
      </c>
      <c r="C1017" s="35">
        <v>194.20500000000001</v>
      </c>
      <c r="D1017" s="35">
        <v>267.46600000000001</v>
      </c>
      <c r="E1017" s="41">
        <v>812.32899999999995</v>
      </c>
      <c r="F1017" s="35">
        <v>1274</v>
      </c>
      <c r="G1017" s="35">
        <v>75</v>
      </c>
      <c r="H1017" s="43">
        <v>600</v>
      </c>
      <c r="I1017" s="35">
        <v>695</v>
      </c>
      <c r="J1017" s="35">
        <v>50</v>
      </c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</row>
    <row r="1018" spans="1:20" ht="15.75">
      <c r="A1018" s="13">
        <v>72501</v>
      </c>
      <c r="B1018" s="44">
        <f t="shared" si="6"/>
        <v>30</v>
      </c>
      <c r="C1018" s="35">
        <v>194.20500000000001</v>
      </c>
      <c r="D1018" s="35">
        <v>267.46600000000001</v>
      </c>
      <c r="E1018" s="41">
        <v>812.32899999999995</v>
      </c>
      <c r="F1018" s="35">
        <v>1274</v>
      </c>
      <c r="G1018" s="35">
        <v>50</v>
      </c>
      <c r="H1018" s="43">
        <v>600</v>
      </c>
      <c r="I1018" s="35">
        <v>695</v>
      </c>
      <c r="J1018" s="35">
        <v>50</v>
      </c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</row>
    <row r="1019" spans="1:20" ht="15.75">
      <c r="A1019" s="13">
        <v>72532</v>
      </c>
      <c r="B1019" s="44">
        <f t="shared" si="6"/>
        <v>31</v>
      </c>
      <c r="C1019" s="35">
        <v>194.20500000000001</v>
      </c>
      <c r="D1019" s="35">
        <v>267.46600000000001</v>
      </c>
      <c r="E1019" s="41">
        <v>812.32899999999995</v>
      </c>
      <c r="F1019" s="35">
        <v>1274</v>
      </c>
      <c r="G1019" s="35">
        <v>50</v>
      </c>
      <c r="H1019" s="43">
        <v>600</v>
      </c>
      <c r="I1019" s="35">
        <v>695</v>
      </c>
      <c r="J1019" s="35">
        <v>0</v>
      </c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</row>
    <row r="1020" spans="1:20" ht="15.75">
      <c r="A1020" s="13">
        <v>72563</v>
      </c>
      <c r="B1020" s="44">
        <f t="shared" si="6"/>
        <v>31</v>
      </c>
      <c r="C1020" s="35">
        <v>194.20500000000001</v>
      </c>
      <c r="D1020" s="35">
        <v>267.46600000000001</v>
      </c>
      <c r="E1020" s="41">
        <v>812.32899999999995</v>
      </c>
      <c r="F1020" s="35">
        <v>1274</v>
      </c>
      <c r="G1020" s="35">
        <v>50</v>
      </c>
      <c r="H1020" s="43">
        <v>600</v>
      </c>
      <c r="I1020" s="35">
        <v>695</v>
      </c>
      <c r="J1020" s="35">
        <v>0</v>
      </c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</row>
    <row r="1021" spans="1:20" ht="15.75">
      <c r="A1021" s="13">
        <v>72593</v>
      </c>
      <c r="B1021" s="44">
        <f t="shared" si="6"/>
        <v>30</v>
      </c>
      <c r="C1021" s="35">
        <v>194.20500000000001</v>
      </c>
      <c r="D1021" s="35">
        <v>267.46600000000001</v>
      </c>
      <c r="E1021" s="41">
        <v>812.32899999999995</v>
      </c>
      <c r="F1021" s="35">
        <v>1274</v>
      </c>
      <c r="G1021" s="35">
        <v>50</v>
      </c>
      <c r="H1021" s="43">
        <v>600</v>
      </c>
      <c r="I1021" s="35">
        <v>695</v>
      </c>
      <c r="J1021" s="35">
        <v>0</v>
      </c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</row>
    <row r="1022" spans="1:20" ht="15.75">
      <c r="A1022" s="13">
        <v>72624</v>
      </c>
      <c r="B1022" s="44">
        <f t="shared" si="6"/>
        <v>31</v>
      </c>
      <c r="C1022" s="35">
        <v>131.881</v>
      </c>
      <c r="D1022" s="35">
        <v>277.16699999999997</v>
      </c>
      <c r="E1022" s="41">
        <v>829.952</v>
      </c>
      <c r="F1022" s="35">
        <v>1239</v>
      </c>
      <c r="G1022" s="35">
        <v>75</v>
      </c>
      <c r="H1022" s="43">
        <v>600</v>
      </c>
      <c r="I1022" s="35">
        <v>695</v>
      </c>
      <c r="J1022" s="35">
        <v>0</v>
      </c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</row>
    <row r="1023" spans="1:20" ht="15.75">
      <c r="A1023" s="13">
        <v>72654</v>
      </c>
      <c r="B1023" s="44">
        <f t="shared" si="6"/>
        <v>30</v>
      </c>
      <c r="C1023" s="35">
        <v>122.58</v>
      </c>
      <c r="D1023" s="35">
        <v>297.94099999999997</v>
      </c>
      <c r="E1023" s="41">
        <v>729.47900000000004</v>
      </c>
      <c r="F1023" s="35">
        <v>1150</v>
      </c>
      <c r="G1023" s="35">
        <v>100</v>
      </c>
      <c r="H1023" s="43">
        <v>600</v>
      </c>
      <c r="I1023" s="35">
        <v>695</v>
      </c>
      <c r="J1023" s="35">
        <v>50</v>
      </c>
      <c r="K1023" s="36"/>
      <c r="L1023" s="36"/>
      <c r="M1023" s="36"/>
      <c r="N1023" s="36"/>
      <c r="O1023" s="36"/>
      <c r="P1023" s="36"/>
      <c r="Q1023" s="36"/>
      <c r="R1023" s="36"/>
      <c r="S1023" s="36"/>
      <c r="T1023" s="36"/>
    </row>
    <row r="1024" spans="1:20" ht="15.75">
      <c r="A1024" s="13">
        <v>72685</v>
      </c>
      <c r="B1024" s="44">
        <f t="shared" si="6"/>
        <v>31</v>
      </c>
      <c r="C1024" s="35">
        <v>122.58</v>
      </c>
      <c r="D1024" s="35">
        <v>297.94099999999997</v>
      </c>
      <c r="E1024" s="41">
        <v>729.47900000000004</v>
      </c>
      <c r="F1024" s="35">
        <v>1150</v>
      </c>
      <c r="G1024" s="35">
        <v>100</v>
      </c>
      <c r="H1024" s="43">
        <v>600</v>
      </c>
      <c r="I1024" s="35">
        <v>695</v>
      </c>
      <c r="J1024" s="35">
        <v>50</v>
      </c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</row>
    <row r="1025" spans="1:20" ht="15.75">
      <c r="A1025" s="13">
        <v>72716</v>
      </c>
      <c r="B1025" s="44">
        <f t="shared" si="6"/>
        <v>31</v>
      </c>
      <c r="C1025" s="35">
        <v>122.58</v>
      </c>
      <c r="D1025" s="35">
        <v>297.94099999999997</v>
      </c>
      <c r="E1025" s="41">
        <v>729.47900000000004</v>
      </c>
      <c r="F1025" s="35">
        <v>1150</v>
      </c>
      <c r="G1025" s="35">
        <v>100</v>
      </c>
      <c r="H1025" s="43">
        <v>600</v>
      </c>
      <c r="I1025" s="35">
        <v>695</v>
      </c>
      <c r="J1025" s="35">
        <v>50</v>
      </c>
      <c r="K1025" s="36"/>
      <c r="L1025" s="36"/>
      <c r="M1025" s="36"/>
      <c r="N1025" s="36"/>
      <c r="O1025" s="36"/>
      <c r="P1025" s="36"/>
      <c r="Q1025" s="36"/>
      <c r="R1025" s="36"/>
      <c r="S1025" s="36"/>
      <c r="T1025" s="36"/>
    </row>
    <row r="1026" spans="1:20" ht="15.75">
      <c r="A1026" s="13">
        <v>72744</v>
      </c>
      <c r="B1026" s="44">
        <f t="shared" si="6"/>
        <v>28</v>
      </c>
      <c r="C1026" s="35">
        <v>122.58</v>
      </c>
      <c r="D1026" s="35">
        <v>297.94099999999997</v>
      </c>
      <c r="E1026" s="41">
        <v>729.47900000000004</v>
      </c>
      <c r="F1026" s="35">
        <v>1150</v>
      </c>
      <c r="G1026" s="35">
        <v>100</v>
      </c>
      <c r="H1026" s="43">
        <v>600</v>
      </c>
      <c r="I1026" s="35">
        <v>695</v>
      </c>
      <c r="J1026" s="35">
        <v>50</v>
      </c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</row>
    <row r="1027" spans="1:20" ht="15.75">
      <c r="A1027" s="13">
        <v>72775</v>
      </c>
      <c r="B1027" s="44">
        <f t="shared" si="6"/>
        <v>31</v>
      </c>
      <c r="C1027" s="35">
        <v>122.58</v>
      </c>
      <c r="D1027" s="35">
        <v>297.94099999999997</v>
      </c>
      <c r="E1027" s="41">
        <v>729.47900000000004</v>
      </c>
      <c r="F1027" s="35">
        <v>1150</v>
      </c>
      <c r="G1027" s="35">
        <v>100</v>
      </c>
      <c r="H1027" s="43">
        <v>600</v>
      </c>
      <c r="I1027" s="35">
        <v>695</v>
      </c>
      <c r="J1027" s="35">
        <v>50</v>
      </c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</row>
    <row r="1028" spans="1:20" ht="15.75">
      <c r="A1028" s="13">
        <v>72805</v>
      </c>
      <c r="B1028" s="44">
        <f t="shared" si="6"/>
        <v>30</v>
      </c>
      <c r="C1028" s="35">
        <v>141.29300000000001</v>
      </c>
      <c r="D1028" s="35">
        <v>267.99299999999999</v>
      </c>
      <c r="E1028" s="41">
        <v>829.71400000000006</v>
      </c>
      <c r="F1028" s="35">
        <v>1239</v>
      </c>
      <c r="G1028" s="35">
        <v>100</v>
      </c>
      <c r="H1028" s="43">
        <v>600</v>
      </c>
      <c r="I1028" s="35">
        <v>695</v>
      </c>
      <c r="J1028" s="35">
        <v>50</v>
      </c>
      <c r="K1028" s="36"/>
      <c r="L1028" s="36"/>
      <c r="M1028" s="36"/>
      <c r="N1028" s="36"/>
      <c r="O1028" s="36"/>
      <c r="P1028" s="36"/>
      <c r="Q1028" s="36"/>
      <c r="R1028" s="36"/>
      <c r="S1028" s="36"/>
      <c r="T1028" s="36"/>
    </row>
    <row r="1029" spans="1:20" ht="15.75">
      <c r="A1029" s="13">
        <v>72836</v>
      </c>
      <c r="B1029" s="44">
        <f t="shared" ref="B1029:B1048" si="7">EOMONTH(A1029,0)-EOMONTH(A1029,-1)</f>
        <v>31</v>
      </c>
      <c r="C1029" s="35">
        <v>194.20500000000001</v>
      </c>
      <c r="D1029" s="35">
        <v>267.46600000000001</v>
      </c>
      <c r="E1029" s="41">
        <v>812.32899999999995</v>
      </c>
      <c r="F1029" s="35">
        <v>1274</v>
      </c>
      <c r="G1029" s="35">
        <v>75</v>
      </c>
      <c r="H1029" s="43">
        <v>600</v>
      </c>
      <c r="I1029" s="35">
        <v>695</v>
      </c>
      <c r="J1029" s="35">
        <v>50</v>
      </c>
      <c r="K1029" s="36"/>
      <c r="L1029" s="36"/>
      <c r="M1029" s="36"/>
      <c r="N1029" s="36"/>
      <c r="O1029" s="36"/>
      <c r="P1029" s="36"/>
      <c r="Q1029" s="36"/>
      <c r="R1029" s="36"/>
      <c r="S1029" s="36"/>
      <c r="T1029" s="36"/>
    </row>
    <row r="1030" spans="1:20" ht="15.75">
      <c r="A1030" s="13">
        <v>72866</v>
      </c>
      <c r="B1030" s="44">
        <f t="shared" si="7"/>
        <v>30</v>
      </c>
      <c r="C1030" s="35">
        <v>194.20500000000001</v>
      </c>
      <c r="D1030" s="35">
        <v>267.46600000000001</v>
      </c>
      <c r="E1030" s="41">
        <v>812.32899999999995</v>
      </c>
      <c r="F1030" s="35">
        <v>1274</v>
      </c>
      <c r="G1030" s="35">
        <v>50</v>
      </c>
      <c r="H1030" s="43">
        <v>600</v>
      </c>
      <c r="I1030" s="35">
        <v>695</v>
      </c>
      <c r="J1030" s="35">
        <v>50</v>
      </c>
      <c r="K1030" s="36"/>
      <c r="L1030" s="36"/>
      <c r="M1030" s="36"/>
      <c r="N1030" s="36"/>
      <c r="O1030" s="36"/>
      <c r="P1030" s="36"/>
      <c r="Q1030" s="36"/>
      <c r="R1030" s="36"/>
      <c r="S1030" s="36"/>
      <c r="T1030" s="36"/>
    </row>
    <row r="1031" spans="1:20" ht="15.75">
      <c r="A1031" s="13">
        <v>72897</v>
      </c>
      <c r="B1031" s="44">
        <f t="shared" si="7"/>
        <v>31</v>
      </c>
      <c r="C1031" s="35">
        <v>194.20500000000001</v>
      </c>
      <c r="D1031" s="35">
        <v>267.46600000000001</v>
      </c>
      <c r="E1031" s="41">
        <v>812.32899999999995</v>
      </c>
      <c r="F1031" s="35">
        <v>1274</v>
      </c>
      <c r="G1031" s="35">
        <v>50</v>
      </c>
      <c r="H1031" s="43">
        <v>600</v>
      </c>
      <c r="I1031" s="35">
        <v>695</v>
      </c>
      <c r="J1031" s="35">
        <v>0</v>
      </c>
      <c r="K1031" s="36"/>
      <c r="L1031" s="36"/>
      <c r="M1031" s="36"/>
      <c r="N1031" s="36"/>
      <c r="O1031" s="36"/>
      <c r="P1031" s="36"/>
      <c r="Q1031" s="36"/>
      <c r="R1031" s="36"/>
      <c r="S1031" s="36"/>
      <c r="T1031" s="36"/>
    </row>
    <row r="1032" spans="1:20" ht="15.75">
      <c r="A1032" s="13">
        <v>72928</v>
      </c>
      <c r="B1032" s="44">
        <f t="shared" si="7"/>
        <v>31</v>
      </c>
      <c r="C1032" s="35">
        <v>194.20500000000001</v>
      </c>
      <c r="D1032" s="35">
        <v>267.46600000000001</v>
      </c>
      <c r="E1032" s="41">
        <v>812.32899999999995</v>
      </c>
      <c r="F1032" s="35">
        <v>1274</v>
      </c>
      <c r="G1032" s="35">
        <v>50</v>
      </c>
      <c r="H1032" s="43">
        <v>600</v>
      </c>
      <c r="I1032" s="35">
        <v>695</v>
      </c>
      <c r="J1032" s="35">
        <v>0</v>
      </c>
      <c r="K1032" s="36"/>
      <c r="L1032" s="36"/>
      <c r="M1032" s="36"/>
      <c r="N1032" s="36"/>
      <c r="O1032" s="36"/>
      <c r="P1032" s="36"/>
      <c r="Q1032" s="36"/>
      <c r="R1032" s="36"/>
      <c r="S1032" s="36"/>
      <c r="T1032" s="36"/>
    </row>
    <row r="1033" spans="1:20" ht="15.75">
      <c r="A1033" s="13">
        <v>72958</v>
      </c>
      <c r="B1033" s="44">
        <f t="shared" si="7"/>
        <v>30</v>
      </c>
      <c r="C1033" s="35">
        <v>194.20500000000001</v>
      </c>
      <c r="D1033" s="35">
        <v>267.46600000000001</v>
      </c>
      <c r="E1033" s="41">
        <v>812.32899999999995</v>
      </c>
      <c r="F1033" s="35">
        <v>1274</v>
      </c>
      <c r="G1033" s="35">
        <v>50</v>
      </c>
      <c r="H1033" s="43">
        <v>600</v>
      </c>
      <c r="I1033" s="35">
        <v>695</v>
      </c>
      <c r="J1033" s="35">
        <v>0</v>
      </c>
      <c r="K1033" s="36"/>
      <c r="L1033" s="36"/>
      <c r="M1033" s="36"/>
      <c r="N1033" s="36"/>
      <c r="O1033" s="36"/>
      <c r="P1033" s="36"/>
      <c r="Q1033" s="36"/>
      <c r="R1033" s="36"/>
      <c r="S1033" s="36"/>
      <c r="T1033" s="36"/>
    </row>
    <row r="1034" spans="1:20" ht="15.75">
      <c r="A1034" s="13">
        <v>72989</v>
      </c>
      <c r="B1034" s="44">
        <f t="shared" si="7"/>
        <v>31</v>
      </c>
      <c r="C1034" s="35">
        <v>131.881</v>
      </c>
      <c r="D1034" s="35">
        <v>277.16699999999997</v>
      </c>
      <c r="E1034" s="41">
        <v>829.952</v>
      </c>
      <c r="F1034" s="35">
        <v>1239</v>
      </c>
      <c r="G1034" s="35">
        <v>75</v>
      </c>
      <c r="H1034" s="43">
        <v>600</v>
      </c>
      <c r="I1034" s="35">
        <v>695</v>
      </c>
      <c r="J1034" s="35">
        <v>0</v>
      </c>
      <c r="K1034" s="36"/>
      <c r="L1034" s="36"/>
      <c r="M1034" s="36"/>
      <c r="N1034" s="36"/>
      <c r="O1034" s="36"/>
      <c r="P1034" s="36"/>
      <c r="Q1034" s="36"/>
      <c r="R1034" s="36"/>
      <c r="S1034" s="36"/>
      <c r="T1034" s="36"/>
    </row>
    <row r="1035" spans="1:20" ht="15.75">
      <c r="A1035" s="13">
        <v>73019</v>
      </c>
      <c r="B1035" s="44">
        <f t="shared" si="7"/>
        <v>30</v>
      </c>
      <c r="C1035" s="35">
        <v>122.58</v>
      </c>
      <c r="D1035" s="35">
        <v>297.94099999999997</v>
      </c>
      <c r="E1035" s="41">
        <v>729.47900000000004</v>
      </c>
      <c r="F1035" s="35">
        <v>1150</v>
      </c>
      <c r="G1035" s="35">
        <v>100</v>
      </c>
      <c r="H1035" s="43">
        <v>600</v>
      </c>
      <c r="I1035" s="35">
        <v>695</v>
      </c>
      <c r="J1035" s="35">
        <v>50</v>
      </c>
      <c r="K1035" s="36"/>
      <c r="L1035" s="36"/>
      <c r="M1035" s="36"/>
      <c r="N1035" s="36"/>
      <c r="O1035" s="36"/>
      <c r="P1035" s="36"/>
      <c r="Q1035" s="36"/>
      <c r="R1035" s="36"/>
      <c r="S1035" s="36"/>
      <c r="T1035" s="36"/>
    </row>
    <row r="1036" spans="1:20" ht="15.75">
      <c r="A1036" s="13">
        <v>73050</v>
      </c>
      <c r="B1036" s="44">
        <f t="shared" si="7"/>
        <v>31</v>
      </c>
      <c r="C1036" s="35">
        <v>122.58</v>
      </c>
      <c r="D1036" s="35">
        <v>297.94099999999997</v>
      </c>
      <c r="E1036" s="41">
        <v>729.47900000000004</v>
      </c>
      <c r="F1036" s="35">
        <v>1150</v>
      </c>
      <c r="G1036" s="35">
        <v>100</v>
      </c>
      <c r="H1036" s="43">
        <v>600</v>
      </c>
      <c r="I1036" s="35">
        <v>695</v>
      </c>
      <c r="J1036" s="35">
        <v>50</v>
      </c>
      <c r="K1036" s="36"/>
      <c r="L1036" s="36"/>
      <c r="M1036" s="36"/>
      <c r="N1036" s="36"/>
      <c r="O1036" s="36"/>
      <c r="P1036" s="36"/>
      <c r="Q1036" s="36"/>
      <c r="R1036" s="36"/>
      <c r="S1036" s="36"/>
      <c r="T1036" s="36"/>
    </row>
    <row r="1037" spans="1:20" ht="15.75">
      <c r="A1037" s="13">
        <v>73081</v>
      </c>
      <c r="B1037" s="44">
        <f t="shared" si="7"/>
        <v>31</v>
      </c>
      <c r="C1037" s="35">
        <v>122.58</v>
      </c>
      <c r="D1037" s="35">
        <v>297.94099999999997</v>
      </c>
      <c r="E1037" s="41">
        <v>729.47900000000004</v>
      </c>
      <c r="F1037" s="35">
        <v>1150</v>
      </c>
      <c r="G1037" s="35">
        <v>100</v>
      </c>
      <c r="H1037" s="43">
        <v>600</v>
      </c>
      <c r="I1037" s="35">
        <v>695</v>
      </c>
      <c r="J1037" s="35">
        <v>50</v>
      </c>
      <c r="K1037" s="36"/>
      <c r="L1037" s="36"/>
      <c r="M1037" s="36"/>
      <c r="N1037" s="36"/>
      <c r="O1037" s="36"/>
      <c r="P1037" s="36"/>
      <c r="Q1037" s="36"/>
      <c r="R1037" s="36"/>
      <c r="S1037" s="36"/>
      <c r="T1037" s="36"/>
    </row>
    <row r="1038" spans="1:20" ht="15.75">
      <c r="A1038" s="13">
        <v>73109</v>
      </c>
      <c r="B1038" s="44">
        <f t="shared" si="7"/>
        <v>28</v>
      </c>
      <c r="C1038" s="35">
        <v>122.58</v>
      </c>
      <c r="D1038" s="35">
        <v>297.94099999999997</v>
      </c>
      <c r="E1038" s="41">
        <v>729.47900000000004</v>
      </c>
      <c r="F1038" s="35">
        <v>1150</v>
      </c>
      <c r="G1038" s="35">
        <v>100</v>
      </c>
      <c r="H1038" s="43">
        <v>600</v>
      </c>
      <c r="I1038" s="35">
        <v>695</v>
      </c>
      <c r="J1038" s="35">
        <v>50</v>
      </c>
      <c r="K1038" s="36"/>
      <c r="L1038" s="36"/>
      <c r="M1038" s="36"/>
      <c r="N1038" s="36"/>
      <c r="O1038" s="36"/>
      <c r="P1038" s="36"/>
      <c r="Q1038" s="36"/>
      <c r="R1038" s="36"/>
      <c r="S1038" s="36"/>
      <c r="T1038" s="36"/>
    </row>
    <row r="1039" spans="1:20" ht="15.75">
      <c r="A1039" s="13">
        <v>73140</v>
      </c>
      <c r="B1039" s="44">
        <f t="shared" si="7"/>
        <v>31</v>
      </c>
      <c r="C1039" s="35">
        <v>122.58</v>
      </c>
      <c r="D1039" s="35">
        <v>297.94099999999997</v>
      </c>
      <c r="E1039" s="41">
        <v>729.47900000000004</v>
      </c>
      <c r="F1039" s="35">
        <v>1150</v>
      </c>
      <c r="G1039" s="35">
        <v>100</v>
      </c>
      <c r="H1039" s="43">
        <v>600</v>
      </c>
      <c r="I1039" s="35">
        <v>695</v>
      </c>
      <c r="J1039" s="35">
        <v>50</v>
      </c>
      <c r="K1039" s="36"/>
      <c r="L1039" s="36"/>
      <c r="M1039" s="36"/>
      <c r="N1039" s="36"/>
      <c r="O1039" s="36"/>
      <c r="P1039" s="36"/>
      <c r="Q1039" s="36"/>
      <c r="R1039" s="36"/>
      <c r="S1039" s="36"/>
      <c r="T1039" s="36"/>
    </row>
    <row r="1040" spans="1:20" ht="15.75">
      <c r="A1040" s="13">
        <v>73170</v>
      </c>
      <c r="B1040" s="44">
        <f t="shared" si="7"/>
        <v>30</v>
      </c>
      <c r="C1040" s="35">
        <v>141.29300000000001</v>
      </c>
      <c r="D1040" s="35">
        <v>267.99299999999999</v>
      </c>
      <c r="E1040" s="41">
        <v>829.71400000000006</v>
      </c>
      <c r="F1040" s="35">
        <v>1239</v>
      </c>
      <c r="G1040" s="35">
        <v>100</v>
      </c>
      <c r="H1040" s="43">
        <v>600</v>
      </c>
      <c r="I1040" s="35">
        <v>695</v>
      </c>
      <c r="J1040" s="35">
        <v>50</v>
      </c>
      <c r="K1040" s="36"/>
      <c r="L1040" s="36"/>
      <c r="M1040" s="36"/>
      <c r="N1040" s="36"/>
      <c r="O1040" s="36"/>
      <c r="P1040" s="36"/>
      <c r="Q1040" s="36"/>
      <c r="R1040" s="36"/>
      <c r="S1040" s="36"/>
      <c r="T1040" s="36"/>
    </row>
    <row r="1041" spans="1:20" ht="15.75">
      <c r="A1041" s="13">
        <v>73201</v>
      </c>
      <c r="B1041" s="44">
        <f t="shared" si="7"/>
        <v>31</v>
      </c>
      <c r="C1041" s="35">
        <v>194.20500000000001</v>
      </c>
      <c r="D1041" s="35">
        <v>267.46600000000001</v>
      </c>
      <c r="E1041" s="41">
        <v>812.32899999999995</v>
      </c>
      <c r="F1041" s="35">
        <v>1274</v>
      </c>
      <c r="G1041" s="35">
        <v>75</v>
      </c>
      <c r="H1041" s="43">
        <v>600</v>
      </c>
      <c r="I1041" s="35">
        <v>695</v>
      </c>
      <c r="J1041" s="35">
        <v>50</v>
      </c>
      <c r="K1041" s="36"/>
      <c r="L1041" s="36"/>
      <c r="M1041" s="36"/>
      <c r="N1041" s="36"/>
      <c r="O1041" s="36"/>
      <c r="P1041" s="36"/>
      <c r="Q1041" s="36"/>
      <c r="R1041" s="36"/>
      <c r="S1041" s="36"/>
      <c r="T1041" s="36"/>
    </row>
    <row r="1042" spans="1:20" ht="15.75">
      <c r="A1042" s="13">
        <v>73231</v>
      </c>
      <c r="B1042" s="44">
        <f t="shared" si="7"/>
        <v>30</v>
      </c>
      <c r="C1042" s="35">
        <v>194.20500000000001</v>
      </c>
      <c r="D1042" s="35">
        <v>267.46600000000001</v>
      </c>
      <c r="E1042" s="41">
        <v>812.32899999999995</v>
      </c>
      <c r="F1042" s="35">
        <v>1274</v>
      </c>
      <c r="G1042" s="35">
        <v>50</v>
      </c>
      <c r="H1042" s="43">
        <v>600</v>
      </c>
      <c r="I1042" s="35">
        <v>695</v>
      </c>
      <c r="J1042" s="35">
        <v>50</v>
      </c>
      <c r="K1042" s="36"/>
      <c r="L1042" s="36"/>
      <c r="M1042" s="36"/>
      <c r="N1042" s="36"/>
      <c r="O1042" s="36"/>
      <c r="P1042" s="36"/>
      <c r="Q1042" s="36"/>
      <c r="R1042" s="36"/>
      <c r="S1042" s="36"/>
      <c r="T1042" s="36"/>
    </row>
    <row r="1043" spans="1:20" ht="15.75">
      <c r="A1043" s="13">
        <v>73262</v>
      </c>
      <c r="B1043" s="44">
        <f t="shared" si="7"/>
        <v>31</v>
      </c>
      <c r="C1043" s="35">
        <v>194.20500000000001</v>
      </c>
      <c r="D1043" s="35">
        <v>267.46600000000001</v>
      </c>
      <c r="E1043" s="41">
        <v>812.32899999999995</v>
      </c>
      <c r="F1043" s="35">
        <v>1274</v>
      </c>
      <c r="G1043" s="35">
        <v>50</v>
      </c>
      <c r="H1043" s="43">
        <v>600</v>
      </c>
      <c r="I1043" s="35">
        <v>695</v>
      </c>
      <c r="J1043" s="35">
        <v>0</v>
      </c>
      <c r="K1043" s="36"/>
      <c r="L1043" s="36"/>
      <c r="M1043" s="36"/>
      <c r="N1043" s="36"/>
      <c r="O1043" s="36"/>
      <c r="P1043" s="36"/>
      <c r="Q1043" s="36"/>
      <c r="R1043" s="36"/>
      <c r="S1043" s="36"/>
      <c r="T1043" s="36"/>
    </row>
    <row r="1044" spans="1:20" ht="15.75">
      <c r="A1044" s="13">
        <v>73293</v>
      </c>
      <c r="B1044" s="44">
        <f t="shared" si="7"/>
        <v>31</v>
      </c>
      <c r="C1044" s="35">
        <v>194.20500000000001</v>
      </c>
      <c r="D1044" s="35">
        <v>267.46600000000001</v>
      </c>
      <c r="E1044" s="41">
        <v>812.32899999999995</v>
      </c>
      <c r="F1044" s="35">
        <v>1274</v>
      </c>
      <c r="G1044" s="35">
        <v>50</v>
      </c>
      <c r="H1044" s="43">
        <v>600</v>
      </c>
      <c r="I1044" s="35">
        <v>695</v>
      </c>
      <c r="J1044" s="35">
        <v>0</v>
      </c>
      <c r="K1044" s="36"/>
      <c r="L1044" s="36"/>
      <c r="M1044" s="36"/>
      <c r="N1044" s="36"/>
      <c r="O1044" s="36"/>
      <c r="P1044" s="36"/>
      <c r="Q1044" s="36"/>
      <c r="R1044" s="36"/>
      <c r="S1044" s="36"/>
      <c r="T1044" s="36"/>
    </row>
    <row r="1045" spans="1:20" ht="15.75">
      <c r="A1045" s="13">
        <v>73323</v>
      </c>
      <c r="B1045" s="44">
        <f t="shared" si="7"/>
        <v>30</v>
      </c>
      <c r="C1045" s="35">
        <v>194.20500000000001</v>
      </c>
      <c r="D1045" s="35">
        <v>267.46600000000001</v>
      </c>
      <c r="E1045" s="41">
        <v>812.32899999999995</v>
      </c>
      <c r="F1045" s="35">
        <v>1274</v>
      </c>
      <c r="G1045" s="35">
        <v>50</v>
      </c>
      <c r="H1045" s="43">
        <v>600</v>
      </c>
      <c r="I1045" s="35">
        <v>695</v>
      </c>
      <c r="J1045" s="35">
        <v>0</v>
      </c>
      <c r="K1045" s="36"/>
      <c r="L1045" s="36"/>
      <c r="M1045" s="36"/>
      <c r="N1045" s="36"/>
      <c r="O1045" s="36"/>
      <c r="P1045" s="36"/>
      <c r="Q1045" s="36"/>
      <c r="R1045" s="36"/>
      <c r="S1045" s="36"/>
      <c r="T1045" s="36"/>
    </row>
    <row r="1046" spans="1:20" ht="15.75">
      <c r="A1046" s="13">
        <v>73354</v>
      </c>
      <c r="B1046" s="44">
        <f t="shared" si="7"/>
        <v>31</v>
      </c>
      <c r="C1046" s="35">
        <v>131.881</v>
      </c>
      <c r="D1046" s="35">
        <v>277.16699999999997</v>
      </c>
      <c r="E1046" s="41">
        <v>829.952</v>
      </c>
      <c r="F1046" s="35">
        <v>1239</v>
      </c>
      <c r="G1046" s="35">
        <v>75</v>
      </c>
      <c r="H1046" s="43">
        <v>600</v>
      </c>
      <c r="I1046" s="35">
        <v>695</v>
      </c>
      <c r="J1046" s="35">
        <v>0</v>
      </c>
      <c r="K1046" s="36"/>
      <c r="L1046" s="36"/>
      <c r="M1046" s="36"/>
      <c r="N1046" s="36"/>
      <c r="O1046" s="36"/>
      <c r="P1046" s="36"/>
      <c r="Q1046" s="36"/>
      <c r="R1046" s="36"/>
      <c r="S1046" s="36"/>
      <c r="T1046" s="36"/>
    </row>
    <row r="1047" spans="1:20" ht="15.75">
      <c r="A1047" s="13">
        <v>73384</v>
      </c>
      <c r="B1047" s="44">
        <f t="shared" si="7"/>
        <v>30</v>
      </c>
      <c r="C1047" s="35">
        <v>122.58</v>
      </c>
      <c r="D1047" s="35">
        <v>297.94099999999997</v>
      </c>
      <c r="E1047" s="41">
        <v>729.47900000000004</v>
      </c>
      <c r="F1047" s="35">
        <v>1150</v>
      </c>
      <c r="G1047" s="35">
        <v>100</v>
      </c>
      <c r="H1047" s="43">
        <v>600</v>
      </c>
      <c r="I1047" s="35">
        <v>695</v>
      </c>
      <c r="J1047" s="35">
        <v>50</v>
      </c>
      <c r="K1047" s="36"/>
      <c r="L1047" s="36"/>
      <c r="M1047" s="36"/>
      <c r="N1047" s="36"/>
      <c r="O1047" s="36"/>
      <c r="P1047" s="36"/>
      <c r="Q1047" s="36"/>
      <c r="R1047" s="36"/>
      <c r="S1047" s="36"/>
      <c r="T1047" s="36"/>
    </row>
    <row r="1048" spans="1:20" ht="15.75">
      <c r="A1048" s="13">
        <v>73415</v>
      </c>
      <c r="B1048" s="44">
        <f t="shared" si="7"/>
        <v>31</v>
      </c>
      <c r="C1048" s="35">
        <v>122.58</v>
      </c>
      <c r="D1048" s="35">
        <v>297.94099999999997</v>
      </c>
      <c r="E1048" s="41">
        <v>729.47900000000004</v>
      </c>
      <c r="F1048" s="35">
        <v>1150</v>
      </c>
      <c r="G1048" s="35">
        <v>100</v>
      </c>
      <c r="H1048" s="43">
        <v>600</v>
      </c>
      <c r="I1048" s="35">
        <v>695</v>
      </c>
      <c r="J1048" s="35">
        <v>50</v>
      </c>
      <c r="K1048" s="36"/>
      <c r="L1048" s="36"/>
      <c r="M1048" s="36"/>
      <c r="N1048" s="36"/>
      <c r="O1048" s="36"/>
      <c r="P1048" s="36"/>
      <c r="Q1048" s="36"/>
      <c r="R1048" s="36"/>
      <c r="S1048" s="36"/>
      <c r="T1048" s="36"/>
    </row>
    <row r="1049" spans="1:20" ht="15">
      <c r="A1049" s="10"/>
      <c r="B1049" s="42"/>
      <c r="C1049" s="35"/>
      <c r="D1049" s="35"/>
      <c r="E1049" s="41"/>
      <c r="F1049" s="35"/>
      <c r="G1049" s="35"/>
      <c r="H1049" s="35"/>
      <c r="I1049" s="35"/>
      <c r="J1049" s="35"/>
      <c r="K1049" s="36"/>
      <c r="L1049" s="36"/>
      <c r="M1049" s="36"/>
      <c r="N1049" s="36"/>
      <c r="O1049" s="36"/>
      <c r="P1049" s="36"/>
      <c r="Q1049" s="36"/>
      <c r="R1049" s="36"/>
      <c r="S1049" s="36"/>
      <c r="T1049" s="36"/>
    </row>
    <row r="1050" spans="1:20" ht="15.75">
      <c r="A1050" s="3">
        <v>2015</v>
      </c>
      <c r="B1050" s="3">
        <f t="shared" ref="B1050:B1081" si="8">DATE(A1050+1,1,1)-DATE(A1050,1,1)</f>
        <v>365</v>
      </c>
      <c r="C1050" s="38">
        <f>AVERAGE(C17:C28)</f>
        <v>154.75825</v>
      </c>
      <c r="D1050" s="38">
        <f>AVERAGE(D17:D28)</f>
        <v>281.0162499999999</v>
      </c>
      <c r="E1050" s="38">
        <f>AVERAGE(E17:E28)</f>
        <v>822.39216666666641</v>
      </c>
      <c r="F1050" s="38">
        <f>AVERAGE(F17:F28)</f>
        <v>1258.1666666666667</v>
      </c>
      <c r="G1050" s="38">
        <f>AVERAGE(G17:G28)</f>
        <v>79.166666666666671</v>
      </c>
      <c r="H1050" s="40"/>
      <c r="I1050" s="38">
        <f>AVERAGE(I17:I28)</f>
        <v>695</v>
      </c>
      <c r="J1050" s="38">
        <f>AVERAGE(J17:J28)</f>
        <v>33.333333333333336</v>
      </c>
      <c r="K1050" s="36"/>
      <c r="L1050" s="36"/>
      <c r="M1050" s="36"/>
      <c r="N1050" s="36"/>
      <c r="O1050" s="36"/>
      <c r="P1050" s="36"/>
      <c r="Q1050" s="36"/>
      <c r="R1050" s="36"/>
      <c r="S1050" s="36"/>
      <c r="T1050" s="36"/>
    </row>
    <row r="1051" spans="1:20" ht="15.75">
      <c r="A1051" s="3">
        <v>2016</v>
      </c>
      <c r="B1051" s="3">
        <f t="shared" si="8"/>
        <v>366</v>
      </c>
      <c r="C1051" s="38">
        <f>AVERAGE(C29:C40)</f>
        <v>154.75825</v>
      </c>
      <c r="D1051" s="38">
        <f>AVERAGE(D29:D40)</f>
        <v>281.0162499999999</v>
      </c>
      <c r="E1051" s="38">
        <f>AVERAGE(E29:E40)</f>
        <v>822.39216666666641</v>
      </c>
      <c r="F1051" s="38">
        <f>AVERAGE(F29:F40)</f>
        <v>1258.1666666666667</v>
      </c>
      <c r="G1051" s="38">
        <f>AVERAGE(G29:G40)</f>
        <v>79.166666666666671</v>
      </c>
      <c r="H1051" s="40"/>
      <c r="I1051" s="38">
        <f>AVERAGE(I29:I40)</f>
        <v>695</v>
      </c>
      <c r="J1051" s="38">
        <f>AVERAGE(J29:J40)</f>
        <v>33.333333333333336</v>
      </c>
      <c r="K1051" s="36"/>
      <c r="L1051" s="36"/>
      <c r="M1051" s="36"/>
      <c r="N1051" s="36"/>
      <c r="O1051" s="36"/>
      <c r="P1051" s="36"/>
      <c r="Q1051" s="36"/>
      <c r="R1051" s="36"/>
      <c r="S1051" s="36"/>
      <c r="T1051" s="36"/>
    </row>
    <row r="1052" spans="1:20" ht="15">
      <c r="A1052" s="3">
        <v>2017</v>
      </c>
      <c r="B1052" s="3">
        <f t="shared" si="8"/>
        <v>365</v>
      </c>
      <c r="C1052" s="38">
        <f t="shared" ref="C1052:J1052" si="9">AVERAGE(C41:C52)</f>
        <v>154.75825</v>
      </c>
      <c r="D1052" s="38">
        <f t="shared" si="9"/>
        <v>281.0162499999999</v>
      </c>
      <c r="E1052" s="38">
        <f t="shared" si="9"/>
        <v>780.7254999999999</v>
      </c>
      <c r="F1052" s="38">
        <f t="shared" si="9"/>
        <v>1216.5</v>
      </c>
      <c r="G1052" s="38">
        <f t="shared" si="9"/>
        <v>79.166666666666671</v>
      </c>
      <c r="H1052" s="39">
        <f t="shared" si="9"/>
        <v>400</v>
      </c>
      <c r="I1052" s="38">
        <f t="shared" si="9"/>
        <v>695</v>
      </c>
      <c r="J1052" s="38">
        <f t="shared" si="9"/>
        <v>33.333333333333336</v>
      </c>
      <c r="K1052" s="36"/>
      <c r="L1052" s="36"/>
      <c r="M1052" s="36"/>
      <c r="N1052" s="36"/>
      <c r="O1052" s="36"/>
      <c r="P1052" s="36"/>
      <c r="Q1052" s="36"/>
      <c r="R1052" s="36"/>
      <c r="S1052" s="36"/>
      <c r="T1052" s="36"/>
    </row>
    <row r="1053" spans="1:20" ht="15">
      <c r="A1053" s="3">
        <v>2018</v>
      </c>
      <c r="B1053" s="3">
        <f t="shared" si="8"/>
        <v>365</v>
      </c>
      <c r="C1053" s="38">
        <f t="shared" ref="C1053:J1053" si="10">AVERAGE(C53:C64)</f>
        <v>154.75825</v>
      </c>
      <c r="D1053" s="38">
        <f t="shared" si="10"/>
        <v>281.0162499999999</v>
      </c>
      <c r="E1053" s="38">
        <f t="shared" si="10"/>
        <v>780.7254999999999</v>
      </c>
      <c r="F1053" s="38">
        <f t="shared" si="10"/>
        <v>1216.5</v>
      </c>
      <c r="G1053" s="38">
        <f t="shared" si="10"/>
        <v>79.166666666666671</v>
      </c>
      <c r="H1053" s="39">
        <f t="shared" si="10"/>
        <v>400</v>
      </c>
      <c r="I1053" s="38">
        <f t="shared" si="10"/>
        <v>695</v>
      </c>
      <c r="J1053" s="38">
        <f t="shared" si="10"/>
        <v>33.333333333333336</v>
      </c>
      <c r="K1053" s="36"/>
      <c r="L1053" s="36"/>
      <c r="M1053" s="36"/>
      <c r="N1053" s="36"/>
      <c r="O1053" s="36"/>
      <c r="P1053" s="36"/>
      <c r="Q1053" s="36"/>
      <c r="R1053" s="36"/>
      <c r="S1053" s="36"/>
      <c r="T1053" s="36"/>
    </row>
    <row r="1054" spans="1:20" ht="15">
      <c r="A1054" s="3">
        <v>2019</v>
      </c>
      <c r="B1054" s="3">
        <f t="shared" si="8"/>
        <v>365</v>
      </c>
      <c r="C1054" s="38">
        <f t="shared" ref="C1054:J1054" si="11">AVERAGE(C65:C76)</f>
        <v>154.75825</v>
      </c>
      <c r="D1054" s="38">
        <f t="shared" si="11"/>
        <v>281.0162499999999</v>
      </c>
      <c r="E1054" s="38">
        <f t="shared" si="11"/>
        <v>780.7254999999999</v>
      </c>
      <c r="F1054" s="38">
        <f t="shared" si="11"/>
        <v>1216.5</v>
      </c>
      <c r="G1054" s="38">
        <f t="shared" si="11"/>
        <v>79.166666666666671</v>
      </c>
      <c r="H1054" s="39">
        <f t="shared" si="11"/>
        <v>400</v>
      </c>
      <c r="I1054" s="38">
        <f t="shared" si="11"/>
        <v>695</v>
      </c>
      <c r="J1054" s="38">
        <f t="shared" si="11"/>
        <v>33.333333333333336</v>
      </c>
      <c r="K1054" s="36"/>
      <c r="L1054" s="36"/>
      <c r="M1054" s="36"/>
      <c r="N1054" s="36"/>
      <c r="O1054" s="36"/>
      <c r="P1054" s="36"/>
      <c r="Q1054" s="36"/>
      <c r="R1054" s="36"/>
      <c r="S1054" s="36"/>
      <c r="T1054" s="36"/>
    </row>
    <row r="1055" spans="1:20" ht="15">
      <c r="A1055" s="3">
        <v>2020</v>
      </c>
      <c r="B1055" s="3">
        <f t="shared" si="8"/>
        <v>366</v>
      </c>
      <c r="C1055" s="38">
        <f t="shared" ref="C1055:J1055" si="12">AVERAGE(C77:C88)</f>
        <v>154.75825</v>
      </c>
      <c r="D1055" s="38">
        <f t="shared" si="12"/>
        <v>281.0162499999999</v>
      </c>
      <c r="E1055" s="38">
        <f t="shared" si="12"/>
        <v>780.7254999999999</v>
      </c>
      <c r="F1055" s="38">
        <f t="shared" si="12"/>
        <v>1216.5</v>
      </c>
      <c r="G1055" s="38">
        <f t="shared" si="12"/>
        <v>79.166666666666671</v>
      </c>
      <c r="H1055" s="39">
        <f t="shared" si="12"/>
        <v>533.33333333333337</v>
      </c>
      <c r="I1055" s="38">
        <f t="shared" si="12"/>
        <v>695</v>
      </c>
      <c r="J1055" s="38">
        <f t="shared" si="12"/>
        <v>33.333333333333336</v>
      </c>
      <c r="K1055" s="36"/>
      <c r="L1055" s="36"/>
      <c r="M1055" s="36"/>
      <c r="N1055" s="36"/>
      <c r="O1055" s="36"/>
      <c r="P1055" s="36"/>
      <c r="Q1055" s="36"/>
      <c r="R1055" s="36"/>
      <c r="S1055" s="36"/>
      <c r="T1055" s="36"/>
    </row>
    <row r="1056" spans="1:20" ht="15">
      <c r="A1056" s="3">
        <v>2021</v>
      </c>
      <c r="B1056" s="3">
        <f t="shared" si="8"/>
        <v>365</v>
      </c>
      <c r="C1056" s="38">
        <f t="shared" ref="C1056:J1056" si="13">AVERAGE(C89:C100)</f>
        <v>154.75825</v>
      </c>
      <c r="D1056" s="38">
        <f t="shared" si="13"/>
        <v>281.0162499999999</v>
      </c>
      <c r="E1056" s="38">
        <f t="shared" si="13"/>
        <v>780.7254999999999</v>
      </c>
      <c r="F1056" s="38">
        <f t="shared" si="13"/>
        <v>1216.5</v>
      </c>
      <c r="G1056" s="38">
        <f t="shared" si="13"/>
        <v>79.166666666666671</v>
      </c>
      <c r="H1056" s="39">
        <f t="shared" si="13"/>
        <v>600</v>
      </c>
      <c r="I1056" s="38">
        <f t="shared" si="13"/>
        <v>695</v>
      </c>
      <c r="J1056" s="38">
        <f t="shared" si="13"/>
        <v>33.333333333333336</v>
      </c>
      <c r="K1056" s="36"/>
      <c r="L1056" s="36"/>
      <c r="M1056" s="36"/>
      <c r="N1056" s="36"/>
      <c r="O1056" s="36"/>
      <c r="P1056" s="36"/>
      <c r="Q1056" s="36"/>
      <c r="R1056" s="36"/>
      <c r="S1056" s="36"/>
      <c r="T1056" s="36"/>
    </row>
    <row r="1057" spans="1:20" ht="15">
      <c r="A1057" s="3">
        <v>2022</v>
      </c>
      <c r="B1057" s="3">
        <f t="shared" si="8"/>
        <v>365</v>
      </c>
      <c r="C1057" s="38">
        <f t="shared" ref="C1057:J1057" si="14">AVERAGE(C101:C112)</f>
        <v>154.75825</v>
      </c>
      <c r="D1057" s="38">
        <f t="shared" si="14"/>
        <v>281.0162499999999</v>
      </c>
      <c r="E1057" s="38">
        <f t="shared" si="14"/>
        <v>780.7254999999999</v>
      </c>
      <c r="F1057" s="38">
        <f t="shared" si="14"/>
        <v>1216.5</v>
      </c>
      <c r="G1057" s="38">
        <f t="shared" si="14"/>
        <v>79.166666666666671</v>
      </c>
      <c r="H1057" s="39">
        <f t="shared" si="14"/>
        <v>600</v>
      </c>
      <c r="I1057" s="38">
        <f t="shared" si="14"/>
        <v>695</v>
      </c>
      <c r="J1057" s="38">
        <f t="shared" si="14"/>
        <v>33.333333333333336</v>
      </c>
      <c r="K1057" s="36"/>
      <c r="L1057" s="36"/>
      <c r="M1057" s="36"/>
      <c r="N1057" s="36"/>
      <c r="O1057" s="36"/>
      <c r="P1057" s="36"/>
      <c r="Q1057" s="36"/>
      <c r="R1057" s="36"/>
      <c r="S1057" s="36"/>
      <c r="T1057" s="36"/>
    </row>
    <row r="1058" spans="1:20" ht="15">
      <c r="A1058" s="3">
        <v>2023</v>
      </c>
      <c r="B1058" s="3">
        <f t="shared" si="8"/>
        <v>365</v>
      </c>
      <c r="C1058" s="38">
        <f t="shared" ref="C1058:J1058" si="15">AVERAGE(C113:C124)</f>
        <v>154.75825</v>
      </c>
      <c r="D1058" s="38">
        <f t="shared" si="15"/>
        <v>281.0162499999999</v>
      </c>
      <c r="E1058" s="38">
        <f t="shared" si="15"/>
        <v>780.7254999999999</v>
      </c>
      <c r="F1058" s="38">
        <f t="shared" si="15"/>
        <v>1216.5</v>
      </c>
      <c r="G1058" s="38">
        <f t="shared" si="15"/>
        <v>79.166666666666671</v>
      </c>
      <c r="H1058" s="39">
        <f t="shared" si="15"/>
        <v>600</v>
      </c>
      <c r="I1058" s="38">
        <f t="shared" si="15"/>
        <v>695</v>
      </c>
      <c r="J1058" s="38">
        <f t="shared" si="15"/>
        <v>33.333333333333336</v>
      </c>
      <c r="K1058" s="36"/>
      <c r="L1058" s="36"/>
      <c r="M1058" s="36"/>
      <c r="N1058" s="36"/>
      <c r="O1058" s="36"/>
      <c r="P1058" s="36"/>
      <c r="Q1058" s="36"/>
      <c r="R1058" s="36"/>
      <c r="S1058" s="36"/>
      <c r="T1058" s="36"/>
    </row>
    <row r="1059" spans="1:20" ht="15">
      <c r="A1059" s="3">
        <v>2024</v>
      </c>
      <c r="B1059" s="3">
        <f t="shared" si="8"/>
        <v>366</v>
      </c>
      <c r="C1059" s="38">
        <f t="shared" ref="C1059:J1059" si="16">AVERAGE(C125:C136)</f>
        <v>154.75825</v>
      </c>
      <c r="D1059" s="38">
        <f t="shared" si="16"/>
        <v>281.0162499999999</v>
      </c>
      <c r="E1059" s="38">
        <f t="shared" si="16"/>
        <v>780.7254999999999</v>
      </c>
      <c r="F1059" s="38">
        <f t="shared" si="16"/>
        <v>1216.5</v>
      </c>
      <c r="G1059" s="38">
        <f t="shared" si="16"/>
        <v>79.166666666666671</v>
      </c>
      <c r="H1059" s="39">
        <f t="shared" si="16"/>
        <v>600</v>
      </c>
      <c r="I1059" s="38">
        <f t="shared" si="16"/>
        <v>695</v>
      </c>
      <c r="J1059" s="38">
        <f t="shared" si="16"/>
        <v>33.333333333333336</v>
      </c>
      <c r="K1059" s="36"/>
      <c r="L1059" s="36"/>
      <c r="M1059" s="36"/>
      <c r="N1059" s="36"/>
      <c r="O1059" s="36"/>
      <c r="P1059" s="36"/>
      <c r="Q1059" s="36"/>
      <c r="R1059" s="36"/>
      <c r="S1059" s="36"/>
      <c r="T1059" s="36"/>
    </row>
    <row r="1060" spans="1:20" ht="15">
      <c r="A1060" s="3">
        <v>2025</v>
      </c>
      <c r="B1060" s="3">
        <f t="shared" si="8"/>
        <v>365</v>
      </c>
      <c r="C1060" s="38">
        <f t="shared" ref="C1060:J1060" si="17">AVERAGE(C137:C148)</f>
        <v>154.75825</v>
      </c>
      <c r="D1060" s="38">
        <f t="shared" si="17"/>
        <v>281.0162499999999</v>
      </c>
      <c r="E1060" s="38">
        <f t="shared" si="17"/>
        <v>780.7254999999999</v>
      </c>
      <c r="F1060" s="38">
        <f t="shared" si="17"/>
        <v>1216.5</v>
      </c>
      <c r="G1060" s="38">
        <f t="shared" si="17"/>
        <v>79.166666666666671</v>
      </c>
      <c r="H1060" s="39">
        <f t="shared" si="17"/>
        <v>600</v>
      </c>
      <c r="I1060" s="38">
        <f t="shared" si="17"/>
        <v>695</v>
      </c>
      <c r="J1060" s="38">
        <f t="shared" si="17"/>
        <v>33.333333333333336</v>
      </c>
      <c r="K1060" s="36"/>
      <c r="L1060" s="36"/>
      <c r="M1060" s="36"/>
      <c r="N1060" s="36"/>
      <c r="O1060" s="36"/>
      <c r="P1060" s="36"/>
      <c r="Q1060" s="36"/>
      <c r="R1060" s="36"/>
      <c r="S1060" s="36"/>
      <c r="T1060" s="36"/>
    </row>
    <row r="1061" spans="1:20" ht="15">
      <c r="A1061" s="3">
        <v>2026</v>
      </c>
      <c r="B1061" s="3">
        <f t="shared" si="8"/>
        <v>365</v>
      </c>
      <c r="C1061" s="38">
        <f t="shared" ref="C1061:J1061" si="18">AVERAGE(C149:C160)</f>
        <v>154.75825</v>
      </c>
      <c r="D1061" s="38">
        <f t="shared" si="18"/>
        <v>281.0162499999999</v>
      </c>
      <c r="E1061" s="38">
        <f t="shared" si="18"/>
        <v>780.7254999999999</v>
      </c>
      <c r="F1061" s="38">
        <f t="shared" si="18"/>
        <v>1216.5</v>
      </c>
      <c r="G1061" s="38">
        <f t="shared" si="18"/>
        <v>79.166666666666671</v>
      </c>
      <c r="H1061" s="39">
        <f t="shared" si="18"/>
        <v>600</v>
      </c>
      <c r="I1061" s="38">
        <f t="shared" si="18"/>
        <v>695</v>
      </c>
      <c r="J1061" s="38">
        <f t="shared" si="18"/>
        <v>33.333333333333336</v>
      </c>
      <c r="K1061" s="36"/>
      <c r="L1061" s="36"/>
      <c r="M1061" s="36"/>
      <c r="N1061" s="36"/>
      <c r="O1061" s="36"/>
      <c r="P1061" s="36"/>
      <c r="Q1061" s="36"/>
      <c r="R1061" s="36"/>
      <c r="S1061" s="36"/>
      <c r="T1061" s="36"/>
    </row>
    <row r="1062" spans="1:20" ht="15">
      <c r="A1062" s="3">
        <v>2027</v>
      </c>
      <c r="B1062" s="3">
        <f t="shared" si="8"/>
        <v>365</v>
      </c>
      <c r="C1062" s="38">
        <f t="shared" ref="C1062:J1062" si="19">AVERAGE(C161:C172)</f>
        <v>154.75825</v>
      </c>
      <c r="D1062" s="38">
        <f t="shared" si="19"/>
        <v>281.0162499999999</v>
      </c>
      <c r="E1062" s="38">
        <f t="shared" si="19"/>
        <v>780.7254999999999</v>
      </c>
      <c r="F1062" s="38">
        <f t="shared" si="19"/>
        <v>1216.5</v>
      </c>
      <c r="G1062" s="38">
        <f t="shared" si="19"/>
        <v>79.166666666666671</v>
      </c>
      <c r="H1062" s="39">
        <f t="shared" si="19"/>
        <v>600</v>
      </c>
      <c r="I1062" s="38">
        <f t="shared" si="19"/>
        <v>695</v>
      </c>
      <c r="J1062" s="38">
        <f t="shared" si="19"/>
        <v>33.333333333333336</v>
      </c>
      <c r="K1062" s="36"/>
      <c r="L1062" s="36"/>
      <c r="M1062" s="36"/>
      <c r="N1062" s="36"/>
      <c r="O1062" s="36"/>
      <c r="P1062" s="36"/>
      <c r="Q1062" s="36"/>
      <c r="R1062" s="36"/>
      <c r="S1062" s="36"/>
      <c r="T1062" s="36"/>
    </row>
    <row r="1063" spans="1:20" ht="15">
      <c r="A1063" s="3">
        <v>2028</v>
      </c>
      <c r="B1063" s="3">
        <f t="shared" si="8"/>
        <v>366</v>
      </c>
      <c r="C1063" s="38">
        <f t="shared" ref="C1063:J1063" si="20">AVERAGE(C173:C184)</f>
        <v>154.75825</v>
      </c>
      <c r="D1063" s="38">
        <f t="shared" si="20"/>
        <v>281.0162499999999</v>
      </c>
      <c r="E1063" s="38">
        <f t="shared" si="20"/>
        <v>780.7254999999999</v>
      </c>
      <c r="F1063" s="38">
        <f t="shared" si="20"/>
        <v>1216.5</v>
      </c>
      <c r="G1063" s="38">
        <f t="shared" si="20"/>
        <v>79.166666666666671</v>
      </c>
      <c r="H1063" s="39">
        <f t="shared" si="20"/>
        <v>600</v>
      </c>
      <c r="I1063" s="38">
        <f t="shared" si="20"/>
        <v>695</v>
      </c>
      <c r="J1063" s="38">
        <f t="shared" si="20"/>
        <v>33.333333333333336</v>
      </c>
      <c r="K1063" s="36"/>
      <c r="L1063" s="36"/>
      <c r="M1063" s="36"/>
      <c r="N1063" s="36"/>
      <c r="O1063" s="36"/>
      <c r="P1063" s="36"/>
      <c r="Q1063" s="36"/>
      <c r="R1063" s="36"/>
      <c r="S1063" s="36"/>
      <c r="T1063" s="36"/>
    </row>
    <row r="1064" spans="1:20" ht="15">
      <c r="A1064" s="3">
        <v>2029</v>
      </c>
      <c r="B1064" s="3">
        <f t="shared" si="8"/>
        <v>365</v>
      </c>
      <c r="C1064" s="38">
        <f t="shared" ref="C1064:J1064" si="21">AVERAGE(C185:C196)</f>
        <v>154.75825</v>
      </c>
      <c r="D1064" s="38">
        <f t="shared" si="21"/>
        <v>281.0162499999999</v>
      </c>
      <c r="E1064" s="38">
        <f t="shared" si="21"/>
        <v>780.7254999999999</v>
      </c>
      <c r="F1064" s="38">
        <f t="shared" si="21"/>
        <v>1216.5</v>
      </c>
      <c r="G1064" s="38">
        <f t="shared" si="21"/>
        <v>79.166666666666671</v>
      </c>
      <c r="H1064" s="39">
        <f t="shared" si="21"/>
        <v>600</v>
      </c>
      <c r="I1064" s="38">
        <f t="shared" si="21"/>
        <v>695</v>
      </c>
      <c r="J1064" s="38">
        <f t="shared" si="21"/>
        <v>33.333333333333336</v>
      </c>
      <c r="K1064" s="36"/>
      <c r="L1064" s="36"/>
      <c r="M1064" s="36"/>
      <c r="N1064" s="36"/>
      <c r="O1064" s="36"/>
      <c r="P1064" s="36"/>
      <c r="Q1064" s="36"/>
      <c r="R1064" s="36"/>
      <c r="S1064" s="36"/>
      <c r="T1064" s="36"/>
    </row>
    <row r="1065" spans="1:20" ht="15">
      <c r="A1065" s="3">
        <v>2030</v>
      </c>
      <c r="B1065" s="3">
        <f t="shared" si="8"/>
        <v>365</v>
      </c>
      <c r="C1065" s="38">
        <f t="shared" ref="C1065:J1065" si="22">AVERAGE(C197:C208)</f>
        <v>154.75825</v>
      </c>
      <c r="D1065" s="38">
        <f t="shared" si="22"/>
        <v>281.0162499999999</v>
      </c>
      <c r="E1065" s="38">
        <f t="shared" si="22"/>
        <v>780.7254999999999</v>
      </c>
      <c r="F1065" s="38">
        <f t="shared" si="22"/>
        <v>1216.5</v>
      </c>
      <c r="G1065" s="38">
        <f t="shared" si="22"/>
        <v>79.166666666666671</v>
      </c>
      <c r="H1065" s="39">
        <f t="shared" si="22"/>
        <v>600</v>
      </c>
      <c r="I1065" s="38">
        <f t="shared" si="22"/>
        <v>695</v>
      </c>
      <c r="J1065" s="38">
        <f t="shared" si="22"/>
        <v>33.333333333333336</v>
      </c>
      <c r="K1065" s="36"/>
      <c r="L1065" s="36"/>
      <c r="M1065" s="36"/>
      <c r="N1065" s="36"/>
      <c r="O1065" s="36"/>
      <c r="P1065" s="36"/>
      <c r="Q1065" s="36"/>
      <c r="R1065" s="36"/>
      <c r="S1065" s="36"/>
      <c r="T1065" s="36"/>
    </row>
    <row r="1066" spans="1:20" ht="15">
      <c r="A1066" s="3">
        <v>2031</v>
      </c>
      <c r="B1066" s="3">
        <f t="shared" si="8"/>
        <v>365</v>
      </c>
      <c r="C1066" s="38">
        <f t="shared" ref="C1066:J1066" si="23">AVERAGE(C209:C220)</f>
        <v>154.75825</v>
      </c>
      <c r="D1066" s="38">
        <f t="shared" si="23"/>
        <v>281.0162499999999</v>
      </c>
      <c r="E1066" s="38">
        <f t="shared" si="23"/>
        <v>780.7254999999999</v>
      </c>
      <c r="F1066" s="38">
        <f t="shared" si="23"/>
        <v>1216.5</v>
      </c>
      <c r="G1066" s="38">
        <f t="shared" si="23"/>
        <v>79.166666666666671</v>
      </c>
      <c r="H1066" s="39">
        <f t="shared" si="23"/>
        <v>600</v>
      </c>
      <c r="I1066" s="38">
        <f t="shared" si="23"/>
        <v>695</v>
      </c>
      <c r="J1066" s="38">
        <f t="shared" si="23"/>
        <v>33.333333333333336</v>
      </c>
      <c r="K1066" s="36"/>
      <c r="L1066" s="36"/>
      <c r="M1066" s="36"/>
      <c r="N1066" s="36"/>
      <c r="O1066" s="36"/>
      <c r="P1066" s="36"/>
      <c r="Q1066" s="36"/>
      <c r="R1066" s="36"/>
      <c r="S1066" s="36"/>
      <c r="T1066" s="36"/>
    </row>
    <row r="1067" spans="1:20" ht="15">
      <c r="A1067" s="3">
        <v>2032</v>
      </c>
      <c r="B1067" s="3">
        <f t="shared" si="8"/>
        <v>366</v>
      </c>
      <c r="C1067" s="38">
        <f t="shared" ref="C1067:J1067" si="24">AVERAGE(C221:C232)</f>
        <v>154.75825</v>
      </c>
      <c r="D1067" s="38">
        <f t="shared" si="24"/>
        <v>281.0162499999999</v>
      </c>
      <c r="E1067" s="38">
        <f t="shared" si="24"/>
        <v>780.7254999999999</v>
      </c>
      <c r="F1067" s="38">
        <f t="shared" si="24"/>
        <v>1216.5</v>
      </c>
      <c r="G1067" s="38">
        <f t="shared" si="24"/>
        <v>79.166666666666671</v>
      </c>
      <c r="H1067" s="39">
        <f t="shared" si="24"/>
        <v>600</v>
      </c>
      <c r="I1067" s="38">
        <f t="shared" si="24"/>
        <v>695</v>
      </c>
      <c r="J1067" s="38">
        <f t="shared" si="24"/>
        <v>33.333333333333336</v>
      </c>
      <c r="K1067" s="36"/>
      <c r="L1067" s="36"/>
      <c r="M1067" s="36"/>
      <c r="N1067" s="36"/>
      <c r="O1067" s="36"/>
      <c r="P1067" s="36"/>
      <c r="Q1067" s="36"/>
      <c r="R1067" s="36"/>
      <c r="S1067" s="36"/>
      <c r="T1067" s="36"/>
    </row>
    <row r="1068" spans="1:20" ht="15">
      <c r="A1068" s="3">
        <v>2033</v>
      </c>
      <c r="B1068" s="3">
        <f t="shared" si="8"/>
        <v>365</v>
      </c>
      <c r="C1068" s="38">
        <f t="shared" ref="C1068:J1068" si="25">AVERAGE(C233:C244)</f>
        <v>154.75825</v>
      </c>
      <c r="D1068" s="38">
        <f t="shared" si="25"/>
        <v>281.0162499999999</v>
      </c>
      <c r="E1068" s="38">
        <f t="shared" si="25"/>
        <v>780.7254999999999</v>
      </c>
      <c r="F1068" s="38">
        <f t="shared" si="25"/>
        <v>1216.5</v>
      </c>
      <c r="G1068" s="38">
        <f t="shared" si="25"/>
        <v>79.166666666666671</v>
      </c>
      <c r="H1068" s="39">
        <f t="shared" si="25"/>
        <v>600</v>
      </c>
      <c r="I1068" s="38">
        <f t="shared" si="25"/>
        <v>695</v>
      </c>
      <c r="J1068" s="38">
        <f t="shared" si="25"/>
        <v>33.333333333333336</v>
      </c>
      <c r="K1068" s="36"/>
      <c r="L1068" s="36"/>
      <c r="M1068" s="36"/>
      <c r="N1068" s="36"/>
      <c r="O1068" s="36"/>
      <c r="P1068" s="36"/>
      <c r="Q1068" s="36"/>
      <c r="R1068" s="36"/>
      <c r="S1068" s="36"/>
      <c r="T1068" s="36"/>
    </row>
    <row r="1069" spans="1:20" ht="15">
      <c r="A1069" s="3">
        <v>2034</v>
      </c>
      <c r="B1069" s="3">
        <f t="shared" si="8"/>
        <v>365</v>
      </c>
      <c r="C1069" s="38">
        <f t="shared" ref="C1069:J1069" si="26">AVERAGE(C245:C256)</f>
        <v>154.75825</v>
      </c>
      <c r="D1069" s="38">
        <f t="shared" si="26"/>
        <v>281.0162499999999</v>
      </c>
      <c r="E1069" s="38">
        <f t="shared" si="26"/>
        <v>780.7254999999999</v>
      </c>
      <c r="F1069" s="38">
        <f t="shared" si="26"/>
        <v>1216.5</v>
      </c>
      <c r="G1069" s="38">
        <f t="shared" si="26"/>
        <v>79.166666666666671</v>
      </c>
      <c r="H1069" s="39">
        <f t="shared" si="26"/>
        <v>600</v>
      </c>
      <c r="I1069" s="38">
        <f t="shared" si="26"/>
        <v>695</v>
      </c>
      <c r="J1069" s="38">
        <f t="shared" si="26"/>
        <v>33.333333333333336</v>
      </c>
      <c r="K1069" s="36"/>
      <c r="L1069" s="36"/>
      <c r="M1069" s="36"/>
      <c r="N1069" s="36"/>
      <c r="O1069" s="36"/>
      <c r="P1069" s="36"/>
      <c r="Q1069" s="36"/>
      <c r="R1069" s="36"/>
      <c r="S1069" s="36"/>
      <c r="T1069" s="36"/>
    </row>
    <row r="1070" spans="1:20" ht="15">
      <c r="A1070" s="3">
        <v>2035</v>
      </c>
      <c r="B1070" s="3">
        <f t="shared" si="8"/>
        <v>365</v>
      </c>
      <c r="C1070" s="38">
        <f t="shared" ref="C1070:J1070" si="27">AVERAGE(C257:C268)</f>
        <v>154.75825</v>
      </c>
      <c r="D1070" s="38">
        <f t="shared" si="27"/>
        <v>281.0162499999999</v>
      </c>
      <c r="E1070" s="38">
        <f t="shared" si="27"/>
        <v>780.7254999999999</v>
      </c>
      <c r="F1070" s="38">
        <f t="shared" si="27"/>
        <v>1216.5</v>
      </c>
      <c r="G1070" s="38">
        <f t="shared" si="27"/>
        <v>79.166666666666671</v>
      </c>
      <c r="H1070" s="39">
        <f t="shared" si="27"/>
        <v>600</v>
      </c>
      <c r="I1070" s="38">
        <f t="shared" si="27"/>
        <v>695</v>
      </c>
      <c r="J1070" s="38">
        <f t="shared" si="27"/>
        <v>33.333333333333336</v>
      </c>
      <c r="K1070" s="36"/>
      <c r="L1070" s="36"/>
      <c r="M1070" s="36"/>
      <c r="N1070" s="36"/>
      <c r="O1070" s="36"/>
      <c r="P1070" s="36"/>
      <c r="Q1070" s="36"/>
      <c r="R1070" s="36"/>
      <c r="S1070" s="36"/>
      <c r="T1070" s="36"/>
    </row>
    <row r="1071" spans="1:20" ht="15">
      <c r="A1071" s="3">
        <v>2036</v>
      </c>
      <c r="B1071" s="3">
        <f t="shared" si="8"/>
        <v>366</v>
      </c>
      <c r="C1071" s="38">
        <f t="shared" ref="C1071:J1071" si="28">AVERAGE(C269:C280)</f>
        <v>154.75825</v>
      </c>
      <c r="D1071" s="38">
        <f t="shared" si="28"/>
        <v>281.0162499999999</v>
      </c>
      <c r="E1071" s="38">
        <f t="shared" si="28"/>
        <v>780.7254999999999</v>
      </c>
      <c r="F1071" s="38">
        <f t="shared" si="28"/>
        <v>1216.5</v>
      </c>
      <c r="G1071" s="38">
        <f t="shared" si="28"/>
        <v>79.166666666666671</v>
      </c>
      <c r="H1071" s="39">
        <f t="shared" si="28"/>
        <v>600</v>
      </c>
      <c r="I1071" s="38">
        <f t="shared" si="28"/>
        <v>695</v>
      </c>
      <c r="J1071" s="38">
        <f t="shared" si="28"/>
        <v>33.333333333333336</v>
      </c>
      <c r="K1071" s="36"/>
      <c r="L1071" s="36"/>
      <c r="M1071" s="36"/>
      <c r="N1071" s="36"/>
      <c r="O1071" s="36"/>
      <c r="P1071" s="36"/>
      <c r="Q1071" s="36"/>
      <c r="R1071" s="36"/>
      <c r="S1071" s="36"/>
      <c r="T1071" s="36"/>
    </row>
    <row r="1072" spans="1:20" ht="15">
      <c r="A1072" s="3">
        <v>2037</v>
      </c>
      <c r="B1072" s="3">
        <f t="shared" si="8"/>
        <v>365</v>
      </c>
      <c r="C1072" s="38">
        <f t="shared" ref="C1072:J1072" si="29">AVERAGE(C281:C292)</f>
        <v>154.75825</v>
      </c>
      <c r="D1072" s="38">
        <f t="shared" si="29"/>
        <v>281.0162499999999</v>
      </c>
      <c r="E1072" s="38">
        <f t="shared" si="29"/>
        <v>780.7254999999999</v>
      </c>
      <c r="F1072" s="38">
        <f t="shared" si="29"/>
        <v>1216.5</v>
      </c>
      <c r="G1072" s="38">
        <f t="shared" si="29"/>
        <v>79.166666666666671</v>
      </c>
      <c r="H1072" s="39">
        <f t="shared" si="29"/>
        <v>600</v>
      </c>
      <c r="I1072" s="38">
        <f t="shared" si="29"/>
        <v>695</v>
      </c>
      <c r="J1072" s="38">
        <f t="shared" si="29"/>
        <v>33.333333333333336</v>
      </c>
      <c r="K1072" s="36"/>
      <c r="L1072" s="36"/>
      <c r="M1072" s="36"/>
      <c r="N1072" s="36"/>
      <c r="O1072" s="36"/>
      <c r="P1072" s="36"/>
      <c r="Q1072" s="36"/>
      <c r="R1072" s="36"/>
      <c r="S1072" s="36"/>
      <c r="T1072" s="36"/>
    </row>
    <row r="1073" spans="1:20" ht="15">
      <c r="A1073" s="3">
        <f t="shared" ref="A1073:A1104" si="30">A1072+1</f>
        <v>2038</v>
      </c>
      <c r="B1073" s="3">
        <f t="shared" si="8"/>
        <v>365</v>
      </c>
      <c r="C1073" s="35">
        <f t="shared" ref="C1073:J1073" si="31">AVERAGE(C293:C304)</f>
        <v>154.75825</v>
      </c>
      <c r="D1073" s="35">
        <f t="shared" si="31"/>
        <v>281.0162499999999</v>
      </c>
      <c r="E1073" s="35">
        <f t="shared" si="31"/>
        <v>780.7254999999999</v>
      </c>
      <c r="F1073" s="35">
        <f t="shared" si="31"/>
        <v>1216.5</v>
      </c>
      <c r="G1073" s="35">
        <f t="shared" si="31"/>
        <v>79.166666666666671</v>
      </c>
      <c r="H1073" s="37">
        <f t="shared" si="31"/>
        <v>600</v>
      </c>
      <c r="I1073" s="35">
        <f t="shared" si="31"/>
        <v>695</v>
      </c>
      <c r="J1073" s="35">
        <f t="shared" si="31"/>
        <v>33.333333333333336</v>
      </c>
      <c r="K1073" s="36"/>
      <c r="L1073" s="36"/>
      <c r="M1073" s="36"/>
      <c r="N1073" s="36"/>
      <c r="O1073" s="36"/>
      <c r="P1073" s="36"/>
      <c r="Q1073" s="36"/>
      <c r="R1073" s="36"/>
      <c r="S1073" s="36"/>
      <c r="T1073" s="36"/>
    </row>
    <row r="1074" spans="1:20" ht="15">
      <c r="A1074" s="3">
        <f t="shared" si="30"/>
        <v>2039</v>
      </c>
      <c r="B1074" s="3">
        <f t="shared" si="8"/>
        <v>365</v>
      </c>
      <c r="C1074" s="35">
        <f t="shared" ref="C1074:J1074" si="32">AVERAGE(C305:C316)</f>
        <v>154.75825</v>
      </c>
      <c r="D1074" s="35">
        <f t="shared" si="32"/>
        <v>281.0162499999999</v>
      </c>
      <c r="E1074" s="35">
        <f t="shared" si="32"/>
        <v>780.7254999999999</v>
      </c>
      <c r="F1074" s="35">
        <f t="shared" si="32"/>
        <v>1216.5</v>
      </c>
      <c r="G1074" s="35">
        <f t="shared" si="32"/>
        <v>79.166666666666671</v>
      </c>
      <c r="H1074" s="37">
        <f t="shared" si="32"/>
        <v>600</v>
      </c>
      <c r="I1074" s="35">
        <f t="shared" si="32"/>
        <v>695</v>
      </c>
      <c r="J1074" s="35">
        <f t="shared" si="32"/>
        <v>33.333333333333336</v>
      </c>
      <c r="K1074" s="36"/>
      <c r="L1074" s="36"/>
      <c r="M1074" s="36"/>
      <c r="N1074" s="36"/>
      <c r="O1074" s="36"/>
      <c r="P1074" s="36"/>
      <c r="Q1074" s="36"/>
      <c r="R1074" s="36"/>
      <c r="S1074" s="36"/>
      <c r="T1074" s="36"/>
    </row>
    <row r="1075" spans="1:20" ht="15">
      <c r="A1075" s="3">
        <f t="shared" si="30"/>
        <v>2040</v>
      </c>
      <c r="B1075" s="3">
        <f t="shared" si="8"/>
        <v>366</v>
      </c>
      <c r="C1075" s="35">
        <f t="shared" ref="C1075:J1075" si="33">AVERAGE(C317:C328)</f>
        <v>154.75825</v>
      </c>
      <c r="D1075" s="35">
        <f t="shared" si="33"/>
        <v>281.0162499999999</v>
      </c>
      <c r="E1075" s="35">
        <f t="shared" si="33"/>
        <v>780.7254999999999</v>
      </c>
      <c r="F1075" s="35">
        <f t="shared" si="33"/>
        <v>1216.5</v>
      </c>
      <c r="G1075" s="35">
        <f t="shared" si="33"/>
        <v>79.166666666666671</v>
      </c>
      <c r="H1075" s="37">
        <f t="shared" si="33"/>
        <v>600</v>
      </c>
      <c r="I1075" s="35">
        <f t="shared" si="33"/>
        <v>695</v>
      </c>
      <c r="J1075" s="35">
        <f t="shared" si="33"/>
        <v>33.333333333333336</v>
      </c>
      <c r="K1075" s="36"/>
      <c r="L1075" s="36"/>
      <c r="M1075" s="36"/>
      <c r="N1075" s="36"/>
      <c r="O1075" s="36"/>
      <c r="P1075" s="36"/>
      <c r="Q1075" s="36"/>
      <c r="R1075" s="36"/>
      <c r="S1075" s="36"/>
      <c r="T1075" s="36"/>
    </row>
    <row r="1076" spans="1:20" ht="15">
      <c r="A1076" s="3">
        <f t="shared" si="30"/>
        <v>2041</v>
      </c>
      <c r="B1076" s="3">
        <f t="shared" si="8"/>
        <v>365</v>
      </c>
      <c r="C1076" s="35">
        <f t="shared" ref="C1076:J1076" si="34">AVERAGE(C329:C340)</f>
        <v>154.75825</v>
      </c>
      <c r="D1076" s="35">
        <f t="shared" si="34"/>
        <v>281.0162499999999</v>
      </c>
      <c r="E1076" s="35">
        <f t="shared" si="34"/>
        <v>780.7254999999999</v>
      </c>
      <c r="F1076" s="35">
        <f t="shared" si="34"/>
        <v>1216.5</v>
      </c>
      <c r="G1076" s="35">
        <f t="shared" si="34"/>
        <v>79.166666666666671</v>
      </c>
      <c r="H1076" s="37">
        <f t="shared" si="34"/>
        <v>600</v>
      </c>
      <c r="I1076" s="35">
        <f t="shared" si="34"/>
        <v>695</v>
      </c>
      <c r="J1076" s="35">
        <f t="shared" si="34"/>
        <v>33.333333333333336</v>
      </c>
      <c r="K1076" s="36"/>
      <c r="L1076" s="36"/>
      <c r="M1076" s="36"/>
      <c r="N1076" s="36"/>
      <c r="O1076" s="36"/>
      <c r="P1076" s="36"/>
      <c r="Q1076" s="36"/>
      <c r="R1076" s="36"/>
      <c r="S1076" s="36"/>
      <c r="T1076" s="36"/>
    </row>
    <row r="1077" spans="1:20" ht="15">
      <c r="A1077" s="3">
        <f t="shared" si="30"/>
        <v>2042</v>
      </c>
      <c r="B1077" s="3">
        <f t="shared" si="8"/>
        <v>365</v>
      </c>
      <c r="C1077" s="35">
        <f t="shared" ref="C1077:J1077" si="35">AVERAGE(C341:C352)</f>
        <v>154.75825</v>
      </c>
      <c r="D1077" s="35">
        <f t="shared" si="35"/>
        <v>281.0162499999999</v>
      </c>
      <c r="E1077" s="35">
        <f t="shared" si="35"/>
        <v>780.7254999999999</v>
      </c>
      <c r="F1077" s="35">
        <f t="shared" si="35"/>
        <v>1216.5</v>
      </c>
      <c r="G1077" s="35">
        <f t="shared" si="35"/>
        <v>79.166666666666671</v>
      </c>
      <c r="H1077" s="37">
        <f t="shared" si="35"/>
        <v>600</v>
      </c>
      <c r="I1077" s="35">
        <f t="shared" si="35"/>
        <v>695</v>
      </c>
      <c r="J1077" s="35">
        <f t="shared" si="35"/>
        <v>33.333333333333336</v>
      </c>
      <c r="K1077" s="36"/>
      <c r="L1077" s="36"/>
      <c r="M1077" s="36"/>
      <c r="N1077" s="36"/>
      <c r="O1077" s="36"/>
      <c r="P1077" s="36"/>
      <c r="Q1077" s="36"/>
      <c r="R1077" s="36"/>
      <c r="S1077" s="36"/>
      <c r="T1077" s="36"/>
    </row>
    <row r="1078" spans="1:20" ht="15">
      <c r="A1078" s="3">
        <f t="shared" si="30"/>
        <v>2043</v>
      </c>
      <c r="B1078" s="3">
        <f t="shared" si="8"/>
        <v>365</v>
      </c>
      <c r="C1078" s="35">
        <f t="shared" ref="C1078:J1078" si="36">AVERAGE(C353:C364)</f>
        <v>154.75825</v>
      </c>
      <c r="D1078" s="35">
        <f t="shared" si="36"/>
        <v>281.0162499999999</v>
      </c>
      <c r="E1078" s="35">
        <f t="shared" si="36"/>
        <v>780.7254999999999</v>
      </c>
      <c r="F1078" s="35">
        <f t="shared" si="36"/>
        <v>1216.5</v>
      </c>
      <c r="G1078" s="35">
        <f t="shared" si="36"/>
        <v>79.166666666666671</v>
      </c>
      <c r="H1078" s="37">
        <f t="shared" si="36"/>
        <v>600</v>
      </c>
      <c r="I1078" s="35">
        <f t="shared" si="36"/>
        <v>695</v>
      </c>
      <c r="J1078" s="35">
        <f t="shared" si="36"/>
        <v>33.333333333333336</v>
      </c>
      <c r="K1078" s="36"/>
      <c r="L1078" s="36"/>
      <c r="M1078" s="36"/>
      <c r="N1078" s="36"/>
      <c r="O1078" s="36"/>
      <c r="P1078" s="36"/>
      <c r="Q1078" s="36"/>
      <c r="R1078" s="36"/>
      <c r="S1078" s="36"/>
      <c r="T1078" s="36"/>
    </row>
    <row r="1079" spans="1:20" ht="15">
      <c r="A1079" s="3">
        <f t="shared" si="30"/>
        <v>2044</v>
      </c>
      <c r="B1079" s="3">
        <f t="shared" si="8"/>
        <v>366</v>
      </c>
      <c r="C1079" s="35">
        <f t="shared" ref="C1079:J1079" si="37">AVERAGE(C365:C376)</f>
        <v>154.75825</v>
      </c>
      <c r="D1079" s="35">
        <f t="shared" si="37"/>
        <v>281.0162499999999</v>
      </c>
      <c r="E1079" s="35">
        <f t="shared" si="37"/>
        <v>780.7254999999999</v>
      </c>
      <c r="F1079" s="35">
        <f t="shared" si="37"/>
        <v>1216.5</v>
      </c>
      <c r="G1079" s="35">
        <f t="shared" si="37"/>
        <v>79.166666666666671</v>
      </c>
      <c r="H1079" s="37">
        <f t="shared" si="37"/>
        <v>600</v>
      </c>
      <c r="I1079" s="35">
        <f t="shared" si="37"/>
        <v>695</v>
      </c>
      <c r="J1079" s="35">
        <f t="shared" si="37"/>
        <v>33.333333333333336</v>
      </c>
      <c r="K1079" s="36"/>
      <c r="L1079" s="36"/>
      <c r="M1079" s="36"/>
      <c r="N1079" s="36"/>
      <c r="O1079" s="36"/>
      <c r="P1079" s="36"/>
      <c r="Q1079" s="36"/>
      <c r="R1079" s="36"/>
      <c r="S1079" s="36"/>
      <c r="T1079" s="36"/>
    </row>
    <row r="1080" spans="1:20" ht="15">
      <c r="A1080" s="3">
        <f t="shared" si="30"/>
        <v>2045</v>
      </c>
      <c r="B1080" s="3">
        <f t="shared" si="8"/>
        <v>365</v>
      </c>
      <c r="C1080" s="35">
        <f t="shared" ref="C1080:J1080" si="38">AVERAGE(C377:C388)</f>
        <v>154.75825</v>
      </c>
      <c r="D1080" s="35">
        <f t="shared" si="38"/>
        <v>281.0162499999999</v>
      </c>
      <c r="E1080" s="35">
        <f t="shared" si="38"/>
        <v>780.7254999999999</v>
      </c>
      <c r="F1080" s="35">
        <f t="shared" si="38"/>
        <v>1216.5</v>
      </c>
      <c r="G1080" s="35">
        <f t="shared" si="38"/>
        <v>79.166666666666671</v>
      </c>
      <c r="H1080" s="37">
        <f t="shared" si="38"/>
        <v>600</v>
      </c>
      <c r="I1080" s="35">
        <f t="shared" si="38"/>
        <v>695</v>
      </c>
      <c r="J1080" s="35">
        <f t="shared" si="38"/>
        <v>33.333333333333336</v>
      </c>
      <c r="K1080" s="36"/>
      <c r="L1080" s="36"/>
      <c r="M1080" s="36"/>
      <c r="N1080" s="36"/>
      <c r="O1080" s="36"/>
      <c r="P1080" s="36"/>
      <c r="Q1080" s="36"/>
      <c r="R1080" s="36"/>
      <c r="S1080" s="36"/>
      <c r="T1080" s="36"/>
    </row>
    <row r="1081" spans="1:20" ht="15">
      <c r="A1081" s="3">
        <f t="shared" si="30"/>
        <v>2046</v>
      </c>
      <c r="B1081" s="3">
        <f t="shared" si="8"/>
        <v>365</v>
      </c>
      <c r="C1081" s="35">
        <f t="shared" ref="C1081:J1081" si="39">AVERAGE(C389:C400)</f>
        <v>154.75825</v>
      </c>
      <c r="D1081" s="35">
        <f t="shared" si="39"/>
        <v>281.0162499999999</v>
      </c>
      <c r="E1081" s="35">
        <f t="shared" si="39"/>
        <v>780.7254999999999</v>
      </c>
      <c r="F1081" s="35">
        <f t="shared" si="39"/>
        <v>1216.5</v>
      </c>
      <c r="G1081" s="35">
        <f t="shared" si="39"/>
        <v>79.166666666666671</v>
      </c>
      <c r="H1081" s="37">
        <f t="shared" si="39"/>
        <v>600</v>
      </c>
      <c r="I1081" s="35">
        <f t="shared" si="39"/>
        <v>695</v>
      </c>
      <c r="J1081" s="35">
        <f t="shared" si="39"/>
        <v>33.333333333333336</v>
      </c>
      <c r="K1081" s="36"/>
      <c r="L1081" s="36"/>
      <c r="M1081" s="36"/>
      <c r="N1081" s="36"/>
      <c r="O1081" s="36"/>
      <c r="P1081" s="36"/>
      <c r="Q1081" s="36"/>
      <c r="R1081" s="36"/>
      <c r="S1081" s="36"/>
      <c r="T1081" s="36"/>
    </row>
    <row r="1082" spans="1:20" ht="15">
      <c r="A1082" s="3">
        <f t="shared" si="30"/>
        <v>2047</v>
      </c>
      <c r="B1082" s="3">
        <f t="shared" ref="B1082:B1113" si="40">DATE(A1082+1,1,1)-DATE(A1082,1,1)</f>
        <v>365</v>
      </c>
      <c r="C1082" s="35">
        <f t="shared" ref="C1082:J1082" si="41">AVERAGE(C401:C412)</f>
        <v>154.75825</v>
      </c>
      <c r="D1082" s="35">
        <f t="shared" si="41"/>
        <v>281.0162499999999</v>
      </c>
      <c r="E1082" s="35">
        <f t="shared" si="41"/>
        <v>780.7254999999999</v>
      </c>
      <c r="F1082" s="35">
        <f t="shared" si="41"/>
        <v>1216.5</v>
      </c>
      <c r="G1082" s="35">
        <f t="shared" si="41"/>
        <v>79.166666666666671</v>
      </c>
      <c r="H1082" s="37">
        <f t="shared" si="41"/>
        <v>600</v>
      </c>
      <c r="I1082" s="35">
        <f t="shared" si="41"/>
        <v>695</v>
      </c>
      <c r="J1082" s="35">
        <f t="shared" si="41"/>
        <v>33.333333333333336</v>
      </c>
      <c r="K1082" s="36"/>
      <c r="L1082" s="36"/>
      <c r="M1082" s="36"/>
      <c r="N1082" s="36"/>
      <c r="O1082" s="36"/>
      <c r="P1082" s="36"/>
      <c r="Q1082" s="36"/>
      <c r="R1082" s="36"/>
      <c r="S1082" s="36"/>
      <c r="T1082" s="36"/>
    </row>
    <row r="1083" spans="1:20" ht="15">
      <c r="A1083" s="3">
        <f t="shared" si="30"/>
        <v>2048</v>
      </c>
      <c r="B1083" s="3">
        <f t="shared" si="40"/>
        <v>366</v>
      </c>
      <c r="C1083" s="35">
        <f t="shared" ref="C1083:J1083" si="42">AVERAGE(C413:C424)</f>
        <v>154.75825</v>
      </c>
      <c r="D1083" s="35">
        <f t="shared" si="42"/>
        <v>281.0162499999999</v>
      </c>
      <c r="E1083" s="35">
        <f t="shared" si="42"/>
        <v>780.7254999999999</v>
      </c>
      <c r="F1083" s="35">
        <f t="shared" si="42"/>
        <v>1216.5</v>
      </c>
      <c r="G1083" s="35">
        <f t="shared" si="42"/>
        <v>79.166666666666671</v>
      </c>
      <c r="H1083" s="37">
        <f t="shared" si="42"/>
        <v>600</v>
      </c>
      <c r="I1083" s="35">
        <f t="shared" si="42"/>
        <v>695</v>
      </c>
      <c r="J1083" s="35">
        <f t="shared" si="42"/>
        <v>33.333333333333336</v>
      </c>
      <c r="K1083" s="36"/>
      <c r="L1083" s="36"/>
      <c r="M1083" s="36"/>
      <c r="N1083" s="36"/>
      <c r="O1083" s="36"/>
      <c r="P1083" s="36"/>
      <c r="Q1083" s="36"/>
      <c r="R1083" s="36"/>
      <c r="S1083" s="36"/>
      <c r="T1083" s="36"/>
    </row>
    <row r="1084" spans="1:20" ht="15">
      <c r="A1084" s="3">
        <f t="shared" si="30"/>
        <v>2049</v>
      </c>
      <c r="B1084" s="3">
        <f t="shared" si="40"/>
        <v>365</v>
      </c>
      <c r="C1084" s="35">
        <f t="shared" ref="C1084:J1084" si="43">AVERAGE(C425:C436)</f>
        <v>154.75825</v>
      </c>
      <c r="D1084" s="35">
        <f t="shared" si="43"/>
        <v>281.0162499999999</v>
      </c>
      <c r="E1084" s="35">
        <f t="shared" si="43"/>
        <v>780.7254999999999</v>
      </c>
      <c r="F1084" s="35">
        <f t="shared" si="43"/>
        <v>1216.5</v>
      </c>
      <c r="G1084" s="35">
        <f t="shared" si="43"/>
        <v>79.166666666666671</v>
      </c>
      <c r="H1084" s="37">
        <f t="shared" si="43"/>
        <v>600</v>
      </c>
      <c r="I1084" s="35">
        <f t="shared" si="43"/>
        <v>695</v>
      </c>
      <c r="J1084" s="35">
        <f t="shared" si="43"/>
        <v>33.333333333333336</v>
      </c>
      <c r="K1084" s="36"/>
      <c r="L1084" s="36"/>
      <c r="M1084" s="36"/>
      <c r="N1084" s="36"/>
      <c r="O1084" s="36"/>
      <c r="P1084" s="36"/>
      <c r="Q1084" s="36"/>
      <c r="R1084" s="36"/>
      <c r="S1084" s="36"/>
      <c r="T1084" s="36"/>
    </row>
    <row r="1085" spans="1:20" ht="15">
      <c r="A1085" s="3">
        <f t="shared" si="30"/>
        <v>2050</v>
      </c>
      <c r="B1085" s="3">
        <f t="shared" si="40"/>
        <v>365</v>
      </c>
      <c r="C1085" s="35">
        <f t="shared" ref="C1085:J1085" si="44">AVERAGE(C437:C448)</f>
        <v>154.75825</v>
      </c>
      <c r="D1085" s="35">
        <f t="shared" si="44"/>
        <v>281.0162499999999</v>
      </c>
      <c r="E1085" s="35">
        <f t="shared" si="44"/>
        <v>780.7254999999999</v>
      </c>
      <c r="F1085" s="35">
        <f t="shared" si="44"/>
        <v>1216.5</v>
      </c>
      <c r="G1085" s="35">
        <f t="shared" si="44"/>
        <v>79.166666666666671</v>
      </c>
      <c r="H1085" s="37">
        <f t="shared" si="44"/>
        <v>600</v>
      </c>
      <c r="I1085" s="35">
        <f t="shared" si="44"/>
        <v>695</v>
      </c>
      <c r="J1085" s="35">
        <f t="shared" si="44"/>
        <v>33.333333333333336</v>
      </c>
      <c r="K1085" s="36"/>
      <c r="L1085" s="36"/>
      <c r="M1085" s="36"/>
      <c r="N1085" s="36"/>
      <c r="O1085" s="36"/>
      <c r="P1085" s="36"/>
      <c r="Q1085" s="36"/>
      <c r="R1085" s="36"/>
      <c r="S1085" s="36"/>
      <c r="T1085" s="36"/>
    </row>
    <row r="1086" spans="1:20" ht="15">
      <c r="A1086" s="3">
        <f t="shared" si="30"/>
        <v>2051</v>
      </c>
      <c r="B1086" s="3">
        <f t="shared" si="40"/>
        <v>365</v>
      </c>
      <c r="C1086" s="35">
        <f t="shared" ref="C1086:J1086" si="45">AVERAGE(C449:C460)</f>
        <v>154.75825</v>
      </c>
      <c r="D1086" s="35">
        <f t="shared" si="45"/>
        <v>281.0162499999999</v>
      </c>
      <c r="E1086" s="35">
        <f t="shared" si="45"/>
        <v>780.7254999999999</v>
      </c>
      <c r="F1086" s="35">
        <f t="shared" si="45"/>
        <v>1216.5</v>
      </c>
      <c r="G1086" s="35">
        <f t="shared" si="45"/>
        <v>79.166666666666671</v>
      </c>
      <c r="H1086" s="37">
        <f t="shared" si="45"/>
        <v>600</v>
      </c>
      <c r="I1086" s="35">
        <f t="shared" si="45"/>
        <v>695</v>
      </c>
      <c r="J1086" s="35">
        <f t="shared" si="45"/>
        <v>33.333333333333336</v>
      </c>
      <c r="K1086" s="36"/>
      <c r="L1086" s="36"/>
      <c r="M1086" s="36"/>
      <c r="N1086" s="36"/>
      <c r="O1086" s="36"/>
      <c r="P1086" s="36"/>
      <c r="Q1086" s="36"/>
      <c r="R1086" s="36"/>
      <c r="S1086" s="36"/>
      <c r="T1086" s="36"/>
    </row>
    <row r="1087" spans="1:20" ht="15">
      <c r="A1087" s="3">
        <f t="shared" si="30"/>
        <v>2052</v>
      </c>
      <c r="B1087" s="3">
        <f t="shared" si="40"/>
        <v>366</v>
      </c>
      <c r="C1087" s="35">
        <f t="shared" ref="C1087:J1087" si="46">AVERAGE(C461:C472)</f>
        <v>154.75825</v>
      </c>
      <c r="D1087" s="35">
        <f t="shared" si="46"/>
        <v>281.0162499999999</v>
      </c>
      <c r="E1087" s="35">
        <f t="shared" si="46"/>
        <v>780.7254999999999</v>
      </c>
      <c r="F1087" s="35">
        <f t="shared" si="46"/>
        <v>1216.5</v>
      </c>
      <c r="G1087" s="35">
        <f t="shared" si="46"/>
        <v>79.166666666666671</v>
      </c>
      <c r="H1087" s="37">
        <f t="shared" si="46"/>
        <v>600</v>
      </c>
      <c r="I1087" s="35">
        <f t="shared" si="46"/>
        <v>695</v>
      </c>
      <c r="J1087" s="35">
        <f t="shared" si="46"/>
        <v>33.333333333333336</v>
      </c>
      <c r="K1087" s="36"/>
      <c r="L1087" s="36"/>
      <c r="M1087" s="36"/>
      <c r="N1087" s="36"/>
      <c r="O1087" s="36"/>
      <c r="P1087" s="36"/>
      <c r="Q1087" s="36"/>
      <c r="R1087" s="36"/>
      <c r="S1087" s="36"/>
      <c r="T1087" s="36"/>
    </row>
    <row r="1088" spans="1:20" ht="15">
      <c r="A1088" s="3">
        <f t="shared" si="30"/>
        <v>2053</v>
      </c>
      <c r="B1088" s="3">
        <f t="shared" si="40"/>
        <v>365</v>
      </c>
      <c r="C1088" s="35">
        <f t="shared" ref="C1088:J1088" si="47">AVERAGE(C473:C484)</f>
        <v>154.75825</v>
      </c>
      <c r="D1088" s="35">
        <f t="shared" si="47"/>
        <v>281.0162499999999</v>
      </c>
      <c r="E1088" s="35">
        <f t="shared" si="47"/>
        <v>780.7254999999999</v>
      </c>
      <c r="F1088" s="35">
        <f t="shared" si="47"/>
        <v>1216.5</v>
      </c>
      <c r="G1088" s="35">
        <f t="shared" si="47"/>
        <v>79.166666666666671</v>
      </c>
      <c r="H1088" s="37">
        <f t="shared" si="47"/>
        <v>600</v>
      </c>
      <c r="I1088" s="35">
        <f t="shared" si="47"/>
        <v>695</v>
      </c>
      <c r="J1088" s="35">
        <f t="shared" si="47"/>
        <v>33.333333333333336</v>
      </c>
      <c r="K1088" s="36"/>
      <c r="L1088" s="36"/>
      <c r="M1088" s="36"/>
      <c r="N1088" s="36"/>
      <c r="O1088" s="36"/>
      <c r="P1088" s="36"/>
      <c r="Q1088" s="36"/>
      <c r="R1088" s="36"/>
      <c r="S1088" s="36"/>
      <c r="T1088" s="36"/>
    </row>
    <row r="1089" spans="1:20" ht="15">
      <c r="A1089" s="3">
        <f t="shared" si="30"/>
        <v>2054</v>
      </c>
      <c r="B1089" s="3">
        <f t="shared" si="40"/>
        <v>365</v>
      </c>
      <c r="C1089" s="35">
        <f t="shared" ref="C1089:J1096" si="48">AVERAGE(C485:C496)</f>
        <v>154.75825</v>
      </c>
      <c r="D1089" s="35">
        <f t="shared" si="48"/>
        <v>281.0162499999999</v>
      </c>
      <c r="E1089" s="35">
        <f t="shared" si="48"/>
        <v>780.7254999999999</v>
      </c>
      <c r="F1089" s="35">
        <f t="shared" si="48"/>
        <v>1216.5</v>
      </c>
      <c r="G1089" s="35">
        <f t="shared" si="48"/>
        <v>79.166666666666671</v>
      </c>
      <c r="H1089" s="37">
        <f t="shared" si="48"/>
        <v>600</v>
      </c>
      <c r="I1089" s="35">
        <f t="shared" si="48"/>
        <v>695</v>
      </c>
      <c r="J1089" s="35">
        <f t="shared" si="48"/>
        <v>33.333333333333336</v>
      </c>
      <c r="K1089" s="36"/>
      <c r="L1089" s="36"/>
      <c r="M1089" s="36"/>
      <c r="N1089" s="36"/>
      <c r="O1089" s="36"/>
      <c r="P1089" s="36"/>
      <c r="Q1089" s="36"/>
      <c r="R1089" s="36"/>
      <c r="S1089" s="36"/>
      <c r="T1089" s="36"/>
    </row>
    <row r="1090" spans="1:20" ht="15">
      <c r="A1090" s="3">
        <f t="shared" si="30"/>
        <v>2055</v>
      </c>
      <c r="B1090" s="3">
        <f t="shared" si="40"/>
        <v>365</v>
      </c>
      <c r="C1090" s="35">
        <f t="shared" si="48"/>
        <v>154.75825</v>
      </c>
      <c r="D1090" s="35">
        <f t="shared" si="48"/>
        <v>281.0162499999999</v>
      </c>
      <c r="E1090" s="35">
        <f t="shared" si="48"/>
        <v>780.7254999999999</v>
      </c>
      <c r="F1090" s="35">
        <f t="shared" si="48"/>
        <v>1216.5</v>
      </c>
      <c r="G1090" s="35">
        <f t="shared" si="48"/>
        <v>79.166666666666671</v>
      </c>
      <c r="H1090" s="37">
        <f t="shared" si="48"/>
        <v>600</v>
      </c>
      <c r="I1090" s="35">
        <f t="shared" si="48"/>
        <v>695</v>
      </c>
      <c r="J1090" s="35">
        <f t="shared" si="48"/>
        <v>33.333333333333336</v>
      </c>
      <c r="K1090" s="36"/>
      <c r="L1090" s="36"/>
      <c r="M1090" s="36"/>
      <c r="N1090" s="36"/>
      <c r="O1090" s="36"/>
      <c r="P1090" s="36"/>
      <c r="Q1090" s="36"/>
      <c r="R1090" s="36"/>
      <c r="S1090" s="36"/>
      <c r="T1090" s="36"/>
    </row>
    <row r="1091" spans="1:20" ht="15">
      <c r="A1091" s="3">
        <f t="shared" si="30"/>
        <v>2056</v>
      </c>
      <c r="B1091" s="3">
        <f t="shared" si="40"/>
        <v>366</v>
      </c>
      <c r="C1091" s="35">
        <f t="shared" si="48"/>
        <v>154.75824999999998</v>
      </c>
      <c r="D1091" s="35">
        <f t="shared" si="48"/>
        <v>281.0162499999999</v>
      </c>
      <c r="E1091" s="35">
        <f t="shared" si="48"/>
        <v>780.7254999999999</v>
      </c>
      <c r="F1091" s="35">
        <f t="shared" si="48"/>
        <v>1216.5</v>
      </c>
      <c r="G1091" s="35">
        <f t="shared" si="48"/>
        <v>79.166666666666671</v>
      </c>
      <c r="H1091" s="37">
        <f t="shared" si="48"/>
        <v>600</v>
      </c>
      <c r="I1091" s="35">
        <f t="shared" si="48"/>
        <v>695</v>
      </c>
      <c r="J1091" s="35">
        <f t="shared" si="48"/>
        <v>33.333333333333336</v>
      </c>
      <c r="K1091" s="36"/>
      <c r="L1091" s="36"/>
      <c r="M1091" s="36"/>
      <c r="N1091" s="36"/>
      <c r="O1091" s="36"/>
      <c r="P1091" s="36"/>
      <c r="Q1091" s="36"/>
      <c r="R1091" s="36"/>
      <c r="S1091" s="36"/>
      <c r="T1091" s="36"/>
    </row>
    <row r="1092" spans="1:20" ht="15">
      <c r="A1092" s="3">
        <f t="shared" si="30"/>
        <v>2057</v>
      </c>
      <c r="B1092" s="3">
        <f t="shared" si="40"/>
        <v>365</v>
      </c>
      <c r="C1092" s="35">
        <f t="shared" si="48"/>
        <v>154.75825</v>
      </c>
      <c r="D1092" s="35">
        <f t="shared" si="48"/>
        <v>281.0162499999999</v>
      </c>
      <c r="E1092" s="35">
        <f t="shared" si="48"/>
        <v>780.72550000000001</v>
      </c>
      <c r="F1092" s="35">
        <f t="shared" si="48"/>
        <v>1216.5</v>
      </c>
      <c r="G1092" s="35">
        <f t="shared" si="48"/>
        <v>79.166666666666671</v>
      </c>
      <c r="H1092" s="37">
        <f t="shared" si="48"/>
        <v>600</v>
      </c>
      <c r="I1092" s="35">
        <f t="shared" si="48"/>
        <v>695</v>
      </c>
      <c r="J1092" s="35">
        <f t="shared" si="48"/>
        <v>33.333333333333336</v>
      </c>
      <c r="K1092" s="36"/>
      <c r="L1092" s="36"/>
      <c r="M1092" s="36"/>
      <c r="N1092" s="36"/>
      <c r="O1092" s="36"/>
      <c r="P1092" s="36"/>
      <c r="Q1092" s="36"/>
      <c r="R1092" s="36"/>
      <c r="S1092" s="36"/>
      <c r="T1092" s="36"/>
    </row>
    <row r="1093" spans="1:20" ht="15">
      <c r="A1093" s="3">
        <f t="shared" si="30"/>
        <v>2058</v>
      </c>
      <c r="B1093" s="3">
        <f t="shared" si="40"/>
        <v>365</v>
      </c>
      <c r="C1093" s="35">
        <f t="shared" si="48"/>
        <v>154.75824999999998</v>
      </c>
      <c r="D1093" s="35">
        <f t="shared" si="48"/>
        <v>281.01624999999996</v>
      </c>
      <c r="E1093" s="35">
        <f t="shared" si="48"/>
        <v>780.72550000000001</v>
      </c>
      <c r="F1093" s="35">
        <f t="shared" si="48"/>
        <v>1216.5</v>
      </c>
      <c r="G1093" s="35">
        <f t="shared" si="48"/>
        <v>79.166666666666671</v>
      </c>
      <c r="H1093" s="37">
        <f t="shared" si="48"/>
        <v>600</v>
      </c>
      <c r="I1093" s="35">
        <f t="shared" si="48"/>
        <v>695</v>
      </c>
      <c r="J1093" s="35">
        <f t="shared" si="48"/>
        <v>33.333333333333336</v>
      </c>
      <c r="K1093" s="36"/>
      <c r="L1093" s="36"/>
      <c r="M1093" s="36"/>
      <c r="N1093" s="36"/>
      <c r="O1093" s="36"/>
      <c r="P1093" s="36"/>
      <c r="Q1093" s="36"/>
      <c r="R1093" s="36"/>
      <c r="S1093" s="36"/>
      <c r="T1093" s="36"/>
    </row>
    <row r="1094" spans="1:20" ht="15">
      <c r="A1094" s="3">
        <f t="shared" si="30"/>
        <v>2059</v>
      </c>
      <c r="B1094" s="3">
        <f t="shared" si="40"/>
        <v>365</v>
      </c>
      <c r="C1094" s="35">
        <f t="shared" si="48"/>
        <v>154.75824999999998</v>
      </c>
      <c r="D1094" s="35">
        <f t="shared" si="48"/>
        <v>281.01624999999996</v>
      </c>
      <c r="E1094" s="35">
        <f t="shared" si="48"/>
        <v>780.72550000000012</v>
      </c>
      <c r="F1094" s="35">
        <f t="shared" si="48"/>
        <v>1216.5</v>
      </c>
      <c r="G1094" s="35">
        <f t="shared" si="48"/>
        <v>79.166666666666671</v>
      </c>
      <c r="H1094" s="37">
        <f t="shared" si="48"/>
        <v>600</v>
      </c>
      <c r="I1094" s="35">
        <f t="shared" si="48"/>
        <v>695</v>
      </c>
      <c r="J1094" s="35">
        <f t="shared" si="48"/>
        <v>33.333333333333336</v>
      </c>
      <c r="K1094" s="36"/>
      <c r="L1094" s="36"/>
      <c r="M1094" s="36"/>
      <c r="N1094" s="36"/>
      <c r="O1094" s="36"/>
      <c r="P1094" s="36"/>
      <c r="Q1094" s="36"/>
      <c r="R1094" s="36"/>
      <c r="S1094" s="36"/>
      <c r="T1094" s="36"/>
    </row>
    <row r="1095" spans="1:20" ht="15">
      <c r="A1095" s="3">
        <f t="shared" si="30"/>
        <v>2060</v>
      </c>
      <c r="B1095" s="3">
        <f t="shared" si="40"/>
        <v>366</v>
      </c>
      <c r="C1095" s="35">
        <f t="shared" si="48"/>
        <v>154.75824999999998</v>
      </c>
      <c r="D1095" s="35">
        <f t="shared" si="48"/>
        <v>281.01624999999996</v>
      </c>
      <c r="E1095" s="35">
        <f t="shared" si="48"/>
        <v>780.72550000000012</v>
      </c>
      <c r="F1095" s="35">
        <f t="shared" si="48"/>
        <v>1216.5</v>
      </c>
      <c r="G1095" s="35">
        <f t="shared" si="48"/>
        <v>79.166666666666671</v>
      </c>
      <c r="H1095" s="37">
        <f t="shared" si="48"/>
        <v>600</v>
      </c>
      <c r="I1095" s="35">
        <f t="shared" si="48"/>
        <v>695</v>
      </c>
      <c r="J1095" s="35">
        <f t="shared" si="48"/>
        <v>33.333333333333336</v>
      </c>
      <c r="K1095" s="36"/>
      <c r="L1095" s="36"/>
      <c r="M1095" s="36"/>
      <c r="N1095" s="36"/>
      <c r="O1095" s="36"/>
      <c r="P1095" s="36"/>
      <c r="Q1095" s="36"/>
      <c r="R1095" s="36"/>
      <c r="S1095" s="36"/>
      <c r="T1095" s="36"/>
    </row>
    <row r="1096" spans="1:20" ht="15">
      <c r="A1096" s="3">
        <f t="shared" si="30"/>
        <v>2061</v>
      </c>
      <c r="B1096" s="3">
        <f t="shared" si="40"/>
        <v>365</v>
      </c>
      <c r="C1096" s="35">
        <f t="shared" si="48"/>
        <v>154.75825</v>
      </c>
      <c r="D1096" s="35">
        <f t="shared" si="48"/>
        <v>281.01624999999996</v>
      </c>
      <c r="E1096" s="35">
        <f t="shared" si="48"/>
        <v>780.72550000000001</v>
      </c>
      <c r="F1096" s="35">
        <f t="shared" si="48"/>
        <v>1216.5</v>
      </c>
      <c r="G1096" s="35">
        <f t="shared" si="48"/>
        <v>79.166666666666671</v>
      </c>
      <c r="H1096" s="37">
        <f t="shared" si="48"/>
        <v>600</v>
      </c>
      <c r="I1096" s="35">
        <f t="shared" si="48"/>
        <v>695</v>
      </c>
      <c r="J1096" s="35">
        <f t="shared" si="48"/>
        <v>33.333333333333336</v>
      </c>
      <c r="K1096" s="36"/>
      <c r="L1096" s="36"/>
      <c r="M1096" s="36"/>
      <c r="N1096" s="36"/>
      <c r="O1096" s="36"/>
      <c r="P1096" s="36"/>
      <c r="Q1096" s="36"/>
      <c r="R1096" s="36"/>
      <c r="S1096" s="36"/>
      <c r="T1096" s="36"/>
    </row>
    <row r="1097" spans="1:20" ht="15">
      <c r="A1097" s="3">
        <f t="shared" si="30"/>
        <v>2062</v>
      </c>
      <c r="B1097" s="3">
        <f t="shared" si="40"/>
        <v>365</v>
      </c>
      <c r="C1097" s="35">
        <f t="shared" ref="C1097:J1106" ca="1" si="49">AVERAGE(OFFSET(C$581,($A1097-$A$1097)*12,0,12,1))</f>
        <v>154.75825</v>
      </c>
      <c r="D1097" s="35">
        <f t="shared" ca="1" si="49"/>
        <v>281.0162499999999</v>
      </c>
      <c r="E1097" s="35">
        <f t="shared" ca="1" si="49"/>
        <v>780.7254999999999</v>
      </c>
      <c r="F1097" s="35">
        <f t="shared" ca="1" si="49"/>
        <v>1216.5</v>
      </c>
      <c r="G1097" s="35">
        <f t="shared" ca="1" si="49"/>
        <v>79.166666666666671</v>
      </c>
      <c r="H1097" s="35">
        <f t="shared" ca="1" si="49"/>
        <v>600</v>
      </c>
      <c r="I1097" s="35">
        <f t="shared" ca="1" si="49"/>
        <v>695</v>
      </c>
      <c r="J1097" s="35">
        <f t="shared" ca="1" si="49"/>
        <v>33.333333333333336</v>
      </c>
      <c r="K1097" s="36"/>
      <c r="L1097" s="36"/>
      <c r="M1097" s="36"/>
      <c r="N1097" s="36"/>
      <c r="O1097" s="36"/>
      <c r="P1097" s="36"/>
      <c r="Q1097" s="36"/>
      <c r="R1097" s="36"/>
      <c r="S1097" s="36"/>
      <c r="T1097" s="36"/>
    </row>
    <row r="1098" spans="1:20" ht="15">
      <c r="A1098" s="3">
        <f t="shared" si="30"/>
        <v>2063</v>
      </c>
      <c r="B1098" s="3">
        <f t="shared" si="40"/>
        <v>365</v>
      </c>
      <c r="C1098" s="35">
        <f t="shared" ca="1" si="49"/>
        <v>154.75825</v>
      </c>
      <c r="D1098" s="35">
        <f t="shared" ca="1" si="49"/>
        <v>281.0162499999999</v>
      </c>
      <c r="E1098" s="35">
        <f t="shared" ca="1" si="49"/>
        <v>780.7254999999999</v>
      </c>
      <c r="F1098" s="35">
        <f t="shared" ca="1" si="49"/>
        <v>1216.5</v>
      </c>
      <c r="G1098" s="35">
        <f t="shared" ca="1" si="49"/>
        <v>79.166666666666671</v>
      </c>
      <c r="H1098" s="35">
        <f t="shared" ca="1" si="49"/>
        <v>600</v>
      </c>
      <c r="I1098" s="35">
        <f t="shared" ca="1" si="49"/>
        <v>695</v>
      </c>
      <c r="J1098" s="35">
        <f t="shared" ca="1" si="49"/>
        <v>33.333333333333336</v>
      </c>
      <c r="K1098" s="36"/>
      <c r="L1098" s="36"/>
      <c r="M1098" s="36"/>
      <c r="N1098" s="36"/>
      <c r="O1098" s="36"/>
      <c r="P1098" s="36"/>
      <c r="Q1098" s="36"/>
      <c r="R1098" s="36"/>
      <c r="S1098" s="36"/>
      <c r="T1098" s="36"/>
    </row>
    <row r="1099" spans="1:20" ht="15">
      <c r="A1099" s="3">
        <f t="shared" si="30"/>
        <v>2064</v>
      </c>
      <c r="B1099" s="3">
        <f t="shared" si="40"/>
        <v>366</v>
      </c>
      <c r="C1099" s="35">
        <f t="shared" ca="1" si="49"/>
        <v>154.75825</v>
      </c>
      <c r="D1099" s="35">
        <f t="shared" ca="1" si="49"/>
        <v>281.0162499999999</v>
      </c>
      <c r="E1099" s="35">
        <f t="shared" ca="1" si="49"/>
        <v>780.7254999999999</v>
      </c>
      <c r="F1099" s="35">
        <f t="shared" ca="1" si="49"/>
        <v>1216.5</v>
      </c>
      <c r="G1099" s="35">
        <f t="shared" ca="1" si="49"/>
        <v>79.166666666666671</v>
      </c>
      <c r="H1099" s="35">
        <f t="shared" ca="1" si="49"/>
        <v>600</v>
      </c>
      <c r="I1099" s="35">
        <f t="shared" ca="1" si="49"/>
        <v>695</v>
      </c>
      <c r="J1099" s="35">
        <f t="shared" ca="1" si="49"/>
        <v>33.333333333333336</v>
      </c>
      <c r="K1099" s="36"/>
      <c r="L1099" s="36"/>
      <c r="M1099" s="36"/>
      <c r="N1099" s="36"/>
      <c r="O1099" s="36"/>
      <c r="P1099" s="36"/>
      <c r="Q1099" s="36"/>
      <c r="R1099" s="36"/>
      <c r="S1099" s="36"/>
      <c r="T1099" s="36"/>
    </row>
    <row r="1100" spans="1:20" ht="15">
      <c r="A1100" s="3">
        <f t="shared" si="30"/>
        <v>2065</v>
      </c>
      <c r="B1100" s="3">
        <f t="shared" si="40"/>
        <v>365</v>
      </c>
      <c r="C1100" s="35">
        <f t="shared" ca="1" si="49"/>
        <v>154.75825</v>
      </c>
      <c r="D1100" s="35">
        <f t="shared" ca="1" si="49"/>
        <v>281.0162499999999</v>
      </c>
      <c r="E1100" s="35">
        <f t="shared" ca="1" si="49"/>
        <v>780.7254999999999</v>
      </c>
      <c r="F1100" s="35">
        <f t="shared" ca="1" si="49"/>
        <v>1216.5</v>
      </c>
      <c r="G1100" s="35">
        <f t="shared" ca="1" si="49"/>
        <v>79.166666666666671</v>
      </c>
      <c r="H1100" s="35">
        <f t="shared" ca="1" si="49"/>
        <v>600</v>
      </c>
      <c r="I1100" s="35">
        <f t="shared" ca="1" si="49"/>
        <v>695</v>
      </c>
      <c r="J1100" s="35">
        <f t="shared" ca="1" si="49"/>
        <v>33.333333333333336</v>
      </c>
      <c r="K1100" s="36"/>
      <c r="L1100" s="36"/>
      <c r="M1100" s="36"/>
      <c r="N1100" s="36"/>
      <c r="O1100" s="36"/>
      <c r="P1100" s="36"/>
      <c r="Q1100" s="36"/>
      <c r="R1100" s="36"/>
      <c r="S1100" s="36"/>
      <c r="T1100" s="36"/>
    </row>
    <row r="1101" spans="1:20" ht="15">
      <c r="A1101" s="3">
        <f t="shared" si="30"/>
        <v>2066</v>
      </c>
      <c r="B1101" s="3">
        <f t="shared" si="40"/>
        <v>365</v>
      </c>
      <c r="C1101" s="35">
        <f t="shared" ca="1" si="49"/>
        <v>154.75825</v>
      </c>
      <c r="D1101" s="35">
        <f t="shared" ca="1" si="49"/>
        <v>281.0162499999999</v>
      </c>
      <c r="E1101" s="35">
        <f t="shared" ca="1" si="49"/>
        <v>780.7254999999999</v>
      </c>
      <c r="F1101" s="35">
        <f t="shared" ca="1" si="49"/>
        <v>1216.5</v>
      </c>
      <c r="G1101" s="35">
        <f t="shared" ca="1" si="49"/>
        <v>79.166666666666671</v>
      </c>
      <c r="H1101" s="35">
        <f t="shared" ca="1" si="49"/>
        <v>600</v>
      </c>
      <c r="I1101" s="35">
        <f t="shared" ca="1" si="49"/>
        <v>695</v>
      </c>
      <c r="J1101" s="35">
        <f t="shared" ca="1" si="49"/>
        <v>33.333333333333336</v>
      </c>
      <c r="K1101" s="36"/>
      <c r="L1101" s="36"/>
      <c r="M1101" s="36"/>
      <c r="N1101" s="36"/>
      <c r="O1101" s="36"/>
      <c r="P1101" s="36"/>
      <c r="Q1101" s="36"/>
      <c r="R1101" s="36"/>
      <c r="S1101" s="36"/>
      <c r="T1101" s="36"/>
    </row>
    <row r="1102" spans="1:20" ht="15">
      <c r="A1102" s="3">
        <f t="shared" si="30"/>
        <v>2067</v>
      </c>
      <c r="B1102" s="3">
        <f t="shared" si="40"/>
        <v>365</v>
      </c>
      <c r="C1102" s="35">
        <f t="shared" ca="1" si="49"/>
        <v>154.75825</v>
      </c>
      <c r="D1102" s="35">
        <f t="shared" ca="1" si="49"/>
        <v>281.0162499999999</v>
      </c>
      <c r="E1102" s="35">
        <f t="shared" ca="1" si="49"/>
        <v>780.7254999999999</v>
      </c>
      <c r="F1102" s="35">
        <f t="shared" ca="1" si="49"/>
        <v>1216.5</v>
      </c>
      <c r="G1102" s="35">
        <f t="shared" ca="1" si="49"/>
        <v>79.166666666666671</v>
      </c>
      <c r="H1102" s="35">
        <f t="shared" ca="1" si="49"/>
        <v>600</v>
      </c>
      <c r="I1102" s="35">
        <f t="shared" ca="1" si="49"/>
        <v>695</v>
      </c>
      <c r="J1102" s="35">
        <f t="shared" ca="1" si="49"/>
        <v>33.333333333333336</v>
      </c>
      <c r="K1102" s="36"/>
      <c r="L1102" s="36"/>
      <c r="M1102" s="36"/>
      <c r="N1102" s="36"/>
      <c r="O1102" s="36"/>
      <c r="P1102" s="36"/>
      <c r="Q1102" s="36"/>
      <c r="R1102" s="36"/>
      <c r="S1102" s="36"/>
      <c r="T1102" s="36"/>
    </row>
    <row r="1103" spans="1:20" ht="15">
      <c r="A1103" s="3">
        <f t="shared" si="30"/>
        <v>2068</v>
      </c>
      <c r="B1103" s="3">
        <f t="shared" si="40"/>
        <v>366</v>
      </c>
      <c r="C1103" s="35">
        <f t="shared" ca="1" si="49"/>
        <v>154.75825</v>
      </c>
      <c r="D1103" s="35">
        <f t="shared" ca="1" si="49"/>
        <v>281.0162499999999</v>
      </c>
      <c r="E1103" s="35">
        <f t="shared" ca="1" si="49"/>
        <v>780.7254999999999</v>
      </c>
      <c r="F1103" s="35">
        <f t="shared" ca="1" si="49"/>
        <v>1216.5</v>
      </c>
      <c r="G1103" s="35">
        <f t="shared" ca="1" si="49"/>
        <v>79.166666666666671</v>
      </c>
      <c r="H1103" s="35">
        <f t="shared" ca="1" si="49"/>
        <v>600</v>
      </c>
      <c r="I1103" s="35">
        <f t="shared" ca="1" si="49"/>
        <v>695</v>
      </c>
      <c r="J1103" s="35">
        <f t="shared" ca="1" si="49"/>
        <v>33.333333333333336</v>
      </c>
      <c r="K1103" s="36"/>
      <c r="L1103" s="36"/>
      <c r="M1103" s="36"/>
      <c r="N1103" s="36"/>
      <c r="O1103" s="36"/>
      <c r="P1103" s="36"/>
      <c r="Q1103" s="36"/>
      <c r="R1103" s="36"/>
      <c r="S1103" s="36"/>
      <c r="T1103" s="36"/>
    </row>
    <row r="1104" spans="1:20" ht="15">
      <c r="A1104" s="3">
        <f t="shared" si="30"/>
        <v>2069</v>
      </c>
      <c r="B1104" s="3">
        <f t="shared" si="40"/>
        <v>365</v>
      </c>
      <c r="C1104" s="35">
        <f t="shared" ca="1" si="49"/>
        <v>154.75825</v>
      </c>
      <c r="D1104" s="35">
        <f t="shared" ca="1" si="49"/>
        <v>281.0162499999999</v>
      </c>
      <c r="E1104" s="35">
        <f t="shared" ca="1" si="49"/>
        <v>780.7254999999999</v>
      </c>
      <c r="F1104" s="35">
        <f t="shared" ca="1" si="49"/>
        <v>1216.5</v>
      </c>
      <c r="G1104" s="35">
        <f t="shared" ca="1" si="49"/>
        <v>79.166666666666671</v>
      </c>
      <c r="H1104" s="35">
        <f t="shared" ca="1" si="49"/>
        <v>600</v>
      </c>
      <c r="I1104" s="35">
        <f t="shared" ca="1" si="49"/>
        <v>695</v>
      </c>
      <c r="J1104" s="35">
        <f t="shared" ca="1" si="49"/>
        <v>33.333333333333336</v>
      </c>
      <c r="K1104" s="36"/>
      <c r="L1104" s="36"/>
      <c r="M1104" s="36"/>
      <c r="N1104" s="36"/>
      <c r="O1104" s="36"/>
      <c r="P1104" s="36"/>
      <c r="Q1104" s="36"/>
      <c r="R1104" s="36"/>
      <c r="S1104" s="36"/>
      <c r="T1104" s="36"/>
    </row>
    <row r="1105" spans="1:20" ht="15">
      <c r="A1105" s="3">
        <f t="shared" ref="A1105:A1135" si="50">A1104+1</f>
        <v>2070</v>
      </c>
      <c r="B1105" s="3">
        <f t="shared" si="40"/>
        <v>365</v>
      </c>
      <c r="C1105" s="35">
        <f t="shared" ca="1" si="49"/>
        <v>154.75825</v>
      </c>
      <c r="D1105" s="35">
        <f t="shared" ca="1" si="49"/>
        <v>281.0162499999999</v>
      </c>
      <c r="E1105" s="35">
        <f t="shared" ca="1" si="49"/>
        <v>780.7254999999999</v>
      </c>
      <c r="F1105" s="35">
        <f t="shared" ca="1" si="49"/>
        <v>1216.5</v>
      </c>
      <c r="G1105" s="35">
        <f t="shared" ca="1" si="49"/>
        <v>79.166666666666671</v>
      </c>
      <c r="H1105" s="35">
        <f t="shared" ca="1" si="49"/>
        <v>600</v>
      </c>
      <c r="I1105" s="35">
        <f t="shared" ca="1" si="49"/>
        <v>695</v>
      </c>
      <c r="J1105" s="35">
        <f t="shared" ca="1" si="49"/>
        <v>33.333333333333336</v>
      </c>
      <c r="K1105" s="36"/>
      <c r="L1105" s="36"/>
      <c r="M1105" s="36"/>
      <c r="N1105" s="36"/>
      <c r="O1105" s="36"/>
      <c r="P1105" s="36"/>
      <c r="Q1105" s="36"/>
      <c r="R1105" s="36"/>
      <c r="S1105" s="36"/>
      <c r="T1105" s="36"/>
    </row>
    <row r="1106" spans="1:20" ht="15">
      <c r="A1106" s="3">
        <f t="shared" si="50"/>
        <v>2071</v>
      </c>
      <c r="B1106" s="3">
        <f t="shared" si="40"/>
        <v>365</v>
      </c>
      <c r="C1106" s="35">
        <f t="shared" ca="1" si="49"/>
        <v>154.75825</v>
      </c>
      <c r="D1106" s="35">
        <f t="shared" ca="1" si="49"/>
        <v>281.0162499999999</v>
      </c>
      <c r="E1106" s="35">
        <f t="shared" ca="1" si="49"/>
        <v>780.7254999999999</v>
      </c>
      <c r="F1106" s="35">
        <f t="shared" ca="1" si="49"/>
        <v>1216.5</v>
      </c>
      <c r="G1106" s="35">
        <f t="shared" ca="1" si="49"/>
        <v>79.166666666666671</v>
      </c>
      <c r="H1106" s="35">
        <f t="shared" ca="1" si="49"/>
        <v>600</v>
      </c>
      <c r="I1106" s="35">
        <f t="shared" ca="1" si="49"/>
        <v>695</v>
      </c>
      <c r="J1106" s="35">
        <f t="shared" ca="1" si="49"/>
        <v>33.333333333333336</v>
      </c>
      <c r="K1106" s="36"/>
      <c r="L1106" s="36"/>
      <c r="M1106" s="36"/>
      <c r="N1106" s="36"/>
      <c r="O1106" s="36"/>
      <c r="P1106" s="36"/>
      <c r="Q1106" s="36"/>
      <c r="R1106" s="36"/>
      <c r="S1106" s="36"/>
      <c r="T1106" s="36"/>
    </row>
    <row r="1107" spans="1:20" ht="15">
      <c r="A1107" s="3">
        <f t="shared" si="50"/>
        <v>2072</v>
      </c>
      <c r="B1107" s="3">
        <f t="shared" si="40"/>
        <v>366</v>
      </c>
      <c r="C1107" s="35">
        <f t="shared" ref="C1107:J1116" ca="1" si="51">AVERAGE(OFFSET(C$581,($A1107-$A$1097)*12,0,12,1))</f>
        <v>154.75825</v>
      </c>
      <c r="D1107" s="35">
        <f t="shared" ca="1" si="51"/>
        <v>281.0162499999999</v>
      </c>
      <c r="E1107" s="35">
        <f t="shared" ca="1" si="51"/>
        <v>780.7254999999999</v>
      </c>
      <c r="F1107" s="35">
        <f t="shared" ca="1" si="51"/>
        <v>1216.5</v>
      </c>
      <c r="G1107" s="35">
        <f t="shared" ca="1" si="51"/>
        <v>79.166666666666671</v>
      </c>
      <c r="H1107" s="35">
        <f t="shared" ca="1" si="51"/>
        <v>600</v>
      </c>
      <c r="I1107" s="35">
        <f t="shared" ca="1" si="51"/>
        <v>695</v>
      </c>
      <c r="J1107" s="35">
        <f t="shared" ca="1" si="51"/>
        <v>33.333333333333336</v>
      </c>
      <c r="K1107" s="36"/>
      <c r="L1107" s="36"/>
      <c r="M1107" s="36"/>
      <c r="N1107" s="36"/>
      <c r="O1107" s="36"/>
      <c r="P1107" s="36"/>
      <c r="Q1107" s="36"/>
      <c r="R1107" s="36"/>
      <c r="S1107" s="36"/>
      <c r="T1107" s="36"/>
    </row>
    <row r="1108" spans="1:20" ht="15">
      <c r="A1108" s="3">
        <f t="shared" si="50"/>
        <v>2073</v>
      </c>
      <c r="B1108" s="3">
        <f t="shared" si="40"/>
        <v>365</v>
      </c>
      <c r="C1108" s="35">
        <f t="shared" ca="1" si="51"/>
        <v>154.75825</v>
      </c>
      <c r="D1108" s="35">
        <f t="shared" ca="1" si="51"/>
        <v>281.0162499999999</v>
      </c>
      <c r="E1108" s="35">
        <f t="shared" ca="1" si="51"/>
        <v>780.7254999999999</v>
      </c>
      <c r="F1108" s="35">
        <f t="shared" ca="1" si="51"/>
        <v>1216.5</v>
      </c>
      <c r="G1108" s="35">
        <f t="shared" ca="1" si="51"/>
        <v>79.166666666666671</v>
      </c>
      <c r="H1108" s="35">
        <f t="shared" ca="1" si="51"/>
        <v>600</v>
      </c>
      <c r="I1108" s="35">
        <f t="shared" ca="1" si="51"/>
        <v>695</v>
      </c>
      <c r="J1108" s="35">
        <f t="shared" ca="1" si="51"/>
        <v>33.333333333333336</v>
      </c>
      <c r="K1108" s="36"/>
      <c r="L1108" s="36"/>
      <c r="M1108" s="36"/>
      <c r="N1108" s="36"/>
      <c r="O1108" s="36"/>
      <c r="P1108" s="36"/>
      <c r="Q1108" s="36"/>
      <c r="R1108" s="36"/>
      <c r="S1108" s="36"/>
      <c r="T1108" s="36"/>
    </row>
    <row r="1109" spans="1:20" ht="15">
      <c r="A1109" s="3">
        <f t="shared" si="50"/>
        <v>2074</v>
      </c>
      <c r="B1109" s="3">
        <f t="shared" si="40"/>
        <v>365</v>
      </c>
      <c r="C1109" s="35">
        <f t="shared" ca="1" si="51"/>
        <v>154.75825</v>
      </c>
      <c r="D1109" s="35">
        <f t="shared" ca="1" si="51"/>
        <v>281.0162499999999</v>
      </c>
      <c r="E1109" s="35">
        <f t="shared" ca="1" si="51"/>
        <v>780.7254999999999</v>
      </c>
      <c r="F1109" s="35">
        <f t="shared" ca="1" si="51"/>
        <v>1216.5</v>
      </c>
      <c r="G1109" s="35">
        <f t="shared" ca="1" si="51"/>
        <v>79.166666666666671</v>
      </c>
      <c r="H1109" s="35">
        <f t="shared" ca="1" si="51"/>
        <v>600</v>
      </c>
      <c r="I1109" s="35">
        <f t="shared" ca="1" si="51"/>
        <v>695</v>
      </c>
      <c r="J1109" s="35">
        <f t="shared" ca="1" si="51"/>
        <v>33.333333333333336</v>
      </c>
      <c r="K1109" s="36"/>
      <c r="L1109" s="36"/>
      <c r="M1109" s="36"/>
      <c r="N1109" s="36"/>
      <c r="O1109" s="36"/>
      <c r="P1109" s="36"/>
      <c r="Q1109" s="36"/>
      <c r="R1109" s="36"/>
      <c r="S1109" s="36"/>
      <c r="T1109" s="36"/>
    </row>
    <row r="1110" spans="1:20" ht="15">
      <c r="A1110" s="3">
        <f t="shared" si="50"/>
        <v>2075</v>
      </c>
      <c r="B1110" s="3">
        <f t="shared" si="40"/>
        <v>365</v>
      </c>
      <c r="C1110" s="35">
        <f t="shared" ca="1" si="51"/>
        <v>154.75825</v>
      </c>
      <c r="D1110" s="35">
        <f t="shared" ca="1" si="51"/>
        <v>281.0162499999999</v>
      </c>
      <c r="E1110" s="35">
        <f t="shared" ca="1" si="51"/>
        <v>780.7254999999999</v>
      </c>
      <c r="F1110" s="35">
        <f t="shared" ca="1" si="51"/>
        <v>1216.5</v>
      </c>
      <c r="G1110" s="35">
        <f t="shared" ca="1" si="51"/>
        <v>79.166666666666671</v>
      </c>
      <c r="H1110" s="35">
        <f t="shared" ca="1" si="51"/>
        <v>600</v>
      </c>
      <c r="I1110" s="35">
        <f t="shared" ca="1" si="51"/>
        <v>695</v>
      </c>
      <c r="J1110" s="35">
        <f t="shared" ca="1" si="51"/>
        <v>33.333333333333336</v>
      </c>
      <c r="K1110" s="36"/>
      <c r="L1110" s="36"/>
      <c r="M1110" s="36"/>
      <c r="N1110" s="36"/>
      <c r="O1110" s="36"/>
      <c r="P1110" s="36"/>
      <c r="Q1110" s="36"/>
      <c r="R1110" s="36"/>
      <c r="S1110" s="36"/>
      <c r="T1110" s="36"/>
    </row>
    <row r="1111" spans="1:20" ht="15">
      <c r="A1111" s="3">
        <f t="shared" si="50"/>
        <v>2076</v>
      </c>
      <c r="B1111" s="3">
        <f t="shared" si="40"/>
        <v>366</v>
      </c>
      <c r="C1111" s="35">
        <f t="shared" ca="1" si="51"/>
        <v>154.75825</v>
      </c>
      <c r="D1111" s="35">
        <f t="shared" ca="1" si="51"/>
        <v>281.0162499999999</v>
      </c>
      <c r="E1111" s="35">
        <f t="shared" ca="1" si="51"/>
        <v>780.7254999999999</v>
      </c>
      <c r="F1111" s="35">
        <f t="shared" ca="1" si="51"/>
        <v>1216.5</v>
      </c>
      <c r="G1111" s="35">
        <f t="shared" ca="1" si="51"/>
        <v>79.166666666666671</v>
      </c>
      <c r="H1111" s="35">
        <f t="shared" ca="1" si="51"/>
        <v>600</v>
      </c>
      <c r="I1111" s="35">
        <f t="shared" ca="1" si="51"/>
        <v>695</v>
      </c>
      <c r="J1111" s="35">
        <f t="shared" ca="1" si="51"/>
        <v>33.333333333333336</v>
      </c>
      <c r="K1111" s="36"/>
      <c r="L1111" s="36"/>
      <c r="M1111" s="36"/>
      <c r="N1111" s="36"/>
      <c r="O1111" s="36"/>
      <c r="P1111" s="36"/>
      <c r="Q1111" s="36"/>
      <c r="R1111" s="36"/>
      <c r="S1111" s="36"/>
      <c r="T1111" s="36"/>
    </row>
    <row r="1112" spans="1:20" ht="15">
      <c r="A1112" s="3">
        <f t="shared" si="50"/>
        <v>2077</v>
      </c>
      <c r="B1112" s="3">
        <f t="shared" si="40"/>
        <v>365</v>
      </c>
      <c r="C1112" s="35">
        <f t="shared" ca="1" si="51"/>
        <v>154.75825</v>
      </c>
      <c r="D1112" s="35">
        <f t="shared" ca="1" si="51"/>
        <v>281.0162499999999</v>
      </c>
      <c r="E1112" s="35">
        <f t="shared" ca="1" si="51"/>
        <v>780.7254999999999</v>
      </c>
      <c r="F1112" s="35">
        <f t="shared" ca="1" si="51"/>
        <v>1216.5</v>
      </c>
      <c r="G1112" s="35">
        <f t="shared" ca="1" si="51"/>
        <v>79.166666666666671</v>
      </c>
      <c r="H1112" s="35">
        <f t="shared" ca="1" si="51"/>
        <v>600</v>
      </c>
      <c r="I1112" s="35">
        <f t="shared" ca="1" si="51"/>
        <v>695</v>
      </c>
      <c r="J1112" s="35">
        <f t="shared" ca="1" si="51"/>
        <v>33.333333333333336</v>
      </c>
      <c r="K1112" s="36"/>
      <c r="L1112" s="36"/>
      <c r="M1112" s="36"/>
      <c r="N1112" s="36"/>
      <c r="O1112" s="36"/>
      <c r="P1112" s="36"/>
      <c r="Q1112" s="36"/>
      <c r="R1112" s="36"/>
      <c r="S1112" s="36"/>
      <c r="T1112" s="36"/>
    </row>
    <row r="1113" spans="1:20" ht="15">
      <c r="A1113" s="3">
        <f t="shared" si="50"/>
        <v>2078</v>
      </c>
      <c r="B1113" s="3">
        <f t="shared" si="40"/>
        <v>365</v>
      </c>
      <c r="C1113" s="35">
        <f t="shared" ca="1" si="51"/>
        <v>154.75825</v>
      </c>
      <c r="D1113" s="35">
        <f t="shared" ca="1" si="51"/>
        <v>281.0162499999999</v>
      </c>
      <c r="E1113" s="35">
        <f t="shared" ca="1" si="51"/>
        <v>780.7254999999999</v>
      </c>
      <c r="F1113" s="35">
        <f t="shared" ca="1" si="51"/>
        <v>1216.5</v>
      </c>
      <c r="G1113" s="35">
        <f t="shared" ca="1" si="51"/>
        <v>79.166666666666671</v>
      </c>
      <c r="H1113" s="35">
        <f t="shared" ca="1" si="51"/>
        <v>600</v>
      </c>
      <c r="I1113" s="35">
        <f t="shared" ca="1" si="51"/>
        <v>695</v>
      </c>
      <c r="J1113" s="35">
        <f t="shared" ca="1" si="51"/>
        <v>33.333333333333336</v>
      </c>
      <c r="K1113" s="36"/>
      <c r="L1113" s="36"/>
      <c r="M1113" s="36"/>
      <c r="N1113" s="36"/>
      <c r="O1113" s="36"/>
      <c r="P1113" s="36"/>
      <c r="Q1113" s="36"/>
      <c r="R1113" s="36"/>
      <c r="S1113" s="36"/>
      <c r="T1113" s="36"/>
    </row>
    <row r="1114" spans="1:20" ht="15">
      <c r="A1114" s="3">
        <f t="shared" si="50"/>
        <v>2079</v>
      </c>
      <c r="B1114" s="3">
        <f t="shared" ref="B1114:B1135" si="52">DATE(A1114+1,1,1)-DATE(A1114,1,1)</f>
        <v>365</v>
      </c>
      <c r="C1114" s="35">
        <f t="shared" ca="1" si="51"/>
        <v>154.75825</v>
      </c>
      <c r="D1114" s="35">
        <f t="shared" ca="1" si="51"/>
        <v>281.0162499999999</v>
      </c>
      <c r="E1114" s="35">
        <f t="shared" ca="1" si="51"/>
        <v>780.7254999999999</v>
      </c>
      <c r="F1114" s="35">
        <f t="shared" ca="1" si="51"/>
        <v>1216.5</v>
      </c>
      <c r="G1114" s="35">
        <f t="shared" ca="1" si="51"/>
        <v>79.166666666666671</v>
      </c>
      <c r="H1114" s="35">
        <f t="shared" ca="1" si="51"/>
        <v>600</v>
      </c>
      <c r="I1114" s="35">
        <f t="shared" ca="1" si="51"/>
        <v>695</v>
      </c>
      <c r="J1114" s="35">
        <f t="shared" ca="1" si="51"/>
        <v>33.333333333333336</v>
      </c>
      <c r="K1114" s="36"/>
      <c r="L1114" s="36"/>
      <c r="M1114" s="36"/>
      <c r="N1114" s="36"/>
      <c r="O1114" s="36"/>
      <c r="P1114" s="36"/>
      <c r="Q1114" s="36"/>
      <c r="R1114" s="36"/>
      <c r="S1114" s="36"/>
      <c r="T1114" s="36"/>
    </row>
    <row r="1115" spans="1:20" ht="15">
      <c r="A1115" s="3">
        <f t="shared" si="50"/>
        <v>2080</v>
      </c>
      <c r="B1115" s="3">
        <f t="shared" si="52"/>
        <v>366</v>
      </c>
      <c r="C1115" s="35">
        <f t="shared" ca="1" si="51"/>
        <v>154.75825</v>
      </c>
      <c r="D1115" s="35">
        <f t="shared" ca="1" si="51"/>
        <v>281.0162499999999</v>
      </c>
      <c r="E1115" s="35">
        <f t="shared" ca="1" si="51"/>
        <v>780.7254999999999</v>
      </c>
      <c r="F1115" s="35">
        <f t="shared" ca="1" si="51"/>
        <v>1216.5</v>
      </c>
      <c r="G1115" s="35">
        <f t="shared" ca="1" si="51"/>
        <v>79.166666666666671</v>
      </c>
      <c r="H1115" s="35">
        <f t="shared" ca="1" si="51"/>
        <v>600</v>
      </c>
      <c r="I1115" s="35">
        <f t="shared" ca="1" si="51"/>
        <v>695</v>
      </c>
      <c r="J1115" s="35">
        <f t="shared" ca="1" si="51"/>
        <v>33.333333333333336</v>
      </c>
      <c r="K1115" s="36"/>
      <c r="L1115" s="36"/>
      <c r="M1115" s="36"/>
      <c r="N1115" s="36"/>
      <c r="O1115" s="36"/>
      <c r="P1115" s="36"/>
      <c r="Q1115" s="36"/>
      <c r="R1115" s="36"/>
      <c r="S1115" s="36"/>
      <c r="T1115" s="36"/>
    </row>
    <row r="1116" spans="1:20" ht="15">
      <c r="A1116" s="3">
        <f t="shared" si="50"/>
        <v>2081</v>
      </c>
      <c r="B1116" s="3">
        <f t="shared" si="52"/>
        <v>365</v>
      </c>
      <c r="C1116" s="35">
        <f t="shared" ca="1" si="51"/>
        <v>154.75825</v>
      </c>
      <c r="D1116" s="35">
        <f t="shared" ca="1" si="51"/>
        <v>281.0162499999999</v>
      </c>
      <c r="E1116" s="35">
        <f t="shared" ca="1" si="51"/>
        <v>780.7254999999999</v>
      </c>
      <c r="F1116" s="35">
        <f t="shared" ca="1" si="51"/>
        <v>1216.5</v>
      </c>
      <c r="G1116" s="35">
        <f t="shared" ca="1" si="51"/>
        <v>79.166666666666671</v>
      </c>
      <c r="H1116" s="35">
        <f t="shared" ca="1" si="51"/>
        <v>600</v>
      </c>
      <c r="I1116" s="35">
        <f t="shared" ca="1" si="51"/>
        <v>695</v>
      </c>
      <c r="J1116" s="35">
        <f t="shared" ca="1" si="51"/>
        <v>33.333333333333336</v>
      </c>
      <c r="K1116" s="36"/>
      <c r="L1116" s="36"/>
      <c r="M1116" s="36"/>
      <c r="N1116" s="36"/>
      <c r="O1116" s="36"/>
      <c r="P1116" s="36"/>
      <c r="Q1116" s="36"/>
      <c r="R1116" s="36"/>
      <c r="S1116" s="36"/>
      <c r="T1116" s="36"/>
    </row>
    <row r="1117" spans="1:20" ht="15">
      <c r="A1117" s="3">
        <f t="shared" si="50"/>
        <v>2082</v>
      </c>
      <c r="B1117" s="3">
        <f t="shared" si="52"/>
        <v>365</v>
      </c>
      <c r="C1117" s="35">
        <f t="shared" ref="C1117:J1126" ca="1" si="53">AVERAGE(OFFSET(C$581,($A1117-$A$1097)*12,0,12,1))</f>
        <v>154.75825</v>
      </c>
      <c r="D1117" s="35">
        <f t="shared" ca="1" si="53"/>
        <v>281.0162499999999</v>
      </c>
      <c r="E1117" s="35">
        <f t="shared" ca="1" si="53"/>
        <v>780.7254999999999</v>
      </c>
      <c r="F1117" s="35">
        <f t="shared" ca="1" si="53"/>
        <v>1216.5</v>
      </c>
      <c r="G1117" s="35">
        <f t="shared" ca="1" si="53"/>
        <v>79.166666666666671</v>
      </c>
      <c r="H1117" s="35">
        <f t="shared" ca="1" si="53"/>
        <v>600</v>
      </c>
      <c r="I1117" s="35">
        <f t="shared" ca="1" si="53"/>
        <v>695</v>
      </c>
      <c r="J1117" s="35">
        <f t="shared" ca="1" si="53"/>
        <v>33.333333333333336</v>
      </c>
      <c r="K1117" s="36"/>
      <c r="L1117" s="36"/>
      <c r="M1117" s="36"/>
      <c r="N1117" s="36"/>
      <c r="O1117" s="36"/>
      <c r="P1117" s="36"/>
      <c r="Q1117" s="36"/>
      <c r="R1117" s="36"/>
      <c r="S1117" s="36"/>
      <c r="T1117" s="36"/>
    </row>
    <row r="1118" spans="1:20" ht="15">
      <c r="A1118" s="3">
        <f t="shared" si="50"/>
        <v>2083</v>
      </c>
      <c r="B1118" s="3">
        <f t="shared" si="52"/>
        <v>365</v>
      </c>
      <c r="C1118" s="35">
        <f t="shared" ca="1" si="53"/>
        <v>154.75825</v>
      </c>
      <c r="D1118" s="35">
        <f t="shared" ca="1" si="53"/>
        <v>281.0162499999999</v>
      </c>
      <c r="E1118" s="35">
        <f t="shared" ca="1" si="53"/>
        <v>780.7254999999999</v>
      </c>
      <c r="F1118" s="35">
        <f t="shared" ca="1" si="53"/>
        <v>1216.5</v>
      </c>
      <c r="G1118" s="35">
        <f t="shared" ca="1" si="53"/>
        <v>79.166666666666671</v>
      </c>
      <c r="H1118" s="35">
        <f t="shared" ca="1" si="53"/>
        <v>600</v>
      </c>
      <c r="I1118" s="35">
        <f t="shared" ca="1" si="53"/>
        <v>695</v>
      </c>
      <c r="J1118" s="35">
        <f t="shared" ca="1" si="53"/>
        <v>33.333333333333336</v>
      </c>
      <c r="K1118" s="36"/>
      <c r="L1118" s="36"/>
      <c r="M1118" s="36"/>
      <c r="N1118" s="36"/>
      <c r="O1118" s="36"/>
      <c r="P1118" s="36"/>
      <c r="Q1118" s="36"/>
      <c r="R1118" s="36"/>
      <c r="S1118" s="36"/>
      <c r="T1118" s="36"/>
    </row>
    <row r="1119" spans="1:20" ht="15">
      <c r="A1119" s="3">
        <f t="shared" si="50"/>
        <v>2084</v>
      </c>
      <c r="B1119" s="3">
        <f t="shared" si="52"/>
        <v>366</v>
      </c>
      <c r="C1119" s="35">
        <f t="shared" ca="1" si="53"/>
        <v>154.75825</v>
      </c>
      <c r="D1119" s="35">
        <f t="shared" ca="1" si="53"/>
        <v>281.0162499999999</v>
      </c>
      <c r="E1119" s="35">
        <f t="shared" ca="1" si="53"/>
        <v>780.7254999999999</v>
      </c>
      <c r="F1119" s="35">
        <f t="shared" ca="1" si="53"/>
        <v>1216.5</v>
      </c>
      <c r="G1119" s="35">
        <f t="shared" ca="1" si="53"/>
        <v>79.166666666666671</v>
      </c>
      <c r="H1119" s="35">
        <f t="shared" ca="1" si="53"/>
        <v>600</v>
      </c>
      <c r="I1119" s="35">
        <f t="shared" ca="1" si="53"/>
        <v>695</v>
      </c>
      <c r="J1119" s="35">
        <f t="shared" ca="1" si="53"/>
        <v>33.333333333333336</v>
      </c>
      <c r="K1119" s="36"/>
      <c r="L1119" s="36"/>
      <c r="M1119" s="36"/>
      <c r="N1119" s="36"/>
      <c r="O1119" s="36"/>
      <c r="P1119" s="36"/>
      <c r="Q1119" s="36"/>
      <c r="R1119" s="36"/>
      <c r="S1119" s="36"/>
      <c r="T1119" s="36"/>
    </row>
    <row r="1120" spans="1:20" ht="15">
      <c r="A1120" s="3">
        <f t="shared" si="50"/>
        <v>2085</v>
      </c>
      <c r="B1120" s="3">
        <f t="shared" si="52"/>
        <v>365</v>
      </c>
      <c r="C1120" s="35">
        <f t="shared" ca="1" si="53"/>
        <v>154.75825</v>
      </c>
      <c r="D1120" s="35">
        <f t="shared" ca="1" si="53"/>
        <v>281.0162499999999</v>
      </c>
      <c r="E1120" s="35">
        <f t="shared" ca="1" si="53"/>
        <v>780.7254999999999</v>
      </c>
      <c r="F1120" s="35">
        <f t="shared" ca="1" si="53"/>
        <v>1216.5</v>
      </c>
      <c r="G1120" s="35">
        <f t="shared" ca="1" si="53"/>
        <v>79.166666666666671</v>
      </c>
      <c r="H1120" s="35">
        <f t="shared" ca="1" si="53"/>
        <v>600</v>
      </c>
      <c r="I1120" s="35">
        <f t="shared" ca="1" si="53"/>
        <v>695</v>
      </c>
      <c r="J1120" s="35">
        <f t="shared" ca="1" si="53"/>
        <v>33.333333333333336</v>
      </c>
      <c r="K1120" s="36"/>
      <c r="L1120" s="36"/>
      <c r="M1120" s="36"/>
      <c r="N1120" s="36"/>
      <c r="O1120" s="36"/>
      <c r="P1120" s="36"/>
      <c r="Q1120" s="36"/>
      <c r="R1120" s="36"/>
      <c r="S1120" s="36"/>
      <c r="T1120" s="36"/>
    </row>
    <row r="1121" spans="1:20" ht="15">
      <c r="A1121" s="3">
        <f t="shared" si="50"/>
        <v>2086</v>
      </c>
      <c r="B1121" s="3">
        <f t="shared" si="52"/>
        <v>365</v>
      </c>
      <c r="C1121" s="35">
        <f t="shared" ca="1" si="53"/>
        <v>154.75825</v>
      </c>
      <c r="D1121" s="35">
        <f t="shared" ca="1" si="53"/>
        <v>281.0162499999999</v>
      </c>
      <c r="E1121" s="35">
        <f t="shared" ca="1" si="53"/>
        <v>780.7254999999999</v>
      </c>
      <c r="F1121" s="35">
        <f t="shared" ca="1" si="53"/>
        <v>1216.5</v>
      </c>
      <c r="G1121" s="35">
        <f t="shared" ca="1" si="53"/>
        <v>79.166666666666671</v>
      </c>
      <c r="H1121" s="35">
        <f t="shared" ca="1" si="53"/>
        <v>600</v>
      </c>
      <c r="I1121" s="35">
        <f t="shared" ca="1" si="53"/>
        <v>695</v>
      </c>
      <c r="J1121" s="35">
        <f t="shared" ca="1" si="53"/>
        <v>33.333333333333336</v>
      </c>
      <c r="K1121" s="36"/>
      <c r="L1121" s="36"/>
      <c r="M1121" s="36"/>
      <c r="N1121" s="36"/>
      <c r="O1121" s="36"/>
      <c r="P1121" s="36"/>
      <c r="Q1121" s="36"/>
      <c r="R1121" s="36"/>
      <c r="S1121" s="36"/>
      <c r="T1121" s="36"/>
    </row>
    <row r="1122" spans="1:20" ht="15">
      <c r="A1122" s="3">
        <f t="shared" si="50"/>
        <v>2087</v>
      </c>
      <c r="B1122" s="3">
        <f t="shared" si="52"/>
        <v>365</v>
      </c>
      <c r="C1122" s="35">
        <f t="shared" ca="1" si="53"/>
        <v>154.75825</v>
      </c>
      <c r="D1122" s="35">
        <f t="shared" ca="1" si="53"/>
        <v>281.0162499999999</v>
      </c>
      <c r="E1122" s="35">
        <f t="shared" ca="1" si="53"/>
        <v>780.7254999999999</v>
      </c>
      <c r="F1122" s="35">
        <f t="shared" ca="1" si="53"/>
        <v>1216.5</v>
      </c>
      <c r="G1122" s="35">
        <f t="shared" ca="1" si="53"/>
        <v>79.166666666666671</v>
      </c>
      <c r="H1122" s="35">
        <f t="shared" ca="1" si="53"/>
        <v>600</v>
      </c>
      <c r="I1122" s="35">
        <f t="shared" ca="1" si="53"/>
        <v>695</v>
      </c>
      <c r="J1122" s="35">
        <f t="shared" ca="1" si="53"/>
        <v>33.333333333333336</v>
      </c>
      <c r="K1122" s="36"/>
      <c r="L1122" s="36"/>
      <c r="M1122" s="36"/>
      <c r="N1122" s="36"/>
      <c r="O1122" s="36"/>
      <c r="P1122" s="36"/>
      <c r="Q1122" s="36"/>
      <c r="R1122" s="36"/>
      <c r="S1122" s="36"/>
      <c r="T1122" s="36"/>
    </row>
    <row r="1123" spans="1:20" ht="15">
      <c r="A1123" s="3">
        <f t="shared" si="50"/>
        <v>2088</v>
      </c>
      <c r="B1123" s="3">
        <f t="shared" si="52"/>
        <v>366</v>
      </c>
      <c r="C1123" s="35">
        <f t="shared" ca="1" si="53"/>
        <v>154.75825</v>
      </c>
      <c r="D1123" s="35">
        <f t="shared" ca="1" si="53"/>
        <v>281.0162499999999</v>
      </c>
      <c r="E1123" s="35">
        <f t="shared" ca="1" si="53"/>
        <v>780.7254999999999</v>
      </c>
      <c r="F1123" s="35">
        <f t="shared" ca="1" si="53"/>
        <v>1216.5</v>
      </c>
      <c r="G1123" s="35">
        <f t="shared" ca="1" si="53"/>
        <v>79.166666666666671</v>
      </c>
      <c r="H1123" s="35">
        <f t="shared" ca="1" si="53"/>
        <v>600</v>
      </c>
      <c r="I1123" s="35">
        <f t="shared" ca="1" si="53"/>
        <v>695</v>
      </c>
      <c r="J1123" s="35">
        <f t="shared" ca="1" si="53"/>
        <v>33.333333333333336</v>
      </c>
      <c r="K1123" s="36"/>
      <c r="L1123" s="36"/>
      <c r="M1123" s="36"/>
      <c r="N1123" s="36"/>
      <c r="O1123" s="36"/>
      <c r="P1123" s="36"/>
      <c r="Q1123" s="36"/>
      <c r="R1123" s="36"/>
      <c r="S1123" s="36"/>
      <c r="T1123" s="36"/>
    </row>
    <row r="1124" spans="1:20" ht="15">
      <c r="A1124" s="3">
        <f t="shared" si="50"/>
        <v>2089</v>
      </c>
      <c r="B1124" s="3">
        <f t="shared" si="52"/>
        <v>365</v>
      </c>
      <c r="C1124" s="35">
        <f t="shared" ca="1" si="53"/>
        <v>154.75825</v>
      </c>
      <c r="D1124" s="35">
        <f t="shared" ca="1" si="53"/>
        <v>281.0162499999999</v>
      </c>
      <c r="E1124" s="35">
        <f t="shared" ca="1" si="53"/>
        <v>780.7254999999999</v>
      </c>
      <c r="F1124" s="35">
        <f t="shared" ca="1" si="53"/>
        <v>1216.5</v>
      </c>
      <c r="G1124" s="35">
        <f t="shared" ca="1" si="53"/>
        <v>79.166666666666671</v>
      </c>
      <c r="H1124" s="35">
        <f t="shared" ca="1" si="53"/>
        <v>600</v>
      </c>
      <c r="I1124" s="35">
        <f t="shared" ca="1" si="53"/>
        <v>695</v>
      </c>
      <c r="J1124" s="35">
        <f t="shared" ca="1" si="53"/>
        <v>33.333333333333336</v>
      </c>
      <c r="K1124" s="36"/>
      <c r="L1124" s="36"/>
      <c r="M1124" s="36"/>
      <c r="N1124" s="36"/>
      <c r="O1124" s="36"/>
      <c r="P1124" s="36"/>
      <c r="Q1124" s="36"/>
      <c r="R1124" s="36"/>
      <c r="S1124" s="36"/>
      <c r="T1124" s="36"/>
    </row>
    <row r="1125" spans="1:20" ht="15">
      <c r="A1125" s="3">
        <f t="shared" si="50"/>
        <v>2090</v>
      </c>
      <c r="B1125" s="3">
        <f t="shared" si="52"/>
        <v>365</v>
      </c>
      <c r="C1125" s="35">
        <f t="shared" ca="1" si="53"/>
        <v>154.75825</v>
      </c>
      <c r="D1125" s="35">
        <f t="shared" ca="1" si="53"/>
        <v>281.0162499999999</v>
      </c>
      <c r="E1125" s="35">
        <f t="shared" ca="1" si="53"/>
        <v>780.7254999999999</v>
      </c>
      <c r="F1125" s="35">
        <f t="shared" ca="1" si="53"/>
        <v>1216.5</v>
      </c>
      <c r="G1125" s="35">
        <f t="shared" ca="1" si="53"/>
        <v>79.166666666666671</v>
      </c>
      <c r="H1125" s="35">
        <f t="shared" ca="1" si="53"/>
        <v>600</v>
      </c>
      <c r="I1125" s="35">
        <f t="shared" ca="1" si="53"/>
        <v>695</v>
      </c>
      <c r="J1125" s="35">
        <f t="shared" ca="1" si="53"/>
        <v>33.333333333333336</v>
      </c>
      <c r="K1125" s="36"/>
      <c r="L1125" s="36"/>
      <c r="M1125" s="36"/>
      <c r="N1125" s="36"/>
      <c r="O1125" s="36"/>
      <c r="P1125" s="36"/>
      <c r="Q1125" s="36"/>
      <c r="R1125" s="36"/>
      <c r="S1125" s="36"/>
      <c r="T1125" s="36"/>
    </row>
    <row r="1126" spans="1:20" ht="15">
      <c r="A1126" s="3">
        <f t="shared" si="50"/>
        <v>2091</v>
      </c>
      <c r="B1126" s="3">
        <f t="shared" si="52"/>
        <v>365</v>
      </c>
      <c r="C1126" s="35">
        <f t="shared" ca="1" si="53"/>
        <v>154.75825</v>
      </c>
      <c r="D1126" s="35">
        <f t="shared" ca="1" si="53"/>
        <v>281.0162499999999</v>
      </c>
      <c r="E1126" s="35">
        <f t="shared" ca="1" si="53"/>
        <v>780.7254999999999</v>
      </c>
      <c r="F1126" s="35">
        <f t="shared" ca="1" si="53"/>
        <v>1216.5</v>
      </c>
      <c r="G1126" s="35">
        <f t="shared" ca="1" si="53"/>
        <v>79.166666666666671</v>
      </c>
      <c r="H1126" s="35">
        <f t="shared" ca="1" si="53"/>
        <v>600</v>
      </c>
      <c r="I1126" s="35">
        <f t="shared" ca="1" si="53"/>
        <v>695</v>
      </c>
      <c r="J1126" s="35">
        <f t="shared" ca="1" si="53"/>
        <v>33.333333333333336</v>
      </c>
    </row>
    <row r="1127" spans="1:20" ht="15">
      <c r="A1127" s="3">
        <f t="shared" si="50"/>
        <v>2092</v>
      </c>
      <c r="B1127" s="3">
        <f t="shared" si="52"/>
        <v>366</v>
      </c>
      <c r="C1127" s="35">
        <f t="shared" ref="C1127:J1135" ca="1" si="54">AVERAGE(OFFSET(C$581,($A1127-$A$1097)*12,0,12,1))</f>
        <v>154.75825</v>
      </c>
      <c r="D1127" s="35">
        <f t="shared" ca="1" si="54"/>
        <v>281.0162499999999</v>
      </c>
      <c r="E1127" s="35">
        <f t="shared" ca="1" si="54"/>
        <v>780.7254999999999</v>
      </c>
      <c r="F1127" s="35">
        <f t="shared" ca="1" si="54"/>
        <v>1216.5</v>
      </c>
      <c r="G1127" s="35">
        <f t="shared" ca="1" si="54"/>
        <v>79.166666666666671</v>
      </c>
      <c r="H1127" s="35">
        <f t="shared" ca="1" si="54"/>
        <v>600</v>
      </c>
      <c r="I1127" s="35">
        <f t="shared" ca="1" si="54"/>
        <v>695</v>
      </c>
      <c r="J1127" s="35">
        <f t="shared" ca="1" si="54"/>
        <v>33.333333333333336</v>
      </c>
    </row>
    <row r="1128" spans="1:20" ht="15">
      <c r="A1128" s="3">
        <f t="shared" si="50"/>
        <v>2093</v>
      </c>
      <c r="B1128" s="3">
        <f t="shared" si="52"/>
        <v>365</v>
      </c>
      <c r="C1128" s="35">
        <f t="shared" ca="1" si="54"/>
        <v>154.75825</v>
      </c>
      <c r="D1128" s="35">
        <f t="shared" ca="1" si="54"/>
        <v>281.0162499999999</v>
      </c>
      <c r="E1128" s="35">
        <f t="shared" ca="1" si="54"/>
        <v>780.7254999999999</v>
      </c>
      <c r="F1128" s="35">
        <f t="shared" ca="1" si="54"/>
        <v>1216.5</v>
      </c>
      <c r="G1128" s="35">
        <f t="shared" ca="1" si="54"/>
        <v>79.166666666666671</v>
      </c>
      <c r="H1128" s="35">
        <f t="shared" ca="1" si="54"/>
        <v>600</v>
      </c>
      <c r="I1128" s="35">
        <f t="shared" ca="1" si="54"/>
        <v>695</v>
      </c>
      <c r="J1128" s="35">
        <f t="shared" ca="1" si="54"/>
        <v>33.333333333333336</v>
      </c>
    </row>
    <row r="1129" spans="1:20" ht="15">
      <c r="A1129" s="3">
        <f t="shared" si="50"/>
        <v>2094</v>
      </c>
      <c r="B1129" s="3">
        <f t="shared" si="52"/>
        <v>365</v>
      </c>
      <c r="C1129" s="35">
        <f t="shared" ca="1" si="54"/>
        <v>154.75825</v>
      </c>
      <c r="D1129" s="35">
        <f t="shared" ca="1" si="54"/>
        <v>281.0162499999999</v>
      </c>
      <c r="E1129" s="35">
        <f t="shared" ca="1" si="54"/>
        <v>780.7254999999999</v>
      </c>
      <c r="F1129" s="35">
        <f t="shared" ca="1" si="54"/>
        <v>1216.5</v>
      </c>
      <c r="G1129" s="35">
        <f t="shared" ca="1" si="54"/>
        <v>79.166666666666671</v>
      </c>
      <c r="H1129" s="35">
        <f t="shared" ca="1" si="54"/>
        <v>600</v>
      </c>
      <c r="I1129" s="35">
        <f t="shared" ca="1" si="54"/>
        <v>695</v>
      </c>
      <c r="J1129" s="35">
        <f t="shared" ca="1" si="54"/>
        <v>33.333333333333336</v>
      </c>
    </row>
    <row r="1130" spans="1:20" ht="15">
      <c r="A1130" s="3">
        <f t="shared" si="50"/>
        <v>2095</v>
      </c>
      <c r="B1130" s="3">
        <f t="shared" si="52"/>
        <v>365</v>
      </c>
      <c r="C1130" s="35">
        <f t="shared" ca="1" si="54"/>
        <v>154.75825</v>
      </c>
      <c r="D1130" s="35">
        <f t="shared" ca="1" si="54"/>
        <v>281.0162499999999</v>
      </c>
      <c r="E1130" s="35">
        <f t="shared" ca="1" si="54"/>
        <v>780.7254999999999</v>
      </c>
      <c r="F1130" s="35">
        <f t="shared" ca="1" si="54"/>
        <v>1216.5</v>
      </c>
      <c r="G1130" s="35">
        <f t="shared" ca="1" si="54"/>
        <v>79.166666666666671</v>
      </c>
      <c r="H1130" s="35">
        <f t="shared" ca="1" si="54"/>
        <v>600</v>
      </c>
      <c r="I1130" s="35">
        <f t="shared" ca="1" si="54"/>
        <v>695</v>
      </c>
      <c r="J1130" s="35">
        <f t="shared" ca="1" si="54"/>
        <v>33.333333333333336</v>
      </c>
    </row>
    <row r="1131" spans="1:20" ht="15">
      <c r="A1131" s="3">
        <f t="shared" si="50"/>
        <v>2096</v>
      </c>
      <c r="B1131" s="3">
        <f t="shared" si="52"/>
        <v>366</v>
      </c>
      <c r="C1131" s="35">
        <f t="shared" ca="1" si="54"/>
        <v>154.75825</v>
      </c>
      <c r="D1131" s="35">
        <f t="shared" ca="1" si="54"/>
        <v>281.0162499999999</v>
      </c>
      <c r="E1131" s="35">
        <f t="shared" ca="1" si="54"/>
        <v>780.7254999999999</v>
      </c>
      <c r="F1131" s="35">
        <f t="shared" ca="1" si="54"/>
        <v>1216.5</v>
      </c>
      <c r="G1131" s="35">
        <f t="shared" ca="1" si="54"/>
        <v>79.166666666666671</v>
      </c>
      <c r="H1131" s="35">
        <f t="shared" ca="1" si="54"/>
        <v>600</v>
      </c>
      <c r="I1131" s="35">
        <f t="shared" ca="1" si="54"/>
        <v>695</v>
      </c>
      <c r="J1131" s="35">
        <f t="shared" ca="1" si="54"/>
        <v>33.333333333333336</v>
      </c>
    </row>
    <row r="1132" spans="1:20" ht="15">
      <c r="A1132" s="3">
        <f t="shared" si="50"/>
        <v>2097</v>
      </c>
      <c r="B1132" s="3">
        <f t="shared" si="52"/>
        <v>365</v>
      </c>
      <c r="C1132" s="35">
        <f t="shared" ca="1" si="54"/>
        <v>154.75825</v>
      </c>
      <c r="D1132" s="35">
        <f t="shared" ca="1" si="54"/>
        <v>281.0162499999999</v>
      </c>
      <c r="E1132" s="35">
        <f t="shared" ca="1" si="54"/>
        <v>780.7254999999999</v>
      </c>
      <c r="F1132" s="35">
        <f t="shared" ca="1" si="54"/>
        <v>1216.5</v>
      </c>
      <c r="G1132" s="35">
        <f t="shared" ca="1" si="54"/>
        <v>79.166666666666671</v>
      </c>
      <c r="H1132" s="35">
        <f t="shared" ca="1" si="54"/>
        <v>600</v>
      </c>
      <c r="I1132" s="35">
        <f t="shared" ca="1" si="54"/>
        <v>695</v>
      </c>
      <c r="J1132" s="35">
        <f t="shared" ca="1" si="54"/>
        <v>33.333333333333336</v>
      </c>
    </row>
    <row r="1133" spans="1:20" ht="15">
      <c r="A1133" s="3">
        <f t="shared" si="50"/>
        <v>2098</v>
      </c>
      <c r="B1133" s="3">
        <f t="shared" si="52"/>
        <v>365</v>
      </c>
      <c r="C1133" s="35">
        <f t="shared" ca="1" si="54"/>
        <v>154.75825</v>
      </c>
      <c r="D1133" s="35">
        <f t="shared" ca="1" si="54"/>
        <v>281.0162499999999</v>
      </c>
      <c r="E1133" s="35">
        <f t="shared" ca="1" si="54"/>
        <v>780.7254999999999</v>
      </c>
      <c r="F1133" s="35">
        <f t="shared" ca="1" si="54"/>
        <v>1216.5</v>
      </c>
      <c r="G1133" s="35">
        <f t="shared" ca="1" si="54"/>
        <v>79.166666666666671</v>
      </c>
      <c r="H1133" s="35">
        <f t="shared" ca="1" si="54"/>
        <v>600</v>
      </c>
      <c r="I1133" s="35">
        <f t="shared" ca="1" si="54"/>
        <v>695</v>
      </c>
      <c r="J1133" s="35">
        <f t="shared" ca="1" si="54"/>
        <v>33.333333333333336</v>
      </c>
    </row>
    <row r="1134" spans="1:20" ht="15">
      <c r="A1134" s="3">
        <f t="shared" si="50"/>
        <v>2099</v>
      </c>
      <c r="B1134" s="3">
        <f t="shared" si="52"/>
        <v>365</v>
      </c>
      <c r="C1134" s="35">
        <f t="shared" ca="1" si="54"/>
        <v>154.75825</v>
      </c>
      <c r="D1134" s="35">
        <f t="shared" ca="1" si="54"/>
        <v>281.0162499999999</v>
      </c>
      <c r="E1134" s="35">
        <f t="shared" ca="1" si="54"/>
        <v>780.7254999999999</v>
      </c>
      <c r="F1134" s="35">
        <f t="shared" ca="1" si="54"/>
        <v>1216.5</v>
      </c>
      <c r="G1134" s="35">
        <f t="shared" ca="1" si="54"/>
        <v>79.166666666666671</v>
      </c>
      <c r="H1134" s="35">
        <f t="shared" ca="1" si="54"/>
        <v>600</v>
      </c>
      <c r="I1134" s="35">
        <f t="shared" ca="1" si="54"/>
        <v>695</v>
      </c>
      <c r="J1134" s="35">
        <f t="shared" ca="1" si="54"/>
        <v>33.333333333333336</v>
      </c>
    </row>
    <row r="1135" spans="1:20" ht="15">
      <c r="A1135" s="3">
        <f t="shared" si="50"/>
        <v>2100</v>
      </c>
      <c r="B1135" s="3">
        <f t="shared" si="52"/>
        <v>365</v>
      </c>
      <c r="C1135" s="35">
        <f t="shared" ca="1" si="54"/>
        <v>154.75825</v>
      </c>
      <c r="D1135" s="35">
        <f t="shared" ca="1" si="54"/>
        <v>281.0162499999999</v>
      </c>
      <c r="E1135" s="35">
        <f t="shared" ca="1" si="54"/>
        <v>780.7254999999999</v>
      </c>
      <c r="F1135" s="35">
        <f t="shared" ca="1" si="54"/>
        <v>1216.5</v>
      </c>
      <c r="G1135" s="35">
        <f t="shared" ca="1" si="54"/>
        <v>79.166666666666671</v>
      </c>
      <c r="H1135" s="35">
        <f t="shared" ca="1" si="54"/>
        <v>600</v>
      </c>
      <c r="I1135" s="35">
        <f t="shared" ca="1" si="54"/>
        <v>695</v>
      </c>
      <c r="J1135" s="35">
        <f t="shared" ca="1" si="54"/>
        <v>33.333333333333336</v>
      </c>
    </row>
    <row r="1136" spans="1:20">
      <c r="A1136" s="32"/>
      <c r="B1136" s="32"/>
      <c r="C1136" s="34"/>
      <c r="D1136" s="34"/>
      <c r="E1136" s="34"/>
      <c r="F1136" s="34"/>
      <c r="G1136" s="34"/>
    </row>
    <row r="1137" spans="1:2">
      <c r="A1137" s="32"/>
      <c r="B1137" s="32"/>
    </row>
    <row r="1138" spans="1:2">
      <c r="A1138" s="32"/>
      <c r="B1138" s="32"/>
    </row>
    <row r="1139" spans="1:2">
      <c r="A1139" s="32"/>
      <c r="B1139" s="32"/>
    </row>
    <row r="1140" spans="1:2">
      <c r="A1140" s="32"/>
      <c r="B1140" s="32"/>
    </row>
    <row r="1141" spans="1:2">
      <c r="A1141" s="32"/>
      <c r="B1141" s="32"/>
    </row>
    <row r="1142" spans="1:2">
      <c r="A1142" s="32"/>
      <c r="B1142" s="32"/>
    </row>
    <row r="1143" spans="1:2">
      <c r="A1143" s="32"/>
      <c r="B1143" s="32"/>
    </row>
    <row r="1144" spans="1:2">
      <c r="A1144" s="32"/>
      <c r="B1144" s="32"/>
    </row>
    <row r="1145" spans="1:2">
      <c r="A1145" s="32"/>
      <c r="B1145" s="32"/>
    </row>
    <row r="1146" spans="1:2">
      <c r="A1146" s="32"/>
      <c r="B1146" s="32"/>
    </row>
    <row r="1147" spans="1:2">
      <c r="A1147" s="32"/>
      <c r="B1147" s="32"/>
    </row>
    <row r="1148" spans="1:2">
      <c r="A1148" s="32"/>
      <c r="B1148" s="32"/>
    </row>
    <row r="1149" spans="1:2">
      <c r="A1149" s="32"/>
      <c r="B1149" s="32"/>
    </row>
    <row r="1150" spans="1:2">
      <c r="A1150" s="32"/>
      <c r="B1150" s="32"/>
    </row>
    <row r="1151" spans="1:2">
      <c r="A1151" s="32"/>
      <c r="B1151" s="32"/>
    </row>
    <row r="1152" spans="1:2">
      <c r="A1152" s="32"/>
      <c r="B1152" s="32"/>
    </row>
    <row r="1153" spans="1:2">
      <c r="A1153" s="32"/>
      <c r="B1153" s="32"/>
    </row>
    <row r="1154" spans="1:2">
      <c r="A1154" s="32"/>
      <c r="B1154" s="32"/>
    </row>
    <row r="1155" spans="1:2">
      <c r="A1155" s="32"/>
      <c r="B1155" s="32"/>
    </row>
  </sheetData>
  <mergeCells count="1">
    <mergeCell ref="C14:E14"/>
  </mergeCells>
  <pageMargins left="0.25" right="0.25" top="0.5" bottom="0.5" header="0.25" footer="0.25"/>
  <pageSetup scale="75" orientation="portrait" horizontalDpi="1200" verticalDpi="1200" r:id="rId1"/>
  <headerFooter alignWithMargins="0">
    <oddFooter xml:space="preserve">&amp;R&amp;A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G1155"/>
  <sheetViews>
    <sheetView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B17" sqref="B17"/>
    </sheetView>
  </sheetViews>
  <sheetFormatPr defaultColWidth="7.109375" defaultRowHeight="12.75"/>
  <cols>
    <col min="1" max="1" width="7.5546875" style="33" bestFit="1" customWidth="1"/>
    <col min="2" max="2" width="10" style="33" customWidth="1"/>
    <col min="3" max="3" width="12" style="33" customWidth="1"/>
    <col min="4" max="4" width="12.109375" style="33" bestFit="1" customWidth="1"/>
    <col min="5" max="5" width="10.109375" style="33" bestFit="1" customWidth="1"/>
    <col min="6" max="16384" width="7.109375" style="32"/>
  </cols>
  <sheetData>
    <row r="1" spans="1:7" ht="15.75">
      <c r="A1" s="84" t="s">
        <v>64</v>
      </c>
    </row>
    <row r="2" spans="1:7" ht="15.75">
      <c r="A2" s="84" t="s">
        <v>65</v>
      </c>
    </row>
    <row r="3" spans="1:7" ht="15.75">
      <c r="A3" s="84" t="s">
        <v>66</v>
      </c>
    </row>
    <row r="4" spans="1:7" ht="15.75">
      <c r="A4" s="84" t="s">
        <v>67</v>
      </c>
    </row>
    <row r="5" spans="1:7" ht="15.75">
      <c r="A5" s="84" t="s">
        <v>69</v>
      </c>
    </row>
    <row r="6" spans="1:7" ht="15.75">
      <c r="A6" s="84" t="s">
        <v>71</v>
      </c>
    </row>
    <row r="8" spans="1:7" ht="20.25">
      <c r="A8" s="31" t="s">
        <v>43</v>
      </c>
    </row>
    <row r="9" spans="1:7" ht="15" customHeight="1">
      <c r="A9" s="57" t="s">
        <v>25</v>
      </c>
    </row>
    <row r="10" spans="1:7" ht="15" customHeight="1">
      <c r="A10" s="62"/>
      <c r="F10" s="60"/>
      <c r="G10" s="60"/>
    </row>
    <row r="11" spans="1:7" ht="15" customHeight="1">
      <c r="A11" s="62"/>
      <c r="B11" s="61"/>
      <c r="C11" s="61"/>
      <c r="D11" s="61"/>
      <c r="E11" s="61"/>
      <c r="F11" s="60"/>
      <c r="G11" s="60"/>
    </row>
    <row r="12" spans="1:7" ht="15" customHeight="1"/>
    <row r="13" spans="1:7" ht="15" customHeight="1">
      <c r="B13" s="59" t="s">
        <v>24</v>
      </c>
      <c r="C13" s="58">
        <f>1-0.261</f>
        <v>0.73899999999999999</v>
      </c>
      <c r="D13" s="59" t="s">
        <v>23</v>
      </c>
      <c r="E13" s="58">
        <f>1+0.261</f>
        <v>1.2610000000000001</v>
      </c>
    </row>
    <row r="14" spans="1:7" ht="15" customHeight="1">
      <c r="A14" s="57"/>
      <c r="B14" s="87" t="s">
        <v>42</v>
      </c>
      <c r="C14" s="87"/>
      <c r="D14" s="56" t="s">
        <v>41</v>
      </c>
      <c r="E14" s="51"/>
    </row>
    <row r="15" spans="1:7" s="54" customFormat="1" ht="63">
      <c r="B15" s="55" t="s">
        <v>40</v>
      </c>
      <c r="C15" s="55" t="s">
        <v>39</v>
      </c>
      <c r="D15" s="55" t="s">
        <v>38</v>
      </c>
      <c r="E15" s="23" t="s">
        <v>37</v>
      </c>
    </row>
    <row r="16" spans="1:7" s="54" customFormat="1" ht="21" customHeight="1">
      <c r="A16" s="20" t="s">
        <v>2</v>
      </c>
      <c r="B16" s="46" t="s">
        <v>1</v>
      </c>
      <c r="C16" s="46" t="s">
        <v>1</v>
      </c>
      <c r="D16" s="46" t="s">
        <v>1</v>
      </c>
      <c r="E16" s="20" t="s">
        <v>36</v>
      </c>
    </row>
    <row r="17" spans="1:5" ht="15">
      <c r="A17" s="13">
        <v>42005</v>
      </c>
      <c r="B17" s="4">
        <f>9.1422 * CHOOSE(CONTROL!$C$9, $C$13, 100%, $E$13) + CHOOSE(CONTROL!$C$28, 0.0003, 0)</f>
        <v>9.1425000000000001</v>
      </c>
      <c r="C17" s="4">
        <f>8.8297 * CHOOSE(CONTROL!$C$9, $C$13, 100%, $E$13) + CHOOSE(CONTROL!$C$28, 0.0003, 0)</f>
        <v>8.83</v>
      </c>
      <c r="D17" s="4">
        <f>14.3472 * CHOOSE(CONTROL!$C$9, $C$13, 100%, $E$13) + CHOOSE(CONTROL!$C$28, 0, 0)</f>
        <v>14.347200000000001</v>
      </c>
      <c r="E17" s="4">
        <f>56.52 * CHOOSE(CONTROL!$C$9, $C$13, 100%, $E$13) + CHOOSE(CONTROL!$C$28, 0, 0)</f>
        <v>56.52</v>
      </c>
    </row>
    <row r="18" spans="1:5" ht="15">
      <c r="A18" s="13">
        <v>42036</v>
      </c>
      <c r="B18" s="4">
        <f>10.6266 * CHOOSE(CONTROL!$C$9, $C$13, 100%, $E$13) + CHOOSE(CONTROL!$C$28, 0.0003, 0)</f>
        <v>10.626899999999999</v>
      </c>
      <c r="C18" s="4">
        <f>10.3141 * CHOOSE(CONTROL!$C$9, $C$13, 100%, $E$13) + CHOOSE(CONTROL!$C$28, 0.0003, 0)</f>
        <v>10.314399999999999</v>
      </c>
      <c r="D18" s="4">
        <f>13.1924 * CHOOSE(CONTROL!$C$9, $C$13, 100%, $E$13) + CHOOSE(CONTROL!$C$28, 0, 0)</f>
        <v>13.192399999999999</v>
      </c>
      <c r="E18" s="4">
        <f>46.39 * CHOOSE(CONTROL!$C$9, $C$13, 100%, $E$13) + CHOOSE(CONTROL!$C$28, 0, 0)</f>
        <v>46.39</v>
      </c>
    </row>
    <row r="19" spans="1:5" ht="15">
      <c r="A19" s="13">
        <v>42064</v>
      </c>
      <c r="B19" s="4">
        <f>9.5922 * CHOOSE(CONTROL!$C$9, $C$13, 100%, $E$13) + CHOOSE(CONTROL!$C$28, 0.0003, 0)</f>
        <v>9.5924999999999994</v>
      </c>
      <c r="C19" s="4">
        <f>9.2797 * CHOOSE(CONTROL!$C$9, $C$13, 100%, $E$13) + CHOOSE(CONTROL!$C$28, 0.0003, 0)</f>
        <v>9.2799999999999994</v>
      </c>
      <c r="D19" s="4">
        <f>17.6056 * CHOOSE(CONTROL!$C$9, $C$13, 100%, $E$13) + CHOOSE(CONTROL!$C$28, 0, 0)</f>
        <v>17.605599999999999</v>
      </c>
      <c r="E19" s="4">
        <f>50.34 * CHOOSE(CONTROL!$C$9, $C$13, 100%, $E$13) + CHOOSE(CONTROL!$C$28, 0, 0)</f>
        <v>50.34</v>
      </c>
    </row>
    <row r="20" spans="1:5" ht="15">
      <c r="A20" s="13">
        <v>42095</v>
      </c>
      <c r="B20" s="4">
        <f>9.7828 * CHOOSE(CONTROL!$C$9, $C$13, 100%, $E$13) + CHOOSE(CONTROL!$C$28, 0.0003, 0)</f>
        <v>9.7830999999999992</v>
      </c>
      <c r="C20" s="4">
        <f>9.4703 * CHOOSE(CONTROL!$C$9, $C$13, 100%, $E$13) + CHOOSE(CONTROL!$C$28, 0.0003, 0)</f>
        <v>9.4705999999999992</v>
      </c>
      <c r="D20" s="4">
        <f>13.42 * CHOOSE(CONTROL!$C$9, $C$13, 100%, $E$13) + CHOOSE(CONTROL!$C$28, 0, 0)</f>
        <v>13.42</v>
      </c>
      <c r="E20" s="4">
        <f>45.72 * CHOOSE(CONTROL!$C$9, $C$13, 100%, $E$13) + CHOOSE(CONTROL!$C$28, 0, 0)</f>
        <v>45.72</v>
      </c>
    </row>
    <row r="21" spans="1:5" ht="15">
      <c r="A21" s="13">
        <v>42125</v>
      </c>
      <c r="B21" s="4">
        <f>10.2906 * CHOOSE(CONTROL!$C$9, $C$13, 100%, $E$13) + CHOOSE(CONTROL!$C$28, 0.0271, 0)</f>
        <v>10.3177</v>
      </c>
      <c r="C21" s="4">
        <f>9.9781 * CHOOSE(CONTROL!$C$9, $C$13, 100%, $E$13) + CHOOSE(CONTROL!$C$28, 0.0271, 0)</f>
        <v>10.0052</v>
      </c>
      <c r="D21" s="4">
        <f>15.2816 * CHOOSE(CONTROL!$C$9, $C$13, 100%, $E$13) + CHOOSE(CONTROL!$C$28, 0, 0)</f>
        <v>15.281599999999999</v>
      </c>
      <c r="E21" s="4">
        <f>55.26 * CHOOSE(CONTROL!$C$9, $C$13, 100%, $E$13) + CHOOSE(CONTROL!$C$28, 0, 0)</f>
        <v>55.26</v>
      </c>
    </row>
    <row r="22" spans="1:5" ht="15">
      <c r="A22" s="13">
        <v>42156</v>
      </c>
      <c r="B22" s="4">
        <f>10.0641 * CHOOSE(CONTROL!$C$9, $C$13, 100%, $E$13) + CHOOSE(CONTROL!$C$28, 0.0271, 0)</f>
        <v>10.091200000000001</v>
      </c>
      <c r="C22" s="4">
        <f>9.7516 * CHOOSE(CONTROL!$C$9, $C$13, 100%, $E$13) + CHOOSE(CONTROL!$C$28, 0.0271, 0)</f>
        <v>9.7787000000000006</v>
      </c>
      <c r="D22" s="4">
        <f>15.1303 * CHOOSE(CONTROL!$C$9, $C$13, 100%, $E$13) + CHOOSE(CONTROL!$C$28, 0, 0)</f>
        <v>15.1303</v>
      </c>
      <c r="E22" s="4">
        <f>57.26 * CHOOSE(CONTROL!$C$9, $C$13, 100%, $E$13) + CHOOSE(CONTROL!$C$28, 0, 0)</f>
        <v>57.26</v>
      </c>
    </row>
    <row r="23" spans="1:5" ht="15">
      <c r="A23" s="13">
        <v>42186</v>
      </c>
      <c r="B23" s="4">
        <f>8.9219 * CHOOSE(CONTROL!$C$9, $C$13, 100%, $E$13) + CHOOSE(CONTROL!$C$28, 0.0271, 0)</f>
        <v>8.9490000000000016</v>
      </c>
      <c r="C23" s="4">
        <f>8.6094 * CHOOSE(CONTROL!$C$9, $C$13, 100%, $E$13) + CHOOSE(CONTROL!$C$28, 0.0271, 0)</f>
        <v>8.6365000000000016</v>
      </c>
      <c r="D23" s="4">
        <f>14.6353 * CHOOSE(CONTROL!$C$9, $C$13, 100%, $E$13) + CHOOSE(CONTROL!$C$28, 0, 0)</f>
        <v>14.635300000000001</v>
      </c>
      <c r="E23" s="4">
        <f>59.68 * CHOOSE(CONTROL!$C$9, $C$13, 100%, $E$13) + CHOOSE(CONTROL!$C$28, 0, 0)</f>
        <v>59.68</v>
      </c>
    </row>
    <row r="24" spans="1:5" ht="15">
      <c r="A24" s="13">
        <v>42217</v>
      </c>
      <c r="B24" s="4">
        <f>7.7438 * CHOOSE(CONTROL!$C$9, $C$13, 100%, $E$13) + CHOOSE(CONTROL!$C$28, 0.0271, 0)</f>
        <v>7.7709000000000001</v>
      </c>
      <c r="C24" s="4">
        <f>7.4313 * CHOOSE(CONTROL!$C$9, $C$13, 100%, $E$13) + CHOOSE(CONTROL!$C$28, 0.0271, 0)</f>
        <v>7.4584000000000001</v>
      </c>
      <c r="D24" s="4">
        <f>12.4554 * CHOOSE(CONTROL!$C$9, $C$13, 100%, $E$13) + CHOOSE(CONTROL!$C$28, 0, 0)</f>
        <v>12.455399999999999</v>
      </c>
      <c r="E24" s="4">
        <f>50.36 * CHOOSE(CONTROL!$C$9, $C$13, 100%, $E$13) + CHOOSE(CONTROL!$C$28, 0, 0)</f>
        <v>50.36</v>
      </c>
    </row>
    <row r="25" spans="1:5" ht="15">
      <c r="A25" s="13">
        <v>42248</v>
      </c>
      <c r="B25" s="4">
        <f>7.8703 * CHOOSE(CONTROL!$C$9, $C$13, 100%, $E$13) + CHOOSE(CONTROL!$C$28, 0.0271, 0)</f>
        <v>7.8974000000000002</v>
      </c>
      <c r="C25" s="4">
        <f>7.5578 * CHOOSE(CONTROL!$C$9, $C$13, 100%, $E$13) + CHOOSE(CONTROL!$C$28, 0.0271, 0)</f>
        <v>7.5849000000000002</v>
      </c>
      <c r="D25" s="4">
        <f>13.1009 * CHOOSE(CONTROL!$C$9, $C$13, 100%, $E$13) + CHOOSE(CONTROL!$C$28, 0, 0)</f>
        <v>13.100899999999999</v>
      </c>
      <c r="E25" s="4">
        <f>41.14 * CHOOSE(CONTROL!$C$9, $C$13, 100%, $E$13) + CHOOSE(CONTROL!$C$28, 0, 0)</f>
        <v>41.14</v>
      </c>
    </row>
    <row r="26" spans="1:5" ht="15">
      <c r="A26" s="13">
        <v>42278</v>
      </c>
      <c r="B26" s="4">
        <f>8.3047 * CHOOSE(CONTROL!$C$9, $C$13, 100%, $E$13) + CHOOSE(CONTROL!$C$28, 0.0003, 0)</f>
        <v>8.3049999999999997</v>
      </c>
      <c r="C26" s="4">
        <f>7.9922 * CHOOSE(CONTROL!$C$9, $C$13, 100%, $E$13) + CHOOSE(CONTROL!$C$28, 0.0003, 0)</f>
        <v>7.9925000000000006</v>
      </c>
      <c r="D26" s="4">
        <f>12.526 * CHOOSE(CONTROL!$C$9, $C$13, 100%, $E$13) + CHOOSE(CONTROL!$C$28, 0, 0)</f>
        <v>12.526</v>
      </c>
      <c r="E26" s="4">
        <f>45.94 * CHOOSE(CONTROL!$C$9, $C$13, 100%, $E$13) + CHOOSE(CONTROL!$C$28, 0, 0)</f>
        <v>45.94</v>
      </c>
    </row>
    <row r="27" spans="1:5" ht="15">
      <c r="A27" s="13">
        <v>42309</v>
      </c>
      <c r="B27" s="4">
        <f>8.375 * CHOOSE(CONTROL!$C$9, $C$13, 100%, $E$13) + CHOOSE(CONTROL!$C$28, 0.0003, 0)</f>
        <v>8.3752999999999993</v>
      </c>
      <c r="C27" s="4">
        <f>8.0625 * CHOOSE(CONTROL!$C$9, $C$13, 100%, $E$13) + CHOOSE(CONTROL!$C$28, 0.0003, 0)</f>
        <v>8.0627999999999993</v>
      </c>
      <c r="D27" s="4">
        <f>12.6434 * CHOOSE(CONTROL!$C$9, $C$13, 100%, $E$13) + CHOOSE(CONTROL!$C$28, 0, 0)</f>
        <v>12.6434</v>
      </c>
      <c r="E27" s="4">
        <f>46.59 * CHOOSE(CONTROL!$C$9, $C$13, 100%, $E$13) + CHOOSE(CONTROL!$C$28, 0, 0)</f>
        <v>46.59</v>
      </c>
    </row>
    <row r="28" spans="1:5" ht="15">
      <c r="A28" s="13">
        <v>42339</v>
      </c>
      <c r="B28" s="4">
        <f>8.4453 * CHOOSE(CONTROL!$C$9, $C$13, 100%, $E$13) + CHOOSE(CONTROL!$C$28, 0.0003, 0)</f>
        <v>8.4455999999999989</v>
      </c>
      <c r="C28" s="4">
        <f>8.1328 * CHOOSE(CONTROL!$C$9, $C$13, 100%, $E$13) + CHOOSE(CONTROL!$C$28, 0.0003, 0)</f>
        <v>8.1330999999999989</v>
      </c>
      <c r="D28" s="4">
        <f>12.7572 * CHOOSE(CONTROL!$C$9, $C$13, 100%, $E$13) + CHOOSE(CONTROL!$C$28, 0, 0)</f>
        <v>12.757199999999999</v>
      </c>
      <c r="E28" s="4">
        <f>47.24 * CHOOSE(CONTROL!$C$9, $C$13, 100%, $E$13) + CHOOSE(CONTROL!$C$28, 0, 0)</f>
        <v>47.24</v>
      </c>
    </row>
    <row r="29" spans="1:5" ht="15">
      <c r="A29" s="13">
        <v>42370</v>
      </c>
      <c r="B29" s="4">
        <f>8.5547 * CHOOSE(CONTROL!$C$9, $C$13, 100%, $E$13) + CHOOSE(CONTROL!$C$28, 0.0003, 0)</f>
        <v>8.5549999999999997</v>
      </c>
      <c r="C29" s="4">
        <f>8.2422 * CHOOSE(CONTROL!$C$9, $C$13, 100%, $E$13) + CHOOSE(CONTROL!$C$28, 0.0003, 0)</f>
        <v>8.2424999999999997</v>
      </c>
      <c r="D29" s="4">
        <f>12.8797 * CHOOSE(CONTROL!$C$9, $C$13, 100%, $E$13) + CHOOSE(CONTROL!$C$28, 0, 0)</f>
        <v>12.8797</v>
      </c>
      <c r="E29" s="4">
        <f>47.92 * CHOOSE(CONTROL!$C$9, $C$13, 100%, $E$13) + CHOOSE(CONTROL!$C$28, 0, 0)</f>
        <v>47.92</v>
      </c>
    </row>
    <row r="30" spans="1:5" ht="15">
      <c r="A30" s="13">
        <v>42401</v>
      </c>
      <c r="B30" s="4">
        <f>8.6406 * CHOOSE(CONTROL!$C$9, $C$13, 100%, $E$13) + CHOOSE(CONTROL!$C$28, 0.0003, 0)</f>
        <v>8.6408999999999985</v>
      </c>
      <c r="C30" s="4">
        <f>8.3281 * CHOOSE(CONTROL!$C$9, $C$13, 100%, $E$13) + CHOOSE(CONTROL!$C$28, 0.0003, 0)</f>
        <v>8.3283999999999985</v>
      </c>
      <c r="D30" s="4">
        <f>12.9525 * CHOOSE(CONTROL!$C$9, $C$13, 100%, $E$13) + CHOOSE(CONTROL!$C$28, 0, 0)</f>
        <v>12.952500000000001</v>
      </c>
      <c r="E30" s="4">
        <f>48.56 * CHOOSE(CONTROL!$C$9, $C$13, 100%, $E$13) + CHOOSE(CONTROL!$C$28, 0, 0)</f>
        <v>48.56</v>
      </c>
    </row>
    <row r="31" spans="1:5" ht="15">
      <c r="A31" s="13">
        <v>42430</v>
      </c>
      <c r="B31" s="4">
        <f>8.7266 * CHOOSE(CONTROL!$C$9, $C$13, 100%, $E$13) + CHOOSE(CONTROL!$C$28, 0.0003, 0)</f>
        <v>8.7268999999999988</v>
      </c>
      <c r="C31" s="4">
        <f>8.4141 * CHOOSE(CONTROL!$C$9, $C$13, 100%, $E$13) + CHOOSE(CONTROL!$C$28, 0.0003, 0)</f>
        <v>8.4143999999999988</v>
      </c>
      <c r="D31" s="4">
        <f>12.9438 * CHOOSE(CONTROL!$C$9, $C$13, 100%, $E$13) + CHOOSE(CONTROL!$C$28, 0, 0)</f>
        <v>12.9438</v>
      </c>
      <c r="E31" s="4">
        <f>49.16 * CHOOSE(CONTROL!$C$9, $C$13, 100%, $E$13) + CHOOSE(CONTROL!$C$28, 0, 0)</f>
        <v>49.16</v>
      </c>
    </row>
    <row r="32" spans="1:5" ht="15">
      <c r="A32" s="13">
        <v>42461</v>
      </c>
      <c r="B32" s="4">
        <f>8.8125 * CHOOSE(CONTROL!$C$9, $C$13, 100%, $E$13) + CHOOSE(CONTROL!$C$28, 0.0003, 0)</f>
        <v>8.8127999999999993</v>
      </c>
      <c r="C32" s="4">
        <f>8.5 * CHOOSE(CONTROL!$C$9, $C$13, 100%, $E$13) + CHOOSE(CONTROL!$C$28, 0.0003, 0)</f>
        <v>8.5002999999999993</v>
      </c>
      <c r="D32" s="4">
        <f>12.8826 * CHOOSE(CONTROL!$C$9, $C$13, 100%, $E$13) + CHOOSE(CONTROL!$C$28, 0, 0)</f>
        <v>12.8826</v>
      </c>
      <c r="E32" s="4">
        <f>49.66 * CHOOSE(CONTROL!$C$9, $C$13, 100%, $E$13) + CHOOSE(CONTROL!$C$28, 0, 0)</f>
        <v>49.66</v>
      </c>
    </row>
    <row r="33" spans="1:5" ht="15">
      <c r="A33" s="13">
        <v>42491</v>
      </c>
      <c r="B33" s="4">
        <f>8.9062 * CHOOSE(CONTROL!$C$9, $C$13, 100%, $E$13) + CHOOSE(CONTROL!$C$28, 0.0271, 0)</f>
        <v>8.9333000000000009</v>
      </c>
      <c r="C33" s="4">
        <f>8.5938 * CHOOSE(CONTROL!$C$9, $C$13, 100%, $E$13) + CHOOSE(CONTROL!$C$28, 0.0271, 0)</f>
        <v>8.6209000000000007</v>
      </c>
      <c r="D33" s="4">
        <f>12.9042 * CHOOSE(CONTROL!$C$9, $C$13, 100%, $E$13) + CHOOSE(CONTROL!$C$28, 0, 0)</f>
        <v>12.904199999999999</v>
      </c>
      <c r="E33" s="4">
        <f>50.09 * CHOOSE(CONTROL!$C$9, $C$13, 100%, $E$13) + CHOOSE(CONTROL!$C$28, 0, 0)</f>
        <v>50.09</v>
      </c>
    </row>
    <row r="34" spans="1:5" ht="15">
      <c r="A34" s="13">
        <v>42522</v>
      </c>
      <c r="B34" s="4">
        <f>9 * CHOOSE(CONTROL!$C$9, $C$13, 100%, $E$13) + CHOOSE(CONTROL!$C$28, 0.0271, 0)</f>
        <v>9.0271000000000008</v>
      </c>
      <c r="C34" s="4">
        <f>8.6875 * CHOOSE(CONTROL!$C$9, $C$13, 100%, $E$13) + CHOOSE(CONTROL!$C$28, 0.0271, 0)</f>
        <v>8.7146000000000008</v>
      </c>
      <c r="D34" s="4">
        <f>12.9561 * CHOOSE(CONTROL!$C$9, $C$13, 100%, $E$13) + CHOOSE(CONTROL!$C$28, 0, 0)</f>
        <v>12.956099999999999</v>
      </c>
      <c r="E34" s="4">
        <f>50.44 * CHOOSE(CONTROL!$C$9, $C$13, 100%, $E$13) + CHOOSE(CONTROL!$C$28, 0, 0)</f>
        <v>50.44</v>
      </c>
    </row>
    <row r="35" spans="1:5" ht="15">
      <c r="A35" s="13">
        <v>42552</v>
      </c>
      <c r="B35" s="4">
        <f>9.0938 * CHOOSE(CONTROL!$C$9, $C$13, 100%, $E$13) + CHOOSE(CONTROL!$C$28, 0.0271, 0)</f>
        <v>9.1209000000000007</v>
      </c>
      <c r="C35" s="4">
        <f>8.7812 * CHOOSE(CONTROL!$C$9, $C$13, 100%, $E$13) + CHOOSE(CONTROL!$C$28, 0.0271, 0)</f>
        <v>8.8083000000000009</v>
      </c>
      <c r="D35" s="4">
        <f>13.0476 * CHOOSE(CONTROL!$C$9, $C$13, 100%, $E$13) + CHOOSE(CONTROL!$C$28, 0, 0)</f>
        <v>13.047599999999999</v>
      </c>
      <c r="E35" s="4">
        <f>50.71 * CHOOSE(CONTROL!$C$9, $C$13, 100%, $E$13) + CHOOSE(CONTROL!$C$28, 0, 0)</f>
        <v>50.71</v>
      </c>
    </row>
    <row r="36" spans="1:5" ht="15">
      <c r="A36" s="13">
        <v>42583</v>
      </c>
      <c r="B36" s="4">
        <f>9.1875 * CHOOSE(CONTROL!$C$9, $C$13, 100%, $E$13) + CHOOSE(CONTROL!$C$28, 0.0271, 0)</f>
        <v>9.2146000000000008</v>
      </c>
      <c r="C36" s="4">
        <f>8.875 * CHOOSE(CONTROL!$C$9, $C$13, 100%, $E$13) + CHOOSE(CONTROL!$C$28, 0.0271, 0)</f>
        <v>8.9021000000000008</v>
      </c>
      <c r="D36" s="4">
        <f>13.1405 * CHOOSE(CONTROL!$C$9, $C$13, 100%, $E$13) + CHOOSE(CONTROL!$C$28, 0, 0)</f>
        <v>13.140499999999999</v>
      </c>
      <c r="E36" s="4">
        <f>50.99 * CHOOSE(CONTROL!$C$9, $C$13, 100%, $E$13) + CHOOSE(CONTROL!$C$28, 0, 0)</f>
        <v>50.99</v>
      </c>
    </row>
    <row r="37" spans="1:5" ht="15">
      <c r="A37" s="13">
        <v>42614</v>
      </c>
      <c r="B37" s="4">
        <f>9.2734 * CHOOSE(CONTROL!$C$9, $C$13, 100%, $E$13) + CHOOSE(CONTROL!$C$28, 0.0271, 0)</f>
        <v>9.3005000000000013</v>
      </c>
      <c r="C37" s="4">
        <f>8.9609 * CHOOSE(CONTROL!$C$9, $C$13, 100%, $E$13) + CHOOSE(CONTROL!$C$28, 0.0271, 0)</f>
        <v>8.9880000000000013</v>
      </c>
      <c r="D37" s="4">
        <f>13.2507 * CHOOSE(CONTROL!$C$9, $C$13, 100%, $E$13) + CHOOSE(CONTROL!$C$28, 0, 0)</f>
        <v>13.2507</v>
      </c>
      <c r="E37" s="4">
        <f>51.3 * CHOOSE(CONTROL!$C$9, $C$13, 100%, $E$13) + CHOOSE(CONTROL!$C$28, 0, 0)</f>
        <v>51.3</v>
      </c>
    </row>
    <row r="38" spans="1:5" ht="15">
      <c r="A38" s="13">
        <v>42644</v>
      </c>
      <c r="B38" s="4">
        <f>9.3594 * CHOOSE(CONTROL!$C$9, $C$13, 100%, $E$13) + CHOOSE(CONTROL!$C$28, 0.0003, 0)</f>
        <v>9.3597000000000001</v>
      </c>
      <c r="C38" s="4">
        <f>9.0469 * CHOOSE(CONTROL!$C$9, $C$13, 100%, $E$13) + CHOOSE(CONTROL!$C$28, 0.0003, 0)</f>
        <v>9.0472000000000001</v>
      </c>
      <c r="D38" s="4">
        <f>13.371 * CHOOSE(CONTROL!$C$9, $C$13, 100%, $E$13) + CHOOSE(CONTROL!$C$28, 0, 0)</f>
        <v>13.371</v>
      </c>
      <c r="E38" s="4">
        <f>51.63 * CHOOSE(CONTROL!$C$9, $C$13, 100%, $E$13) + CHOOSE(CONTROL!$C$28, 0, 0)</f>
        <v>51.63</v>
      </c>
    </row>
    <row r="39" spans="1:5" ht="15">
      <c r="A39" s="13">
        <v>42675</v>
      </c>
      <c r="B39" s="4">
        <f>9.4453 * CHOOSE(CONTROL!$C$9, $C$13, 100%, $E$13) + CHOOSE(CONTROL!$C$28, 0.0003, 0)</f>
        <v>9.4455999999999989</v>
      </c>
      <c r="C39" s="4">
        <f>9.1328 * CHOOSE(CONTROL!$C$9, $C$13, 100%, $E$13) + CHOOSE(CONTROL!$C$28, 0.0003, 0)</f>
        <v>9.1330999999999989</v>
      </c>
      <c r="D39" s="4">
        <f>13.4798 * CHOOSE(CONTROL!$C$9, $C$13, 100%, $E$13) + CHOOSE(CONTROL!$C$28, 0, 0)</f>
        <v>13.479799999999999</v>
      </c>
      <c r="E39" s="4">
        <f>51.99 * CHOOSE(CONTROL!$C$9, $C$13, 100%, $E$13) + CHOOSE(CONTROL!$C$28, 0, 0)</f>
        <v>51.99</v>
      </c>
    </row>
    <row r="40" spans="1:5" ht="15">
      <c r="A40" s="13">
        <v>42705</v>
      </c>
      <c r="B40" s="4">
        <f>9.5312 * CHOOSE(CONTROL!$C$9, $C$13, 100%, $E$13) + CHOOSE(CONTROL!$C$28, 0.0003, 0)</f>
        <v>9.5314999999999994</v>
      </c>
      <c r="C40" s="4">
        <f>9.2188 * CHOOSE(CONTROL!$C$9, $C$13, 100%, $E$13) + CHOOSE(CONTROL!$C$28, 0.0003, 0)</f>
        <v>9.2190999999999992</v>
      </c>
      <c r="D40" s="4">
        <f>13.5886 * CHOOSE(CONTROL!$C$9, $C$13, 100%, $E$13) + CHOOSE(CONTROL!$C$28, 0, 0)</f>
        <v>13.5886</v>
      </c>
      <c r="E40" s="4">
        <f>52.35 * CHOOSE(CONTROL!$C$9, $C$13, 100%, $E$13) + CHOOSE(CONTROL!$C$28, 0, 0)</f>
        <v>52.35</v>
      </c>
    </row>
    <row r="41" spans="1:5" ht="15">
      <c r="A41" s="13">
        <v>42736</v>
      </c>
      <c r="B41" s="4">
        <f>9.6172 * CHOOSE(CONTROL!$C$9, $C$13, 100%, $E$13) + CHOOSE(CONTROL!$C$28, 0.0003, 0)</f>
        <v>9.6174999999999997</v>
      </c>
      <c r="C41" s="4">
        <f>9.3047 * CHOOSE(CONTROL!$C$9, $C$13, 100%, $E$13) + CHOOSE(CONTROL!$C$28, 0.0003, 0)</f>
        <v>9.3049999999999997</v>
      </c>
      <c r="D41" s="4">
        <f>13.6952 * CHOOSE(CONTROL!$C$9, $C$13, 100%, $E$13) + CHOOSE(CONTROL!$C$28, 0, 0)</f>
        <v>13.6952</v>
      </c>
      <c r="E41" s="4">
        <f>52.6 * CHOOSE(CONTROL!$C$9, $C$13, 100%, $E$13) + CHOOSE(CONTROL!$C$28, 0, 0)</f>
        <v>52.6</v>
      </c>
    </row>
    <row r="42" spans="1:5" ht="15">
      <c r="A42" s="13">
        <v>42767</v>
      </c>
      <c r="B42" s="4">
        <f>9.6719 * CHOOSE(CONTROL!$C$9, $C$13, 100%, $E$13) + CHOOSE(CONTROL!$C$28, 0.0003, 0)</f>
        <v>9.6722000000000001</v>
      </c>
      <c r="C42" s="4">
        <f>9.3594 * CHOOSE(CONTROL!$C$9, $C$13, 100%, $E$13) + CHOOSE(CONTROL!$C$28, 0.0003, 0)</f>
        <v>9.3597000000000001</v>
      </c>
      <c r="D42" s="4">
        <f>13.7478 * CHOOSE(CONTROL!$C$9, $C$13, 100%, $E$13) + CHOOSE(CONTROL!$C$28, 0, 0)</f>
        <v>13.7478</v>
      </c>
      <c r="E42" s="4">
        <f>52.88 * CHOOSE(CONTROL!$C$9, $C$13, 100%, $E$13) + CHOOSE(CONTROL!$C$28, 0, 0)</f>
        <v>52.88</v>
      </c>
    </row>
    <row r="43" spans="1:5" ht="15">
      <c r="A43" s="13">
        <v>42795</v>
      </c>
      <c r="B43" s="4">
        <f>9.7266 * CHOOSE(CONTROL!$C$9, $C$13, 100%, $E$13) + CHOOSE(CONTROL!$C$28, 0.0003, 0)</f>
        <v>9.7268999999999988</v>
      </c>
      <c r="C43" s="4">
        <f>9.4141 * CHOOSE(CONTROL!$C$9, $C$13, 100%, $E$13) + CHOOSE(CONTROL!$C$28, 0.0003, 0)</f>
        <v>9.4143999999999988</v>
      </c>
      <c r="D43" s="4">
        <f>13.7456 * CHOOSE(CONTROL!$C$9, $C$13, 100%, $E$13) + CHOOSE(CONTROL!$C$28, 0, 0)</f>
        <v>13.7456</v>
      </c>
      <c r="E43" s="4">
        <f>53.18 * CHOOSE(CONTROL!$C$9, $C$13, 100%, $E$13) + CHOOSE(CONTROL!$C$28, 0, 0)</f>
        <v>53.18</v>
      </c>
    </row>
    <row r="44" spans="1:5" ht="15">
      <c r="A44" s="13">
        <v>42826</v>
      </c>
      <c r="B44" s="4">
        <f>9.7812 * CHOOSE(CONTROL!$C$9, $C$13, 100%, $E$13) + CHOOSE(CONTROL!$C$28, 0.0003, 0)</f>
        <v>9.7814999999999994</v>
      </c>
      <c r="C44" s="4">
        <f>9.4688 * CHOOSE(CONTROL!$C$9, $C$13, 100%, $E$13) + CHOOSE(CONTROL!$C$28, 0.0003, 0)</f>
        <v>9.4690999999999992</v>
      </c>
      <c r="D44" s="4">
        <f>13.6844 * CHOOSE(CONTROL!$C$9, $C$13, 100%, $E$13) + CHOOSE(CONTROL!$C$28, 0, 0)</f>
        <v>13.6844</v>
      </c>
      <c r="E44" s="4">
        <f>53.46 * CHOOSE(CONTROL!$C$9, $C$13, 100%, $E$13) + CHOOSE(CONTROL!$C$28, 0, 0)</f>
        <v>53.46</v>
      </c>
    </row>
    <row r="45" spans="1:5" ht="15">
      <c r="A45" s="13">
        <v>42856</v>
      </c>
      <c r="B45" s="4">
        <f>9.8359 * CHOOSE(CONTROL!$C$9, $C$13, 100%, $E$13) + CHOOSE(CONTROL!$C$28, 0.0271, 0)</f>
        <v>9.8630000000000013</v>
      </c>
      <c r="C45" s="4">
        <f>9.5234 * CHOOSE(CONTROL!$C$9, $C$13, 100%, $E$13) + CHOOSE(CONTROL!$C$28, 0.0271, 0)</f>
        <v>9.5505000000000013</v>
      </c>
      <c r="D45" s="4">
        <f>13.6974 * CHOOSE(CONTROL!$C$9, $C$13, 100%, $E$13) + CHOOSE(CONTROL!$C$28, 0, 0)</f>
        <v>13.6974</v>
      </c>
      <c r="E45" s="4">
        <f>53.71 * CHOOSE(CONTROL!$C$9, $C$13, 100%, $E$13) + CHOOSE(CONTROL!$C$28, 0, 0)</f>
        <v>53.71</v>
      </c>
    </row>
    <row r="46" spans="1:5" ht="15">
      <c r="A46" s="13">
        <v>42887</v>
      </c>
      <c r="B46" s="4">
        <f>9.8828 * CHOOSE(CONTROL!$C$9, $C$13, 100%, $E$13) + CHOOSE(CONTROL!$C$28, 0.0271, 0)</f>
        <v>9.9099000000000004</v>
      </c>
      <c r="C46" s="4">
        <f>9.5703 * CHOOSE(CONTROL!$C$9, $C$13, 100%, $E$13) + CHOOSE(CONTROL!$C$28, 0.0271, 0)</f>
        <v>9.5974000000000004</v>
      </c>
      <c r="D46" s="4">
        <f>13.7406 * CHOOSE(CONTROL!$C$9, $C$13, 100%, $E$13) + CHOOSE(CONTROL!$C$28, 0, 0)</f>
        <v>13.740600000000001</v>
      </c>
      <c r="E46" s="4">
        <f>53.99 * CHOOSE(CONTROL!$C$9, $C$13, 100%, $E$13) + CHOOSE(CONTROL!$C$28, 0, 0)</f>
        <v>53.99</v>
      </c>
    </row>
    <row r="47" spans="1:5" ht="15">
      <c r="A47" s="13">
        <v>42917</v>
      </c>
      <c r="B47" s="4">
        <f>9.9297 * CHOOSE(CONTROL!$C$9, $C$13, 100%, $E$13) + CHOOSE(CONTROL!$C$28, 0.0271, 0)</f>
        <v>9.9568000000000012</v>
      </c>
      <c r="C47" s="4">
        <f>9.6172 * CHOOSE(CONTROL!$C$9, $C$13, 100%, $E$13) + CHOOSE(CONTROL!$C$28, 0.0271, 0)</f>
        <v>9.6443000000000012</v>
      </c>
      <c r="D47" s="4">
        <f>13.8306 * CHOOSE(CONTROL!$C$9, $C$13, 100%, $E$13) + CHOOSE(CONTROL!$C$28, 0, 0)</f>
        <v>13.8306</v>
      </c>
      <c r="E47" s="4">
        <f>54.2 * CHOOSE(CONTROL!$C$9, $C$13, 100%, $E$13) + CHOOSE(CONTROL!$C$28, 0, 0)</f>
        <v>54.2</v>
      </c>
    </row>
    <row r="48" spans="1:5" ht="15">
      <c r="A48" s="13">
        <v>42948</v>
      </c>
      <c r="B48" s="4">
        <f>9.9766 * CHOOSE(CONTROL!$C$9, $C$13, 100%, $E$13) + CHOOSE(CONTROL!$C$28, 0.0271, 0)</f>
        <v>10.0037</v>
      </c>
      <c r="C48" s="4">
        <f>9.6641 * CHOOSE(CONTROL!$C$9, $C$13, 100%, $E$13) + CHOOSE(CONTROL!$C$28, 0.0271, 0)</f>
        <v>9.6912000000000003</v>
      </c>
      <c r="D48" s="4">
        <f>13.9279 * CHOOSE(CONTROL!$C$9, $C$13, 100%, $E$13) + CHOOSE(CONTROL!$C$28, 0, 0)</f>
        <v>13.927899999999999</v>
      </c>
      <c r="E48" s="4">
        <f>54.46 * CHOOSE(CONTROL!$C$9, $C$13, 100%, $E$13) + CHOOSE(CONTROL!$C$28, 0, 0)</f>
        <v>54.46</v>
      </c>
    </row>
    <row r="49" spans="1:5" ht="15">
      <c r="A49" s="13">
        <v>42979</v>
      </c>
      <c r="B49" s="4">
        <f>10.0234 * CHOOSE(CONTROL!$C$9, $C$13, 100%, $E$13) + CHOOSE(CONTROL!$C$28, 0.0271, 0)</f>
        <v>10.050500000000001</v>
      </c>
      <c r="C49" s="4">
        <f>9.7109 * CHOOSE(CONTROL!$C$9, $C$13, 100%, $E$13) + CHOOSE(CONTROL!$C$28, 0.0271, 0)</f>
        <v>9.7380000000000013</v>
      </c>
      <c r="D49" s="4">
        <f>14.0252 * CHOOSE(CONTROL!$C$9, $C$13, 100%, $E$13) + CHOOSE(CONTROL!$C$28, 0, 0)</f>
        <v>14.0252</v>
      </c>
      <c r="E49" s="4">
        <f>54.75 * CHOOSE(CONTROL!$C$9, $C$13, 100%, $E$13) + CHOOSE(CONTROL!$C$28, 0, 0)</f>
        <v>54.75</v>
      </c>
    </row>
    <row r="50" spans="1:5" ht="15">
      <c r="A50" s="13">
        <v>43009</v>
      </c>
      <c r="B50" s="4">
        <f>10.0703 * CHOOSE(CONTROL!$C$9, $C$13, 100%, $E$13) + CHOOSE(CONTROL!$C$28, 0.0003, 0)</f>
        <v>10.070599999999999</v>
      </c>
      <c r="C50" s="4">
        <f>9.7578 * CHOOSE(CONTROL!$C$9, $C$13, 100%, $E$13) + CHOOSE(CONTROL!$C$28, 0.0003, 0)</f>
        <v>9.7580999999999989</v>
      </c>
      <c r="D50" s="4">
        <f>14.1152 * CHOOSE(CONTROL!$C$9, $C$13, 100%, $E$13) + CHOOSE(CONTROL!$C$28, 0, 0)</f>
        <v>14.1152</v>
      </c>
      <c r="E50" s="4">
        <f>55.06 * CHOOSE(CONTROL!$C$9, $C$13, 100%, $E$13) + CHOOSE(CONTROL!$C$28, 0, 0)</f>
        <v>55.06</v>
      </c>
    </row>
    <row r="51" spans="1:5" ht="15">
      <c r="A51" s="13">
        <v>43040</v>
      </c>
      <c r="B51" s="4">
        <f>10.1172 * CHOOSE(CONTROL!$C$9, $C$13, 100%, $E$13) + CHOOSE(CONTROL!$C$28, 0.0003, 0)</f>
        <v>10.1175</v>
      </c>
      <c r="C51" s="4">
        <f>9.8047 * CHOOSE(CONTROL!$C$9, $C$13, 100%, $E$13) + CHOOSE(CONTROL!$C$28, 0.0003, 0)</f>
        <v>9.8049999999999997</v>
      </c>
      <c r="D51" s="4">
        <f>14.1858 * CHOOSE(CONTROL!$C$9, $C$13, 100%, $E$13) + CHOOSE(CONTROL!$C$28, 0, 0)</f>
        <v>14.1858</v>
      </c>
      <c r="E51" s="4">
        <f>55.37 * CHOOSE(CONTROL!$C$9, $C$13, 100%, $E$13) + CHOOSE(CONTROL!$C$28, 0, 0)</f>
        <v>55.37</v>
      </c>
    </row>
    <row r="52" spans="1:5" ht="15">
      <c r="A52" s="13">
        <v>43070</v>
      </c>
      <c r="B52" s="4">
        <f>10.1641 * CHOOSE(CONTROL!$C$9, $C$13, 100%, $E$13) + CHOOSE(CONTROL!$C$28, 0.0003, 0)</f>
        <v>10.164399999999999</v>
      </c>
      <c r="C52" s="4">
        <f>9.8516 * CHOOSE(CONTROL!$C$9, $C$13, 100%, $E$13) + CHOOSE(CONTROL!$C$28, 0.0003, 0)</f>
        <v>9.8518999999999988</v>
      </c>
      <c r="D52" s="4">
        <f>14.247 * CHOOSE(CONTROL!$C$9, $C$13, 100%, $E$13) + CHOOSE(CONTROL!$C$28, 0, 0)</f>
        <v>14.247</v>
      </c>
      <c r="E52" s="4">
        <f>55.68 * CHOOSE(CONTROL!$C$9, $C$13, 100%, $E$13) + CHOOSE(CONTROL!$C$28, 0, 0)</f>
        <v>55.68</v>
      </c>
    </row>
    <row r="53" spans="1:5" ht="15">
      <c r="A53" s="13">
        <v>43101</v>
      </c>
      <c r="B53" s="4">
        <f>10.7774 * CHOOSE(CONTROL!$C$9, $C$13, 100%, $E$13) + CHOOSE(CONTROL!$C$28, 0.0003, 0)</f>
        <v>10.777699999999999</v>
      </c>
      <c r="C53" s="4">
        <f>10.4649 * CHOOSE(CONTROL!$C$9, $C$13, 100%, $E$13) + CHOOSE(CONTROL!$C$28, 0.0003, 0)</f>
        <v>10.465199999999999</v>
      </c>
      <c r="D53" s="4">
        <f>14.7799 * CHOOSE(CONTROL!$C$9, $C$13, 100%, $E$13) + CHOOSE(CONTROL!$C$28, 0, 0)</f>
        <v>14.7799</v>
      </c>
      <c r="E53" s="4">
        <f>60.1239439911941 * CHOOSE(CONTROL!$C$9, $C$13, 100%, $E$13) + CHOOSE(CONTROL!$C$28, 0, 0)</f>
        <v>60.123943991194103</v>
      </c>
    </row>
    <row r="54" spans="1:5" ht="15">
      <c r="A54" s="13">
        <v>43132</v>
      </c>
      <c r="B54" s="4">
        <f>10.9888 * CHOOSE(CONTROL!$C$9, $C$13, 100%, $E$13) + CHOOSE(CONTROL!$C$28, 0.0003, 0)</f>
        <v>10.989099999999999</v>
      </c>
      <c r="C54" s="4">
        <f>10.6763 * CHOOSE(CONTROL!$C$9, $C$13, 100%, $E$13) + CHOOSE(CONTROL!$C$28, 0.0003, 0)</f>
        <v>10.676599999999999</v>
      </c>
      <c r="D54" s="4">
        <f>15.2646 * CHOOSE(CONTROL!$C$9, $C$13, 100%, $E$13) + CHOOSE(CONTROL!$C$28, 0, 0)</f>
        <v>15.2646</v>
      </c>
      <c r="E54" s="4">
        <f>61.5515233645635 * CHOOSE(CONTROL!$C$9, $C$13, 100%, $E$13) + CHOOSE(CONTROL!$C$28, 0, 0)</f>
        <v>61.551523364563501</v>
      </c>
    </row>
    <row r="55" spans="1:5" ht="15">
      <c r="A55" s="13">
        <v>43160</v>
      </c>
      <c r="B55" s="4">
        <f>11.5439 * CHOOSE(CONTROL!$C$9, $C$13, 100%, $E$13) + CHOOSE(CONTROL!$C$28, 0.0003, 0)</f>
        <v>11.5442</v>
      </c>
      <c r="C55" s="4">
        <f>11.2314 * CHOOSE(CONTROL!$C$9, $C$13, 100%, $E$13) + CHOOSE(CONTROL!$C$28, 0.0003, 0)</f>
        <v>11.2317</v>
      </c>
      <c r="D55" s="4">
        <f>16.0235 * CHOOSE(CONTROL!$C$9, $C$13, 100%, $E$13) + CHOOSE(CONTROL!$C$28, 0, 0)</f>
        <v>16.023499999999999</v>
      </c>
      <c r="E55" s="4">
        <f>65.300422665207 * CHOOSE(CONTROL!$C$9, $C$13, 100%, $E$13) + CHOOSE(CONTROL!$C$28, 0, 0)</f>
        <v>65.300422665206995</v>
      </c>
    </row>
    <row r="56" spans="1:5" ht="15">
      <c r="A56" s="13">
        <v>43191</v>
      </c>
      <c r="B56" s="4">
        <f>11.9383 * CHOOSE(CONTROL!$C$9, $C$13, 100%, $E$13) + CHOOSE(CONTROL!$C$28, 0.0003, 0)</f>
        <v>11.938599999999999</v>
      </c>
      <c r="C56" s="4">
        <f>11.6258 * CHOOSE(CONTROL!$C$9, $C$13, 100%, $E$13) + CHOOSE(CONTROL!$C$28, 0.0003, 0)</f>
        <v>11.626099999999999</v>
      </c>
      <c r="D56" s="4">
        <f>16.4607 * CHOOSE(CONTROL!$C$9, $C$13, 100%, $E$13) + CHOOSE(CONTROL!$C$28, 0, 0)</f>
        <v>16.460699999999999</v>
      </c>
      <c r="E56" s="4">
        <f>67.9640655789663 * CHOOSE(CONTROL!$C$9, $C$13, 100%, $E$13) + CHOOSE(CONTROL!$C$28, 0, 0)</f>
        <v>67.964065578966299</v>
      </c>
    </row>
    <row r="57" spans="1:5" ht="15">
      <c r="A57" s="13">
        <v>43221</v>
      </c>
      <c r="B57" s="4">
        <f>12.1792 * CHOOSE(CONTROL!$C$9, $C$13, 100%, $E$13) + CHOOSE(CONTROL!$C$28, 0.0271, 0)</f>
        <v>12.206300000000001</v>
      </c>
      <c r="C57" s="4">
        <f>11.8667 * CHOOSE(CONTROL!$C$9, $C$13, 100%, $E$13) + CHOOSE(CONTROL!$C$28, 0.0271, 0)</f>
        <v>11.893800000000001</v>
      </c>
      <c r="D57" s="4">
        <f>16.288 * CHOOSE(CONTROL!$C$9, $C$13, 100%, $E$13) + CHOOSE(CONTROL!$C$28, 0, 0)</f>
        <v>16.288</v>
      </c>
      <c r="E57" s="4">
        <f>69.5914875606622 * CHOOSE(CONTROL!$C$9, $C$13, 100%, $E$13) + CHOOSE(CONTROL!$C$28, 0, 0)</f>
        <v>69.591487560662202</v>
      </c>
    </row>
    <row r="58" spans="1:5" ht="15">
      <c r="A58" s="13">
        <v>43252</v>
      </c>
      <c r="B58" s="4">
        <f>12.2118 * CHOOSE(CONTROL!$C$9, $C$13, 100%, $E$13) + CHOOSE(CONTROL!$C$28, 0.0271, 0)</f>
        <v>12.238900000000001</v>
      </c>
      <c r="C58" s="4">
        <f>11.8993 * CHOOSE(CONTROL!$C$9, $C$13, 100%, $E$13) + CHOOSE(CONTROL!$C$28, 0.0271, 0)</f>
        <v>11.926400000000001</v>
      </c>
      <c r="D58" s="4">
        <f>16.4286 * CHOOSE(CONTROL!$C$9, $C$13, 100%, $E$13) + CHOOSE(CONTROL!$C$28, 0, 0)</f>
        <v>16.428599999999999</v>
      </c>
      <c r="E58" s="4">
        <f>69.8116845087257 * CHOOSE(CONTROL!$C$9, $C$13, 100%, $E$13) + CHOOSE(CONTROL!$C$28, 0, 0)</f>
        <v>69.811684508725705</v>
      </c>
    </row>
    <row r="59" spans="1:5" ht="15">
      <c r="A59" s="13">
        <v>43282</v>
      </c>
      <c r="B59" s="4">
        <f>12.2085 * CHOOSE(CONTROL!$C$9, $C$13, 100%, $E$13) + CHOOSE(CONTROL!$C$28, 0.0271, 0)</f>
        <v>12.235600000000002</v>
      </c>
      <c r="C59" s="4">
        <f>11.896 * CHOOSE(CONTROL!$C$9, $C$13, 100%, $E$13) + CHOOSE(CONTROL!$C$28, 0.0271, 0)</f>
        <v>11.923100000000002</v>
      </c>
      <c r="D59" s="4">
        <f>16.6825 * CHOOSE(CONTROL!$C$9, $C$13, 100%, $E$13) + CHOOSE(CONTROL!$C$28, 0, 0)</f>
        <v>16.682500000000001</v>
      </c>
      <c r="E59" s="4">
        <f>69.7894797744672 * CHOOSE(CONTROL!$C$9, $C$13, 100%, $E$13) + CHOOSE(CONTROL!$C$28, 0, 0)</f>
        <v>69.789479774467196</v>
      </c>
    </row>
    <row r="60" spans="1:5" ht="15">
      <c r="A60" s="13">
        <v>43313</v>
      </c>
      <c r="B60" s="4">
        <f>12.4559 * CHOOSE(CONTROL!$C$9, $C$13, 100%, $E$13) + CHOOSE(CONTROL!$C$28, 0.0271, 0)</f>
        <v>12.483000000000001</v>
      </c>
      <c r="C60" s="4">
        <f>12.1434 * CHOOSE(CONTROL!$C$9, $C$13, 100%, $E$13) + CHOOSE(CONTROL!$C$28, 0.0271, 0)</f>
        <v>12.170500000000001</v>
      </c>
      <c r="D60" s="4">
        <f>16.5148 * CHOOSE(CONTROL!$C$9, $C$13, 100%, $E$13) + CHOOSE(CONTROL!$C$28, 0, 0)</f>
        <v>16.514800000000001</v>
      </c>
      <c r="E60" s="4">
        <f>71.4603860274193 * CHOOSE(CONTROL!$C$9, $C$13, 100%, $E$13) + CHOOSE(CONTROL!$C$28, 0, 0)</f>
        <v>71.460386027419304</v>
      </c>
    </row>
    <row r="61" spans="1:5" ht="15">
      <c r="A61" s="13">
        <v>43344</v>
      </c>
      <c r="B61" s="4">
        <f>12.0343 * CHOOSE(CONTROL!$C$9, $C$13, 100%, $E$13) + CHOOSE(CONTROL!$C$28, 0.0271, 0)</f>
        <v>12.061400000000001</v>
      </c>
      <c r="C61" s="4">
        <f>11.7218 * CHOOSE(CONTROL!$C$9, $C$13, 100%, $E$13) + CHOOSE(CONTROL!$C$28, 0.0271, 0)</f>
        <v>11.748900000000001</v>
      </c>
      <c r="D61" s="4">
        <f>16.4356 * CHOOSE(CONTROL!$C$9, $C$13, 100%, $E$13) + CHOOSE(CONTROL!$C$28, 0, 0)</f>
        <v>16.435600000000001</v>
      </c>
      <c r="E61" s="4">
        <f>68.6126288587667 * CHOOSE(CONTROL!$C$9, $C$13, 100%, $E$13) + CHOOSE(CONTROL!$C$28, 0, 0)</f>
        <v>68.612628858766698</v>
      </c>
    </row>
    <row r="62" spans="1:5" ht="15">
      <c r="A62" s="13">
        <v>43374</v>
      </c>
      <c r="B62" s="4">
        <f>11.6967 * CHOOSE(CONTROL!$C$9, $C$13, 100%, $E$13) + CHOOSE(CONTROL!$C$28, 0.0003, 0)</f>
        <v>11.696999999999999</v>
      </c>
      <c r="C62" s="4">
        <f>11.3842 * CHOOSE(CONTROL!$C$9, $C$13, 100%, $E$13) + CHOOSE(CONTROL!$C$28, 0.0003, 0)</f>
        <v>11.384499999999999</v>
      </c>
      <c r="D62" s="4">
        <f>16.2236 * CHOOSE(CONTROL!$C$9, $C$13, 100%, $E$13) + CHOOSE(CONTROL!$C$28, 0, 0)</f>
        <v>16.223600000000001</v>
      </c>
      <c r="E62" s="4">
        <f>66.3329428082273 * CHOOSE(CONTROL!$C$9, $C$13, 100%, $E$13) + CHOOSE(CONTROL!$C$28, 0, 0)</f>
        <v>66.332942808227301</v>
      </c>
    </row>
    <row r="63" spans="1:5" ht="15">
      <c r="A63" s="13">
        <v>43405</v>
      </c>
      <c r="B63" s="4">
        <f>11.4793 * CHOOSE(CONTROL!$C$9, $C$13, 100%, $E$13) + CHOOSE(CONTROL!$C$28, 0.0003, 0)</f>
        <v>11.4796</v>
      </c>
      <c r="C63" s="4">
        <f>11.1668 * CHOOSE(CONTROL!$C$9, $C$13, 100%, $E$13) + CHOOSE(CONTROL!$C$28, 0.0003, 0)</f>
        <v>11.1671</v>
      </c>
      <c r="D63" s="4">
        <f>16.1506 * CHOOSE(CONTROL!$C$9, $C$13, 100%, $E$13) + CHOOSE(CONTROL!$C$28, 0, 0)</f>
        <v>16.150600000000001</v>
      </c>
      <c r="E63" s="4">
        <f>64.8646547553839 * CHOOSE(CONTROL!$C$9, $C$13, 100%, $E$13) + CHOOSE(CONTROL!$C$28, 0, 0)</f>
        <v>64.864654755383896</v>
      </c>
    </row>
    <row r="64" spans="1:5" ht="15">
      <c r="A64" s="13">
        <v>43435</v>
      </c>
      <c r="B64" s="4">
        <f>11.3289 * CHOOSE(CONTROL!$C$9, $C$13, 100%, $E$13) + CHOOSE(CONTROL!$C$28, 0.0003, 0)</f>
        <v>11.3292</v>
      </c>
      <c r="C64" s="4">
        <f>11.0164 * CHOOSE(CONTROL!$C$9, $C$13, 100%, $E$13) + CHOOSE(CONTROL!$C$28, 0.0003, 0)</f>
        <v>11.0167</v>
      </c>
      <c r="D64" s="4">
        <f>15.6139 * CHOOSE(CONTROL!$C$9, $C$13, 100%, $E$13) + CHOOSE(CONTROL!$C$28, 0, 0)</f>
        <v>15.613899999999999</v>
      </c>
      <c r="E64" s="4">
        <f>63.8487881630575 * CHOOSE(CONTROL!$C$9, $C$13, 100%, $E$13) + CHOOSE(CONTROL!$C$28, 0, 0)</f>
        <v>63.848788163057499</v>
      </c>
    </row>
    <row r="65" spans="1:5" ht="15">
      <c r="A65" s="13">
        <v>43466</v>
      </c>
      <c r="B65" s="4">
        <f>11.3829 * CHOOSE(CONTROL!$C$9, $C$13, 100%, $E$13) + CHOOSE(CONTROL!$C$28, 0.0003, 0)</f>
        <v>11.383199999999999</v>
      </c>
      <c r="C65" s="4">
        <f>11.0704 * CHOOSE(CONTROL!$C$9, $C$13, 100%, $E$13) + CHOOSE(CONTROL!$C$28, 0.0003, 0)</f>
        <v>11.070699999999999</v>
      </c>
      <c r="D65" s="4">
        <f>15.5164 * CHOOSE(CONTROL!$C$9, $C$13, 100%, $E$13) + CHOOSE(CONTROL!$C$28, 0, 0)</f>
        <v>15.516400000000001</v>
      </c>
      <c r="E65" s="4">
        <f>64.142183699179 * CHOOSE(CONTROL!$C$9, $C$13, 100%, $E$13) + CHOOSE(CONTROL!$C$28, 0, 0)</f>
        <v>64.142183699179</v>
      </c>
    </row>
    <row r="66" spans="1:5" ht="15">
      <c r="A66" s="13">
        <v>43497</v>
      </c>
      <c r="B66" s="4">
        <f>11.6086 * CHOOSE(CONTROL!$C$9, $C$13, 100%, $E$13) + CHOOSE(CONTROL!$C$28, 0.0003, 0)</f>
        <v>11.608899999999998</v>
      </c>
      <c r="C66" s="4">
        <f>11.2961 * CHOOSE(CONTROL!$C$9, $C$13, 100%, $E$13) + CHOOSE(CONTROL!$C$28, 0.0003, 0)</f>
        <v>11.296399999999998</v>
      </c>
      <c r="D66" s="4">
        <f>16.0272 * CHOOSE(CONTROL!$C$9, $C$13, 100%, $E$13) + CHOOSE(CONTROL!$C$28, 0, 0)</f>
        <v>16.027200000000001</v>
      </c>
      <c r="E66" s="4">
        <f>65.6651719187348 * CHOOSE(CONTROL!$C$9, $C$13, 100%, $E$13) + CHOOSE(CONTROL!$C$28, 0, 0)</f>
        <v>65.665171918734799</v>
      </c>
    </row>
    <row r="67" spans="1:5" ht="15">
      <c r="A67" s="13">
        <v>43525</v>
      </c>
      <c r="B67" s="4">
        <f>12.2014 * CHOOSE(CONTROL!$C$9, $C$13, 100%, $E$13) + CHOOSE(CONTROL!$C$28, 0.0003, 0)</f>
        <v>12.201699999999999</v>
      </c>
      <c r="C67" s="4">
        <f>11.8889 * CHOOSE(CONTROL!$C$9, $C$13, 100%, $E$13) + CHOOSE(CONTROL!$C$28, 0.0003, 0)</f>
        <v>11.889199999999999</v>
      </c>
      <c r="D67" s="4">
        <f>16.8268 * CHOOSE(CONTROL!$C$9, $C$13, 100%, $E$13) + CHOOSE(CONTROL!$C$28, 0, 0)</f>
        <v>16.826799999999999</v>
      </c>
      <c r="E67" s="4">
        <f>69.6646199197977 * CHOOSE(CONTROL!$C$9, $C$13, 100%, $E$13) + CHOOSE(CONTROL!$C$28, 0, 0)</f>
        <v>69.664619919797701</v>
      </c>
    </row>
    <row r="68" spans="1:5" ht="15">
      <c r="A68" s="13">
        <v>43556</v>
      </c>
      <c r="B68" s="4">
        <f>12.6227 * CHOOSE(CONTROL!$C$9, $C$13, 100%, $E$13) + CHOOSE(CONTROL!$C$28, 0.0003, 0)</f>
        <v>12.622999999999999</v>
      </c>
      <c r="C68" s="4">
        <f>12.3102 * CHOOSE(CONTROL!$C$9, $C$13, 100%, $E$13) + CHOOSE(CONTROL!$C$28, 0.0003, 0)</f>
        <v>12.310499999999999</v>
      </c>
      <c r="D68" s="4">
        <f>17.2873 * CHOOSE(CONTROL!$C$9, $C$13, 100%, $E$13) + CHOOSE(CONTROL!$C$28, 0, 0)</f>
        <v>17.287299999999998</v>
      </c>
      <c r="E68" s="4">
        <f>72.5062810242054 * CHOOSE(CONTROL!$C$9, $C$13, 100%, $E$13) + CHOOSE(CONTROL!$C$28, 0, 0)</f>
        <v>72.506281024205407</v>
      </c>
    </row>
    <row r="69" spans="1:5" ht="15">
      <c r="A69" s="13">
        <v>43586</v>
      </c>
      <c r="B69" s="4">
        <f>12.88 * CHOOSE(CONTROL!$C$9, $C$13, 100%, $E$13) + CHOOSE(CONTROL!$C$28, 0.0271, 0)</f>
        <v>12.907100000000002</v>
      </c>
      <c r="C69" s="4">
        <f>12.5675 * CHOOSE(CONTROL!$C$9, $C$13, 100%, $E$13) + CHOOSE(CONTROL!$C$28, 0.0271, 0)</f>
        <v>12.594600000000002</v>
      </c>
      <c r="D69" s="4">
        <f>17.1053 * CHOOSE(CONTROL!$C$9, $C$13, 100%, $E$13) + CHOOSE(CONTROL!$C$28, 0, 0)</f>
        <v>17.1053</v>
      </c>
      <c r="E69" s="4">
        <f>74.242467853887 * CHOOSE(CONTROL!$C$9, $C$13, 100%, $E$13) + CHOOSE(CONTROL!$C$28, 0, 0)</f>
        <v>74.242467853887007</v>
      </c>
    </row>
    <row r="70" spans="1:5" ht="15">
      <c r="A70" s="13">
        <v>43617</v>
      </c>
      <c r="B70" s="4">
        <f>12.9148 * CHOOSE(CONTROL!$C$9, $C$13, 100%, $E$13) + CHOOSE(CONTROL!$C$28, 0.0271, 0)</f>
        <v>12.9419</v>
      </c>
      <c r="C70" s="4">
        <f>12.6023 * CHOOSE(CONTROL!$C$9, $C$13, 100%, $E$13) + CHOOSE(CONTROL!$C$28, 0.0271, 0)</f>
        <v>12.6294</v>
      </c>
      <c r="D70" s="4">
        <f>17.2536 * CHOOSE(CONTROL!$C$9, $C$13, 100%, $E$13) + CHOOSE(CONTROL!$C$28, 0, 0)</f>
        <v>17.253599999999999</v>
      </c>
      <c r="E70" s="4">
        <f>74.4773811372663 * CHOOSE(CONTROL!$C$9, $C$13, 100%, $E$13) + CHOOSE(CONTROL!$C$28, 0, 0)</f>
        <v>74.477381137266306</v>
      </c>
    </row>
    <row r="71" spans="1:5" ht="15">
      <c r="A71" s="13">
        <v>43647</v>
      </c>
      <c r="B71" s="4">
        <f>12.9113 * CHOOSE(CONTROL!$C$9, $C$13, 100%, $E$13) + CHOOSE(CONTROL!$C$28, 0.0271, 0)</f>
        <v>12.938400000000001</v>
      </c>
      <c r="C71" s="4">
        <f>12.5988 * CHOOSE(CONTROL!$C$9, $C$13, 100%, $E$13) + CHOOSE(CONTROL!$C$28, 0.0271, 0)</f>
        <v>12.625900000000001</v>
      </c>
      <c r="D71" s="4">
        <f>17.521 * CHOOSE(CONTROL!$C$9, $C$13, 100%, $E$13) + CHOOSE(CONTROL!$C$28, 0, 0)</f>
        <v>17.521000000000001</v>
      </c>
      <c r="E71" s="4">
        <f>74.4536924028079 * CHOOSE(CONTROL!$C$9, $C$13, 100%, $E$13) + CHOOSE(CONTROL!$C$28, 0, 0)</f>
        <v>74.453692402807903</v>
      </c>
    </row>
    <row r="72" spans="1:5" ht="15">
      <c r="A72" s="13">
        <v>43678</v>
      </c>
      <c r="B72" s="4">
        <f>13.1756 * CHOOSE(CONTROL!$C$9, $C$13, 100%, $E$13) + CHOOSE(CONTROL!$C$28, 0.0271, 0)</f>
        <v>13.2027</v>
      </c>
      <c r="C72" s="4">
        <f>12.8631 * CHOOSE(CONTROL!$C$9, $C$13, 100%, $E$13) + CHOOSE(CONTROL!$C$28, 0.0271, 0)</f>
        <v>12.8902</v>
      </c>
      <c r="D72" s="4">
        <f>17.3444 * CHOOSE(CONTROL!$C$9, $C$13, 100%, $E$13) + CHOOSE(CONTROL!$C$28, 0, 0)</f>
        <v>17.3444</v>
      </c>
      <c r="E72" s="4">
        <f>76.2362696708038 * CHOOSE(CONTROL!$C$9, $C$13, 100%, $E$13) + CHOOSE(CONTROL!$C$28, 0, 0)</f>
        <v>76.236269670803793</v>
      </c>
    </row>
    <row r="73" spans="1:5" ht="15">
      <c r="A73" s="13">
        <v>43709</v>
      </c>
      <c r="B73" s="4">
        <f>12.7252 * CHOOSE(CONTROL!$C$9, $C$13, 100%, $E$13) + CHOOSE(CONTROL!$C$28, 0.0271, 0)</f>
        <v>12.7523</v>
      </c>
      <c r="C73" s="4">
        <f>12.4127 * CHOOSE(CONTROL!$C$9, $C$13, 100%, $E$13) + CHOOSE(CONTROL!$C$28, 0.0271, 0)</f>
        <v>12.4398</v>
      </c>
      <c r="D73" s="4">
        <f>17.2609 * CHOOSE(CONTROL!$C$9, $C$13, 100%, $E$13) + CHOOSE(CONTROL!$C$28, 0, 0)</f>
        <v>17.260899999999999</v>
      </c>
      <c r="E73" s="4">
        <f>73.1981894765117 * CHOOSE(CONTROL!$C$9, $C$13, 100%, $E$13) + CHOOSE(CONTROL!$C$28, 0, 0)</f>
        <v>73.1981894765117</v>
      </c>
    </row>
    <row r="74" spans="1:5" ht="15">
      <c r="A74" s="13">
        <v>43739</v>
      </c>
      <c r="B74" s="4">
        <f>12.3647 * CHOOSE(CONTROL!$C$9, $C$13, 100%, $E$13) + CHOOSE(CONTROL!$C$28, 0.0003, 0)</f>
        <v>12.364999999999998</v>
      </c>
      <c r="C74" s="4">
        <f>12.0522 * CHOOSE(CONTROL!$C$9, $C$13, 100%, $E$13) + CHOOSE(CONTROL!$C$28, 0.0003, 0)</f>
        <v>12.052499999999998</v>
      </c>
      <c r="D74" s="4">
        <f>17.0375 * CHOOSE(CONTROL!$C$9, $C$13, 100%, $E$13) + CHOOSE(CONTROL!$C$28, 0, 0)</f>
        <v>17.037500000000001</v>
      </c>
      <c r="E74" s="4">
        <f>70.7661460721141 * CHOOSE(CONTROL!$C$9, $C$13, 100%, $E$13) + CHOOSE(CONTROL!$C$28, 0, 0)</f>
        <v>70.766146072114097</v>
      </c>
    </row>
    <row r="75" spans="1:5" ht="15">
      <c r="A75" s="13">
        <v>43770</v>
      </c>
      <c r="B75" s="4">
        <f>12.1325 * CHOOSE(CONTROL!$C$9, $C$13, 100%, $E$13) + CHOOSE(CONTROL!$C$28, 0.0003, 0)</f>
        <v>12.1328</v>
      </c>
      <c r="C75" s="4">
        <f>11.82 * CHOOSE(CONTROL!$C$9, $C$13, 100%, $E$13) + CHOOSE(CONTROL!$C$28, 0.0003, 0)</f>
        <v>11.8203</v>
      </c>
      <c r="D75" s="4">
        <f>16.9607 * CHOOSE(CONTROL!$C$9, $C$13, 100%, $E$13) + CHOOSE(CONTROL!$C$28, 0, 0)</f>
        <v>16.960699999999999</v>
      </c>
      <c r="E75" s="4">
        <f>69.1997285060512 * CHOOSE(CONTROL!$C$9, $C$13, 100%, $E$13) + CHOOSE(CONTROL!$C$28, 0, 0)</f>
        <v>69.199728506051201</v>
      </c>
    </row>
    <row r="76" spans="1:5" ht="15">
      <c r="A76" s="13">
        <v>43800</v>
      </c>
      <c r="B76" s="4">
        <f>11.9719 * CHOOSE(CONTROL!$C$9, $C$13, 100%, $E$13) + CHOOSE(CONTROL!$C$28, 0.0003, 0)</f>
        <v>11.972199999999999</v>
      </c>
      <c r="C76" s="4">
        <f>11.6594 * CHOOSE(CONTROL!$C$9, $C$13, 100%, $E$13) + CHOOSE(CONTROL!$C$28, 0.0003, 0)</f>
        <v>11.659699999999999</v>
      </c>
      <c r="D76" s="4">
        <f>16.3951 * CHOOSE(CONTROL!$C$9, $C$13, 100%, $E$13) + CHOOSE(CONTROL!$C$28, 0, 0)</f>
        <v>16.395099999999999</v>
      </c>
      <c r="E76" s="4">
        <f>68.1159689045786 * CHOOSE(CONTROL!$C$9, $C$13, 100%, $E$13) + CHOOSE(CONTROL!$C$28, 0, 0)</f>
        <v>68.115968904578594</v>
      </c>
    </row>
    <row r="77" spans="1:5" ht="15">
      <c r="A77" s="13">
        <v>43831</v>
      </c>
      <c r="B77" s="4">
        <f>14.0588 * CHOOSE(CONTROL!$C$9, $C$13, 100%, $E$13) + CHOOSE(CONTROL!$C$28, 0.0003, 0)</f>
        <v>14.059099999999999</v>
      </c>
      <c r="C77" s="4">
        <f>13.7463 * CHOOSE(CONTROL!$C$9, $C$13, 100%, $E$13) + CHOOSE(CONTROL!$C$28, 0.0003, 0)</f>
        <v>13.746599999999999</v>
      </c>
      <c r="D77" s="4">
        <f>18.5812 * CHOOSE(CONTROL!$C$9, $C$13, 100%, $E$13) + CHOOSE(CONTROL!$C$28, 0, 0)</f>
        <v>18.581199999999999</v>
      </c>
      <c r="E77" s="4">
        <f>81.4873227887303 * CHOOSE(CONTROL!$C$9, $C$13, 100%, $E$13) + CHOOSE(CONTROL!$C$28, 0, 0)</f>
        <v>81.487322788730296</v>
      </c>
    </row>
    <row r="78" spans="1:5" ht="15">
      <c r="A78" s="13">
        <v>43862</v>
      </c>
      <c r="B78" s="4">
        <f>14.3481 * CHOOSE(CONTROL!$C$9, $C$13, 100%, $E$13) + CHOOSE(CONTROL!$C$28, 0.0003, 0)</f>
        <v>14.3484</v>
      </c>
      <c r="C78" s="4">
        <f>14.0356 * CHOOSE(CONTROL!$C$9, $C$13, 100%, $E$13) + CHOOSE(CONTROL!$C$28, 0.0003, 0)</f>
        <v>14.0359</v>
      </c>
      <c r="D78" s="4">
        <f>19.2002 * CHOOSE(CONTROL!$C$9, $C$13, 100%, $E$13) + CHOOSE(CONTROL!$C$28, 0, 0)</f>
        <v>19.200199999999999</v>
      </c>
      <c r="E78" s="4">
        <f>83.4221529658944 * CHOOSE(CONTROL!$C$9, $C$13, 100%, $E$13) + CHOOSE(CONTROL!$C$28, 0, 0)</f>
        <v>83.422152965894398</v>
      </c>
    </row>
    <row r="79" spans="1:5" ht="15">
      <c r="A79" s="13">
        <v>43891</v>
      </c>
      <c r="B79" s="4">
        <f>15.1078 * CHOOSE(CONTROL!$C$9, $C$13, 100%, $E$13) + CHOOSE(CONTROL!$C$28, 0.0003, 0)</f>
        <v>15.108099999999999</v>
      </c>
      <c r="C79" s="4">
        <f>14.7953 * CHOOSE(CONTROL!$C$9, $C$13, 100%, $E$13) + CHOOSE(CONTROL!$C$28, 0.0003, 0)</f>
        <v>14.795599999999999</v>
      </c>
      <c r="D79" s="4">
        <f>20.1691 * CHOOSE(CONTROL!$C$9, $C$13, 100%, $E$13) + CHOOSE(CONTROL!$C$28, 0, 0)</f>
        <v>20.1691</v>
      </c>
      <c r="E79" s="4">
        <f>88.5031198342476 * CHOOSE(CONTROL!$C$9, $C$13, 100%, $E$13) + CHOOSE(CONTROL!$C$28, 0, 0)</f>
        <v>88.503119834247599</v>
      </c>
    </row>
    <row r="80" spans="1:5" ht="15">
      <c r="A80" s="13">
        <v>43922</v>
      </c>
      <c r="B80" s="4">
        <f>15.6476 * CHOOSE(CONTROL!$C$9, $C$13, 100%, $E$13) + CHOOSE(CONTROL!$C$28, 0.0003, 0)</f>
        <v>15.6479</v>
      </c>
      <c r="C80" s="4">
        <f>15.3351 * CHOOSE(CONTROL!$C$9, $C$13, 100%, $E$13) + CHOOSE(CONTROL!$C$28, 0.0003, 0)</f>
        <v>15.3354</v>
      </c>
      <c r="D80" s="4">
        <f>20.7273 * CHOOSE(CONTROL!$C$9, $C$13, 100%, $E$13) + CHOOSE(CONTROL!$C$28, 0, 0)</f>
        <v>20.7273</v>
      </c>
      <c r="E80" s="4">
        <f>92.1132145069991 * CHOOSE(CONTROL!$C$9, $C$13, 100%, $E$13) + CHOOSE(CONTROL!$C$28, 0, 0)</f>
        <v>92.1132145069991</v>
      </c>
    </row>
    <row r="81" spans="1:5" ht="15">
      <c r="A81" s="13">
        <v>43952</v>
      </c>
      <c r="B81" s="4">
        <f>15.9774 * CHOOSE(CONTROL!$C$9, $C$13, 100%, $E$13) + CHOOSE(CONTROL!$C$28, 0.0271, 0)</f>
        <v>16.0045</v>
      </c>
      <c r="C81" s="4">
        <f>15.6649 * CHOOSE(CONTROL!$C$9, $C$13, 100%, $E$13) + CHOOSE(CONTROL!$C$28, 0.0271, 0)</f>
        <v>15.692</v>
      </c>
      <c r="D81" s="4">
        <f>20.5067 * CHOOSE(CONTROL!$C$9, $C$13, 100%, $E$13) + CHOOSE(CONTROL!$C$28, 0, 0)</f>
        <v>20.506699999999999</v>
      </c>
      <c r="E81" s="4">
        <f>94.3188958301564 * CHOOSE(CONTROL!$C$9, $C$13, 100%, $E$13) + CHOOSE(CONTROL!$C$28, 0, 0)</f>
        <v>94.318895830156407</v>
      </c>
    </row>
    <row r="82" spans="1:5" ht="15">
      <c r="A82" s="13">
        <v>43983</v>
      </c>
      <c r="B82" s="4">
        <f>16.022 * CHOOSE(CONTROL!$C$9, $C$13, 100%, $E$13) + CHOOSE(CONTROL!$C$28, 0.0271, 0)</f>
        <v>16.049099999999999</v>
      </c>
      <c r="C82" s="4">
        <f>15.7095 * CHOOSE(CONTROL!$C$9, $C$13, 100%, $E$13) + CHOOSE(CONTROL!$C$28, 0.0271, 0)</f>
        <v>15.736600000000001</v>
      </c>
      <c r="D82" s="4">
        <f>20.6863 * CHOOSE(CONTROL!$C$9, $C$13, 100%, $E$13) + CHOOSE(CONTROL!$C$28, 0, 0)</f>
        <v>20.686299999999999</v>
      </c>
      <c r="E82" s="4">
        <f>94.6173336669451 * CHOOSE(CONTROL!$C$9, $C$13, 100%, $E$13) + CHOOSE(CONTROL!$C$28, 0, 0)</f>
        <v>94.6173336669451</v>
      </c>
    </row>
    <row r="83" spans="1:5" ht="15">
      <c r="A83" s="13">
        <v>44013</v>
      </c>
      <c r="B83" s="4">
        <f>16.0175 * CHOOSE(CONTROL!$C$9, $C$13, 100%, $E$13) + CHOOSE(CONTROL!$C$28, 0.0271, 0)</f>
        <v>16.044599999999999</v>
      </c>
      <c r="C83" s="4">
        <f>15.705 * CHOOSE(CONTROL!$C$9, $C$13, 100%, $E$13) + CHOOSE(CONTROL!$C$28, 0.0271, 0)</f>
        <v>15.732100000000001</v>
      </c>
      <c r="D83" s="4">
        <f>21.0104 * CHOOSE(CONTROL!$C$9, $C$13, 100%, $E$13) + CHOOSE(CONTROL!$C$28, 0, 0)</f>
        <v>21.010400000000001</v>
      </c>
      <c r="E83" s="4">
        <f>94.5872390951681 * CHOOSE(CONTROL!$C$9, $C$13, 100%, $E$13) + CHOOSE(CONTROL!$C$28, 0, 0)</f>
        <v>94.587239095168101</v>
      </c>
    </row>
    <row r="84" spans="1:5" ht="15">
      <c r="A84" s="13">
        <v>44044</v>
      </c>
      <c r="B84" s="4">
        <f>16.3561 * CHOOSE(CONTROL!$C$9, $C$13, 100%, $E$13) + CHOOSE(CONTROL!$C$28, 0.0271, 0)</f>
        <v>16.383200000000002</v>
      </c>
      <c r="C84" s="4">
        <f>16.0436 * CHOOSE(CONTROL!$C$9, $C$13, 100%, $E$13) + CHOOSE(CONTROL!$C$28, 0.0271, 0)</f>
        <v>16.070700000000002</v>
      </c>
      <c r="D84" s="4">
        <f>20.7964 * CHOOSE(CONTROL!$C$9, $C$13, 100%, $E$13) + CHOOSE(CONTROL!$C$28, 0, 0)</f>
        <v>20.796399999999998</v>
      </c>
      <c r="E84" s="4">
        <f>96.8518556213888 * CHOOSE(CONTROL!$C$9, $C$13, 100%, $E$13) + CHOOSE(CONTROL!$C$28, 0, 0)</f>
        <v>96.851855621388793</v>
      </c>
    </row>
    <row r="85" spans="1:5" ht="15">
      <c r="A85" s="13">
        <v>44075</v>
      </c>
      <c r="B85" s="4">
        <f>15.779 * CHOOSE(CONTROL!$C$9, $C$13, 100%, $E$13) + CHOOSE(CONTROL!$C$28, 0.0271, 0)</f>
        <v>15.806100000000001</v>
      </c>
      <c r="C85" s="4">
        <f>15.4665 * CHOOSE(CONTROL!$C$9, $C$13, 100%, $E$13) + CHOOSE(CONTROL!$C$28, 0.0271, 0)</f>
        <v>15.493600000000001</v>
      </c>
      <c r="D85" s="4">
        <f>20.6953 * CHOOSE(CONTROL!$C$9, $C$13, 100%, $E$13) + CHOOSE(CONTROL!$C$28, 0, 0)</f>
        <v>20.6953</v>
      </c>
      <c r="E85" s="4">
        <f>92.9922267909862 * CHOOSE(CONTROL!$C$9, $C$13, 100%, $E$13) + CHOOSE(CONTROL!$C$28, 0, 0)</f>
        <v>92.992226790986194</v>
      </c>
    </row>
    <row r="86" spans="1:5" ht="15">
      <c r="A86" s="13">
        <v>44105</v>
      </c>
      <c r="B86" s="4">
        <f>15.3171 * CHOOSE(CONTROL!$C$9, $C$13, 100%, $E$13) + CHOOSE(CONTROL!$C$28, 0.0003, 0)</f>
        <v>15.317399999999999</v>
      </c>
      <c r="C86" s="4">
        <f>15.0046 * CHOOSE(CONTROL!$C$9, $C$13, 100%, $E$13) + CHOOSE(CONTROL!$C$28, 0.0003, 0)</f>
        <v>15.004899999999999</v>
      </c>
      <c r="D86" s="4">
        <f>20.4245 * CHOOSE(CONTROL!$C$9, $C$13, 100%, $E$13) + CHOOSE(CONTROL!$C$28, 0, 0)</f>
        <v>20.424499999999998</v>
      </c>
      <c r="E86" s="4">
        <f>89.902517421879 * CHOOSE(CONTROL!$C$9, $C$13, 100%, $E$13) + CHOOSE(CONTROL!$C$28, 0, 0)</f>
        <v>89.902517421878997</v>
      </c>
    </row>
    <row r="87" spans="1:5" ht="15">
      <c r="A87" s="13">
        <v>44136</v>
      </c>
      <c r="B87" s="4">
        <f>15.0195 * CHOOSE(CONTROL!$C$9, $C$13, 100%, $E$13) + CHOOSE(CONTROL!$C$28, 0.0003, 0)</f>
        <v>15.0198</v>
      </c>
      <c r="C87" s="4">
        <f>14.707 * CHOOSE(CONTROL!$C$9, $C$13, 100%, $E$13) + CHOOSE(CONTROL!$C$28, 0.0003, 0)</f>
        <v>14.7073</v>
      </c>
      <c r="D87" s="4">
        <f>20.3314 * CHOOSE(CONTROL!$C$9, $C$13, 100%, $E$13) + CHOOSE(CONTROL!$C$28, 0, 0)</f>
        <v>20.331399999999999</v>
      </c>
      <c r="E87" s="4">
        <f>87.9125138631237 * CHOOSE(CONTROL!$C$9, $C$13, 100%, $E$13) + CHOOSE(CONTROL!$C$28, 0, 0)</f>
        <v>87.912513863123706</v>
      </c>
    </row>
    <row r="88" spans="1:5" ht="15">
      <c r="A88" s="13">
        <v>44166</v>
      </c>
      <c r="B88" s="4">
        <f>14.8137 * CHOOSE(CONTROL!$C$9, $C$13, 100%, $E$13) + CHOOSE(CONTROL!$C$28, 0.0003, 0)</f>
        <v>14.814</v>
      </c>
      <c r="C88" s="4">
        <f>14.5012 * CHOOSE(CONTROL!$C$9, $C$13, 100%, $E$13) + CHOOSE(CONTROL!$C$28, 0.0003, 0)</f>
        <v>14.5015</v>
      </c>
      <c r="D88" s="4">
        <f>19.6461 * CHOOSE(CONTROL!$C$9, $C$13, 100%, $E$13) + CHOOSE(CONTROL!$C$28, 0, 0)</f>
        <v>19.646100000000001</v>
      </c>
      <c r="E88" s="4">
        <f>86.5356872043251 * CHOOSE(CONTROL!$C$9, $C$13, 100%, $E$13) + CHOOSE(CONTROL!$C$28, 0, 0)</f>
        <v>86.5356872043251</v>
      </c>
    </row>
    <row r="89" spans="1:5" ht="15">
      <c r="A89" s="13">
        <v>44197</v>
      </c>
      <c r="B89" s="4">
        <f>14.9436 * CHOOSE(CONTROL!$C$9, $C$13, 100%, $E$13) + CHOOSE(CONTROL!$C$28, 0.0003, 0)</f>
        <v>14.943899999999999</v>
      </c>
      <c r="C89" s="4">
        <f>14.6311 * CHOOSE(CONTROL!$C$9, $C$13, 100%, $E$13) + CHOOSE(CONTROL!$C$28, 0.0003, 0)</f>
        <v>14.631399999999999</v>
      </c>
      <c r="D89" s="4">
        <f>19.4141 * CHOOSE(CONTROL!$C$9, $C$13, 100%, $E$13) + CHOOSE(CONTROL!$C$28, 0, 0)</f>
        <v>19.414100000000001</v>
      </c>
      <c r="E89" s="4">
        <f>85.9661484646045 * CHOOSE(CONTROL!$C$9, $C$13, 100%, $E$13) + CHOOSE(CONTROL!$C$28, 0, 0)</f>
        <v>85.966148464604501</v>
      </c>
    </row>
    <row r="90" spans="1:5" ht="15">
      <c r="A90" s="13">
        <v>44228</v>
      </c>
      <c r="B90" s="4">
        <f>15.2539 * CHOOSE(CONTROL!$C$9, $C$13, 100%, $E$13) + CHOOSE(CONTROL!$C$28, 0.0003, 0)</f>
        <v>15.254199999999999</v>
      </c>
      <c r="C90" s="4">
        <f>14.9414 * CHOOSE(CONTROL!$C$9, $C$13, 100%, $E$13) + CHOOSE(CONTROL!$C$28, 0.0003, 0)</f>
        <v>14.941699999999999</v>
      </c>
      <c r="D90" s="4">
        <f>20.0625 * CHOOSE(CONTROL!$C$9, $C$13, 100%, $E$13) + CHOOSE(CONTROL!$C$28, 0, 0)</f>
        <v>20.0625</v>
      </c>
      <c r="E90" s="4">
        <f>88.0073236139603 * CHOOSE(CONTROL!$C$9, $C$13, 100%, $E$13) + CHOOSE(CONTROL!$C$28, 0, 0)</f>
        <v>88.007323613960295</v>
      </c>
    </row>
    <row r="91" spans="1:5" ht="15">
      <c r="A91" s="13">
        <v>44256</v>
      </c>
      <c r="B91" s="4">
        <f>16.0687 * CHOOSE(CONTROL!$C$9, $C$13, 100%, $E$13) + CHOOSE(CONTROL!$C$28, 0.0003, 0)</f>
        <v>16.068999999999999</v>
      </c>
      <c r="C91" s="4">
        <f>15.7562 * CHOOSE(CONTROL!$C$9, $C$13, 100%, $E$13) + CHOOSE(CONTROL!$C$28, 0.0003, 0)</f>
        <v>15.756499999999999</v>
      </c>
      <c r="D91" s="4">
        <f>21.0774 * CHOOSE(CONTROL!$C$9, $C$13, 100%, $E$13) + CHOOSE(CONTROL!$C$28, 0, 0)</f>
        <v>21.077400000000001</v>
      </c>
      <c r="E91" s="4">
        <f>93.3675580308038 * CHOOSE(CONTROL!$C$9, $C$13, 100%, $E$13) + CHOOSE(CONTROL!$C$28, 0, 0)</f>
        <v>93.367558030803806</v>
      </c>
    </row>
    <row r="92" spans="1:5" ht="15">
      <c r="A92" s="13">
        <v>44287</v>
      </c>
      <c r="B92" s="4">
        <f>16.6477 * CHOOSE(CONTROL!$C$9, $C$13, 100%, $E$13) + CHOOSE(CONTROL!$C$28, 0.0003, 0)</f>
        <v>16.648</v>
      </c>
      <c r="C92" s="4">
        <f>16.3352 * CHOOSE(CONTROL!$C$9, $C$13, 100%, $E$13) + CHOOSE(CONTROL!$C$28, 0.0003, 0)</f>
        <v>16.3355</v>
      </c>
      <c r="D92" s="4">
        <f>21.6621 * CHOOSE(CONTROL!$C$9, $C$13, 100%, $E$13) + CHOOSE(CONTROL!$C$28, 0, 0)</f>
        <v>21.662099999999999</v>
      </c>
      <c r="E92" s="4">
        <f>97.1760760184871 * CHOOSE(CONTROL!$C$9, $C$13, 100%, $E$13) + CHOOSE(CONTROL!$C$28, 0, 0)</f>
        <v>97.176076018487095</v>
      </c>
    </row>
    <row r="93" spans="1:5" ht="15">
      <c r="A93" s="13">
        <v>44317</v>
      </c>
      <c r="B93" s="4">
        <f>17.0015 * CHOOSE(CONTROL!$C$9, $C$13, 100%, $E$13) + CHOOSE(CONTROL!$C$28, 0.0271, 0)</f>
        <v>17.028600000000001</v>
      </c>
      <c r="C93" s="4">
        <f>16.689 * CHOOSE(CONTROL!$C$9, $C$13, 100%, $E$13) + CHOOSE(CONTROL!$C$28, 0.0271, 0)</f>
        <v>16.716100000000001</v>
      </c>
      <c r="D93" s="4">
        <f>21.431 * CHOOSE(CONTROL!$C$9, $C$13, 100%, $E$13) + CHOOSE(CONTROL!$C$28, 0, 0)</f>
        <v>21.431000000000001</v>
      </c>
      <c r="E93" s="4">
        <f>99.5029892315245 * CHOOSE(CONTROL!$C$9, $C$13, 100%, $E$13) + CHOOSE(CONTROL!$C$28, 0, 0)</f>
        <v>99.502989231524495</v>
      </c>
    </row>
    <row r="94" spans="1:5" ht="15">
      <c r="A94" s="13">
        <v>44348</v>
      </c>
      <c r="B94" s="4">
        <f>17.0493 * CHOOSE(CONTROL!$C$9, $C$13, 100%, $E$13) + CHOOSE(CONTROL!$C$28, 0.0271, 0)</f>
        <v>17.0764</v>
      </c>
      <c r="C94" s="4">
        <f>16.7368 * CHOOSE(CONTROL!$C$9, $C$13, 100%, $E$13) + CHOOSE(CONTROL!$C$28, 0.0271, 0)</f>
        <v>16.7639</v>
      </c>
      <c r="D94" s="4">
        <f>21.6192 * CHOOSE(CONTROL!$C$9, $C$13, 100%, $E$13) + CHOOSE(CONTROL!$C$28, 0, 0)</f>
        <v>21.619199999999999</v>
      </c>
      <c r="E94" s="4">
        <f>99.8178302461367 * CHOOSE(CONTROL!$C$9, $C$13, 100%, $E$13) + CHOOSE(CONTROL!$C$28, 0, 0)</f>
        <v>99.817830246136694</v>
      </c>
    </row>
    <row r="95" spans="1:5" ht="15">
      <c r="A95" s="13">
        <v>44378</v>
      </c>
      <c r="B95" s="4">
        <f>17.0445 * CHOOSE(CONTROL!$C$9, $C$13, 100%, $E$13) + CHOOSE(CONTROL!$C$28, 0.0271, 0)</f>
        <v>17.0716</v>
      </c>
      <c r="C95" s="4">
        <f>16.732 * CHOOSE(CONTROL!$C$9, $C$13, 100%, $E$13) + CHOOSE(CONTROL!$C$28, 0.0271, 0)</f>
        <v>16.7591</v>
      </c>
      <c r="D95" s="4">
        <f>21.9587 * CHOOSE(CONTROL!$C$9, $C$13, 100%, $E$13) + CHOOSE(CONTROL!$C$28, 0, 0)</f>
        <v>21.9587</v>
      </c>
      <c r="E95" s="4">
        <f>99.7860815723943 * CHOOSE(CONTROL!$C$9, $C$13, 100%, $E$13) + CHOOSE(CONTROL!$C$28, 0, 0)</f>
        <v>99.786081572394295</v>
      </c>
    </row>
    <row r="96" spans="1:5" ht="15">
      <c r="A96" s="13">
        <v>44409</v>
      </c>
      <c r="B96" s="4">
        <f>17.4077 * CHOOSE(CONTROL!$C$9, $C$13, 100%, $E$13) + CHOOSE(CONTROL!$C$28, 0.0271, 0)</f>
        <v>17.434799999999999</v>
      </c>
      <c r="C96" s="4">
        <f>17.0952 * CHOOSE(CONTROL!$C$9, $C$13, 100%, $E$13) + CHOOSE(CONTROL!$C$28, 0.0271, 0)</f>
        <v>17.122299999999999</v>
      </c>
      <c r="D96" s="4">
        <f>21.7345 * CHOOSE(CONTROL!$C$9, $C$13, 100%, $E$13) + CHOOSE(CONTROL!$C$28, 0, 0)</f>
        <v>21.734500000000001</v>
      </c>
      <c r="E96" s="4">
        <f>102.175169271511 * CHOOSE(CONTROL!$C$9, $C$13, 100%, $E$13) + CHOOSE(CONTROL!$C$28, 0, 0)</f>
        <v>102.175169271511</v>
      </c>
    </row>
    <row r="97" spans="1:5" ht="15">
      <c r="A97" s="13">
        <v>44440</v>
      </c>
      <c r="B97" s="4">
        <f>16.7887 * CHOOSE(CONTROL!$C$9, $C$13, 100%, $E$13) + CHOOSE(CONTROL!$C$28, 0.0271, 0)</f>
        <v>16.815799999999999</v>
      </c>
      <c r="C97" s="4">
        <f>16.4762 * CHOOSE(CONTROL!$C$9, $C$13, 100%, $E$13) + CHOOSE(CONTROL!$C$28, 0.0271, 0)</f>
        <v>16.503299999999999</v>
      </c>
      <c r="D97" s="4">
        <f>21.6285 * CHOOSE(CONTROL!$C$9, $C$13, 100%, $E$13) + CHOOSE(CONTROL!$C$28, 0, 0)</f>
        <v>21.628499999999999</v>
      </c>
      <c r="E97" s="4">
        <f>98.1034018640466 * CHOOSE(CONTROL!$C$9, $C$13, 100%, $E$13) + CHOOSE(CONTROL!$C$28, 0, 0)</f>
        <v>98.103401864046603</v>
      </c>
    </row>
    <row r="98" spans="1:5" ht="15">
      <c r="A98" s="13">
        <v>44470</v>
      </c>
      <c r="B98" s="4">
        <f>16.2932 * CHOOSE(CONTROL!$C$9, $C$13, 100%, $E$13) + CHOOSE(CONTROL!$C$28, 0.0003, 0)</f>
        <v>16.293499999999998</v>
      </c>
      <c r="C98" s="4">
        <f>15.9807 * CHOOSE(CONTROL!$C$9, $C$13, 100%, $E$13) + CHOOSE(CONTROL!$C$28, 0.0003, 0)</f>
        <v>15.981</v>
      </c>
      <c r="D98" s="4">
        <f>21.3449 * CHOOSE(CONTROL!$C$9, $C$13, 100%, $E$13) + CHOOSE(CONTROL!$C$28, 0, 0)</f>
        <v>21.344899999999999</v>
      </c>
      <c r="E98" s="4">
        <f>94.8438713598258 * CHOOSE(CONTROL!$C$9, $C$13, 100%, $E$13) + CHOOSE(CONTROL!$C$28, 0, 0)</f>
        <v>94.843871359825798</v>
      </c>
    </row>
    <row r="99" spans="1:5" ht="15">
      <c r="A99" s="13">
        <v>44501</v>
      </c>
      <c r="B99" s="4">
        <f>15.974 * CHOOSE(CONTROL!$C$9, $C$13, 100%, $E$13) + CHOOSE(CONTROL!$C$28, 0.0003, 0)</f>
        <v>15.974299999999999</v>
      </c>
      <c r="C99" s="4">
        <f>15.6615 * CHOOSE(CONTROL!$C$9, $C$13, 100%, $E$13) + CHOOSE(CONTROL!$C$28, 0.0003, 0)</f>
        <v>15.661799999999999</v>
      </c>
      <c r="D99" s="4">
        <f>21.2474 * CHOOSE(CONTROL!$C$9, $C$13, 100%, $E$13) + CHOOSE(CONTROL!$C$28, 0, 0)</f>
        <v>21.247399999999999</v>
      </c>
      <c r="E99" s="4">
        <f>92.744490308609 * CHOOSE(CONTROL!$C$9, $C$13, 100%, $E$13) + CHOOSE(CONTROL!$C$28, 0, 0)</f>
        <v>92.744490308609002</v>
      </c>
    </row>
    <row r="100" spans="1:5" ht="15">
      <c r="A100" s="13">
        <v>44531</v>
      </c>
      <c r="B100" s="4">
        <f>15.7532 * CHOOSE(CONTROL!$C$9, $C$13, 100%, $E$13) + CHOOSE(CONTROL!$C$28, 0.0003, 0)</f>
        <v>15.753499999999999</v>
      </c>
      <c r="C100" s="4">
        <f>15.4407 * CHOOSE(CONTROL!$C$9, $C$13, 100%, $E$13) + CHOOSE(CONTROL!$C$28, 0.0003, 0)</f>
        <v>15.440999999999999</v>
      </c>
      <c r="D100" s="4">
        <f>20.5295 * CHOOSE(CONTROL!$C$9, $C$13, 100%, $E$13) + CHOOSE(CONTROL!$C$28, 0, 0)</f>
        <v>20.529499999999999</v>
      </c>
      <c r="E100" s="4">
        <f>91.2919884848937 * CHOOSE(CONTROL!$C$9, $C$13, 100%, $E$13) + CHOOSE(CONTROL!$C$28, 0, 0)</f>
        <v>91.291988484893693</v>
      </c>
    </row>
    <row r="101" spans="1:5" ht="15">
      <c r="A101" s="13">
        <v>44562</v>
      </c>
      <c r="B101" s="4">
        <f>15.6545 * CHOOSE(CONTROL!$C$9, $C$13, 100%, $E$13) + CHOOSE(CONTROL!$C$28, 0.0003, 0)</f>
        <v>15.6548</v>
      </c>
      <c r="C101" s="4">
        <f>15.342 * CHOOSE(CONTROL!$C$9, $C$13, 100%, $E$13) + CHOOSE(CONTROL!$C$28, 0.0003, 0)</f>
        <v>15.3423</v>
      </c>
      <c r="D101" s="4">
        <f>20.3441 * CHOOSE(CONTROL!$C$9, $C$13, 100%, $E$13) + CHOOSE(CONTROL!$C$28, 0, 0)</f>
        <v>20.344100000000001</v>
      </c>
      <c r="E101" s="4">
        <f>90.443293693278 * CHOOSE(CONTROL!$C$9, $C$13, 100%, $E$13) + CHOOSE(CONTROL!$C$28, 0, 0)</f>
        <v>90.443293693277994</v>
      </c>
    </row>
    <row r="102" spans="1:5" ht="15">
      <c r="A102" s="13">
        <v>44593</v>
      </c>
      <c r="B102" s="4">
        <f>15.9817 * CHOOSE(CONTROL!$C$9, $C$13, 100%, $E$13) + CHOOSE(CONTROL!$C$28, 0.0003, 0)</f>
        <v>15.981999999999999</v>
      </c>
      <c r="C102" s="4">
        <f>15.6692 * CHOOSE(CONTROL!$C$9, $C$13, 100%, $E$13) + CHOOSE(CONTROL!$C$28, 0.0003, 0)</f>
        <v>15.669499999999999</v>
      </c>
      <c r="D102" s="4">
        <f>21.0252 * CHOOSE(CONTROL!$C$9, $C$13, 100%, $E$13) + CHOOSE(CONTROL!$C$28, 0, 0)</f>
        <v>21.025200000000002</v>
      </c>
      <c r="E102" s="4">
        <f>92.5907739143863 * CHOOSE(CONTROL!$C$9, $C$13, 100%, $E$13) + CHOOSE(CONTROL!$C$28, 0, 0)</f>
        <v>92.590773914386304</v>
      </c>
    </row>
    <row r="103" spans="1:5" ht="15">
      <c r="A103" s="13">
        <v>44621</v>
      </c>
      <c r="B103" s="4">
        <f>16.8409 * CHOOSE(CONTROL!$C$9, $C$13, 100%, $E$13) + CHOOSE(CONTROL!$C$28, 0.0003, 0)</f>
        <v>16.841200000000001</v>
      </c>
      <c r="C103" s="4">
        <f>16.5284 * CHOOSE(CONTROL!$C$9, $C$13, 100%, $E$13) + CHOOSE(CONTROL!$C$28, 0.0003, 0)</f>
        <v>16.528700000000001</v>
      </c>
      <c r="D103" s="4">
        <f>22.0916 * CHOOSE(CONTROL!$C$9, $C$13, 100%, $E$13) + CHOOSE(CONTROL!$C$28, 0, 0)</f>
        <v>22.0916</v>
      </c>
      <c r="E103" s="4">
        <f>98.2301710990468 * CHOOSE(CONTROL!$C$9, $C$13, 100%, $E$13) + CHOOSE(CONTROL!$C$28, 0, 0)</f>
        <v>98.2301710990468</v>
      </c>
    </row>
    <row r="104" spans="1:5" ht="15">
      <c r="A104" s="13">
        <v>44652</v>
      </c>
      <c r="B104" s="4">
        <f>17.4514 * CHOOSE(CONTROL!$C$9, $C$13, 100%, $E$13) + CHOOSE(CONTROL!$C$28, 0.0003, 0)</f>
        <v>17.451699999999999</v>
      </c>
      <c r="C104" s="4">
        <f>17.1389 * CHOOSE(CONTROL!$C$9, $C$13, 100%, $E$13) + CHOOSE(CONTROL!$C$28, 0.0003, 0)</f>
        <v>17.139199999999999</v>
      </c>
      <c r="D104" s="4">
        <f>22.7058 * CHOOSE(CONTROL!$C$9, $C$13, 100%, $E$13) + CHOOSE(CONTROL!$C$28, 0, 0)</f>
        <v>22.7058</v>
      </c>
      <c r="E104" s="4">
        <f>102.237037953597 * CHOOSE(CONTROL!$C$9, $C$13, 100%, $E$13) + CHOOSE(CONTROL!$C$28, 0, 0)</f>
        <v>102.237037953597</v>
      </c>
    </row>
    <row r="105" spans="1:5" ht="15">
      <c r="A105" s="13">
        <v>44682</v>
      </c>
      <c r="B105" s="4">
        <f>17.8244 * CHOOSE(CONTROL!$C$9, $C$13, 100%, $E$13) + CHOOSE(CONTROL!$C$28, 0.0271, 0)</f>
        <v>17.851500000000001</v>
      </c>
      <c r="C105" s="4">
        <f>17.5119 * CHOOSE(CONTROL!$C$9, $C$13, 100%, $E$13) + CHOOSE(CONTROL!$C$28, 0.0271, 0)</f>
        <v>17.539000000000001</v>
      </c>
      <c r="D105" s="4">
        <f>22.4631 * CHOOSE(CONTROL!$C$9, $C$13, 100%, $E$13) + CHOOSE(CONTROL!$C$28, 0, 0)</f>
        <v>22.463100000000001</v>
      </c>
      <c r="E105" s="4">
        <f>104.685137570531 * CHOOSE(CONTROL!$C$9, $C$13, 100%, $E$13) + CHOOSE(CONTROL!$C$28, 0, 0)</f>
        <v>104.685137570531</v>
      </c>
    </row>
    <row r="106" spans="1:5" ht="15">
      <c r="A106" s="13">
        <v>44713</v>
      </c>
      <c r="B106" s="4">
        <f>17.8748 * CHOOSE(CONTROL!$C$9, $C$13, 100%, $E$13) + CHOOSE(CONTROL!$C$28, 0.0271, 0)</f>
        <v>17.901900000000001</v>
      </c>
      <c r="C106" s="4">
        <f>17.5623 * CHOOSE(CONTROL!$C$9, $C$13, 100%, $E$13) + CHOOSE(CONTROL!$C$28, 0.0271, 0)</f>
        <v>17.589400000000001</v>
      </c>
      <c r="D106" s="4">
        <f>22.6608 * CHOOSE(CONTROL!$C$9, $C$13, 100%, $E$13) + CHOOSE(CONTROL!$C$28, 0, 0)</f>
        <v>22.660799999999998</v>
      </c>
      <c r="E106" s="4">
        <f>105.016375608525 * CHOOSE(CONTROL!$C$9, $C$13, 100%, $E$13) + CHOOSE(CONTROL!$C$28, 0, 0)</f>
        <v>105.016375608525</v>
      </c>
    </row>
    <row r="107" spans="1:5" ht="15">
      <c r="A107" s="13">
        <v>44743</v>
      </c>
      <c r="B107" s="4">
        <f>17.8697 * CHOOSE(CONTROL!$C$9, $C$13, 100%, $E$13) + CHOOSE(CONTROL!$C$28, 0.0271, 0)</f>
        <v>17.896800000000002</v>
      </c>
      <c r="C107" s="4">
        <f>17.5572 * CHOOSE(CONTROL!$C$9, $C$13, 100%, $E$13) + CHOOSE(CONTROL!$C$28, 0.0271, 0)</f>
        <v>17.584300000000002</v>
      </c>
      <c r="D107" s="4">
        <f>23.0174 * CHOOSE(CONTROL!$C$9, $C$13, 100%, $E$13) + CHOOSE(CONTROL!$C$28, 0, 0)</f>
        <v>23.017399999999999</v>
      </c>
      <c r="E107" s="4">
        <f>104.982973453433 * CHOOSE(CONTROL!$C$9, $C$13, 100%, $E$13) + CHOOSE(CONTROL!$C$28, 0, 0)</f>
        <v>104.982973453433</v>
      </c>
    </row>
    <row r="108" spans="1:5" ht="15">
      <c r="A108" s="13">
        <v>44774</v>
      </c>
      <c r="B108" s="4">
        <f>18.2527 * CHOOSE(CONTROL!$C$9, $C$13, 100%, $E$13) + CHOOSE(CONTROL!$C$28, 0.0271, 0)</f>
        <v>18.279800000000002</v>
      </c>
      <c r="C108" s="4">
        <f>17.9402 * CHOOSE(CONTROL!$C$9, $C$13, 100%, $E$13) + CHOOSE(CONTROL!$C$28, 0.0271, 0)</f>
        <v>17.967300000000002</v>
      </c>
      <c r="D108" s="4">
        <f>22.7819 * CHOOSE(CONTROL!$C$9, $C$13, 100%, $E$13) + CHOOSE(CONTROL!$C$28, 0, 0)</f>
        <v>22.7819</v>
      </c>
      <c r="E108" s="4">
        <f>107.496485624089 * CHOOSE(CONTROL!$C$9, $C$13, 100%, $E$13) + CHOOSE(CONTROL!$C$28, 0, 0)</f>
        <v>107.496485624089</v>
      </c>
    </row>
    <row r="109" spans="1:5" ht="15">
      <c r="A109" s="13">
        <v>44805</v>
      </c>
      <c r="B109" s="4">
        <f>17.6 * CHOOSE(CONTROL!$C$9, $C$13, 100%, $E$13) + CHOOSE(CONTROL!$C$28, 0.0271, 0)</f>
        <v>17.627100000000002</v>
      </c>
      <c r="C109" s="4">
        <f>17.2875 * CHOOSE(CONTROL!$C$9, $C$13, 100%, $E$13) + CHOOSE(CONTROL!$C$28, 0.0271, 0)</f>
        <v>17.314600000000002</v>
      </c>
      <c r="D109" s="4">
        <f>22.6706 * CHOOSE(CONTROL!$C$9, $C$13, 100%, $E$13) + CHOOSE(CONTROL!$C$28, 0, 0)</f>
        <v>22.6706</v>
      </c>
      <c r="E109" s="4">
        <f>103.212659233569 * CHOOSE(CONTROL!$C$9, $C$13, 100%, $E$13) + CHOOSE(CONTROL!$C$28, 0, 0)</f>
        <v>103.212659233569</v>
      </c>
    </row>
    <row r="110" spans="1:5" ht="15">
      <c r="A110" s="13">
        <v>44835</v>
      </c>
      <c r="B110" s="4">
        <f>17.0776 * CHOOSE(CONTROL!$C$9, $C$13, 100%, $E$13) + CHOOSE(CONTROL!$C$28, 0.0003, 0)</f>
        <v>17.0779</v>
      </c>
      <c r="C110" s="4">
        <f>16.7651 * CHOOSE(CONTROL!$C$9, $C$13, 100%, $E$13) + CHOOSE(CONTROL!$C$28, 0.0003, 0)</f>
        <v>16.7654</v>
      </c>
      <c r="D110" s="4">
        <f>22.3726 * CHOOSE(CONTROL!$C$9, $C$13, 100%, $E$13) + CHOOSE(CONTROL!$C$28, 0, 0)</f>
        <v>22.372599999999998</v>
      </c>
      <c r="E110" s="4">
        <f>99.7833713108141 * CHOOSE(CONTROL!$C$9, $C$13, 100%, $E$13) + CHOOSE(CONTROL!$C$28, 0, 0)</f>
        <v>99.783371310814104</v>
      </c>
    </row>
    <row r="111" spans="1:5" ht="15">
      <c r="A111" s="13">
        <v>44866</v>
      </c>
      <c r="B111" s="4">
        <f>16.741 * CHOOSE(CONTROL!$C$9, $C$13, 100%, $E$13) + CHOOSE(CONTROL!$C$28, 0.0003, 0)</f>
        <v>16.741299999999999</v>
      </c>
      <c r="C111" s="4">
        <f>16.4285 * CHOOSE(CONTROL!$C$9, $C$13, 100%, $E$13) + CHOOSE(CONTROL!$C$28, 0.0003, 0)</f>
        <v>16.428799999999999</v>
      </c>
      <c r="D111" s="4">
        <f>22.2702 * CHOOSE(CONTROL!$C$9, $C$13, 100%, $E$13) + CHOOSE(CONTROL!$C$28, 0, 0)</f>
        <v>22.270199999999999</v>
      </c>
      <c r="E111" s="4">
        <f>97.5746538053708 * CHOOSE(CONTROL!$C$9, $C$13, 100%, $E$13) + CHOOSE(CONTROL!$C$28, 0, 0)</f>
        <v>97.574653805370801</v>
      </c>
    </row>
    <row r="112" spans="1:5" ht="15">
      <c r="A112" s="13">
        <v>44896</v>
      </c>
      <c r="B112" s="4">
        <f>16.5082 * CHOOSE(CONTROL!$C$9, $C$13, 100%, $E$13) + CHOOSE(CONTROL!$C$28, 0.0003, 0)</f>
        <v>16.508499999999998</v>
      </c>
      <c r="C112" s="4">
        <f>16.1957 * CHOOSE(CONTROL!$C$9, $C$13, 100%, $E$13) + CHOOSE(CONTROL!$C$28, 0.0003, 0)</f>
        <v>16.195999999999998</v>
      </c>
      <c r="D112" s="4">
        <f>21.5159 * CHOOSE(CONTROL!$C$9, $C$13, 100%, $E$13) + CHOOSE(CONTROL!$C$28, 0, 0)</f>
        <v>21.515899999999998</v>
      </c>
      <c r="E112" s="4">
        <f>96.0465052099224 * CHOOSE(CONTROL!$C$9, $C$13, 100%, $E$13) + CHOOSE(CONTROL!$C$28, 0, 0)</f>
        <v>96.046505209922401</v>
      </c>
    </row>
    <row r="113" spans="1:5" ht="15">
      <c r="A113" s="13">
        <v>44927</v>
      </c>
      <c r="B113" s="4">
        <f>16.4158 * CHOOSE(CONTROL!$C$9, $C$13, 100%, $E$13) + CHOOSE(CONTROL!$C$28, 0.0003, 0)</f>
        <v>16.4161</v>
      </c>
      <c r="C113" s="4">
        <f>16.1033 * CHOOSE(CONTROL!$C$9, $C$13, 100%, $E$13) + CHOOSE(CONTROL!$C$28, 0.0003, 0)</f>
        <v>16.1036</v>
      </c>
      <c r="D113" s="4">
        <f>21.3275 * CHOOSE(CONTROL!$C$9, $C$13, 100%, $E$13) + CHOOSE(CONTROL!$C$28, 0, 0)</f>
        <v>21.327500000000001</v>
      </c>
      <c r="E113" s="4">
        <f>94.8700117317725 * CHOOSE(CONTROL!$C$9, $C$13, 100%, $E$13) + CHOOSE(CONTROL!$C$28, 0, 0)</f>
        <v>94.870011731772493</v>
      </c>
    </row>
    <row r="114" spans="1:5" ht="15">
      <c r="A114" s="13">
        <v>44958</v>
      </c>
      <c r="B114" s="4">
        <f>16.7611 * CHOOSE(CONTROL!$C$9, $C$13, 100%, $E$13) + CHOOSE(CONTROL!$C$28, 0.0003, 0)</f>
        <v>16.761399999999998</v>
      </c>
      <c r="C114" s="4">
        <f>16.4486 * CHOOSE(CONTROL!$C$9, $C$13, 100%, $E$13) + CHOOSE(CONTROL!$C$28, 0.0003, 0)</f>
        <v>16.448899999999998</v>
      </c>
      <c r="D114" s="4">
        <f>22.0433 * CHOOSE(CONTROL!$C$9, $C$13, 100%, $E$13) + CHOOSE(CONTROL!$C$28, 0, 0)</f>
        <v>22.043299999999999</v>
      </c>
      <c r="E114" s="4">
        <f>97.1225996844096 * CHOOSE(CONTROL!$C$9, $C$13, 100%, $E$13) + CHOOSE(CONTROL!$C$28, 0, 0)</f>
        <v>97.122599684409593</v>
      </c>
    </row>
    <row r="115" spans="1:5" ht="15">
      <c r="A115" s="13">
        <v>44986</v>
      </c>
      <c r="B115" s="4">
        <f>17.6677 * CHOOSE(CONTROL!$C$9, $C$13, 100%, $E$13) + CHOOSE(CONTROL!$C$28, 0.0003, 0)</f>
        <v>17.667999999999999</v>
      </c>
      <c r="C115" s="4">
        <f>17.3552 * CHOOSE(CONTROL!$C$9, $C$13, 100%, $E$13) + CHOOSE(CONTROL!$C$28, 0.0003, 0)</f>
        <v>17.355499999999999</v>
      </c>
      <c r="D115" s="4">
        <f>23.164 * CHOOSE(CONTROL!$C$9, $C$13, 100%, $E$13) + CHOOSE(CONTROL!$C$28, 0, 0)</f>
        <v>23.164000000000001</v>
      </c>
      <c r="E115" s="4">
        <f>103.038015357829 * CHOOSE(CONTROL!$C$9, $C$13, 100%, $E$13) + CHOOSE(CONTROL!$C$28, 0, 0)</f>
        <v>103.038015357829</v>
      </c>
    </row>
    <row r="116" spans="1:5" ht="15">
      <c r="A116" s="13">
        <v>45017</v>
      </c>
      <c r="B116" s="4">
        <f>18.3119 * CHOOSE(CONTROL!$C$9, $C$13, 100%, $E$13) + CHOOSE(CONTROL!$C$28, 0.0003, 0)</f>
        <v>18.312200000000001</v>
      </c>
      <c r="C116" s="4">
        <f>17.9994 * CHOOSE(CONTROL!$C$9, $C$13, 100%, $E$13) + CHOOSE(CONTROL!$C$28, 0.0003, 0)</f>
        <v>17.999700000000001</v>
      </c>
      <c r="D116" s="4">
        <f>23.8095 * CHOOSE(CONTROL!$C$9, $C$13, 100%, $E$13) + CHOOSE(CONTROL!$C$28, 0, 0)</f>
        <v>23.8095</v>
      </c>
      <c r="E116" s="4">
        <f>107.240997027072 * CHOOSE(CONTROL!$C$9, $C$13, 100%, $E$13) + CHOOSE(CONTROL!$C$28, 0, 0)</f>
        <v>107.240997027072</v>
      </c>
    </row>
    <row r="117" spans="1:5" ht="15">
      <c r="A117" s="13">
        <v>45047</v>
      </c>
      <c r="B117" s="4">
        <f>18.7055 * CHOOSE(CONTROL!$C$9, $C$13, 100%, $E$13) + CHOOSE(CONTROL!$C$28, 0.0271, 0)</f>
        <v>18.732600000000001</v>
      </c>
      <c r="C117" s="4">
        <f>18.393 * CHOOSE(CONTROL!$C$9, $C$13, 100%, $E$13) + CHOOSE(CONTROL!$C$28, 0.0271, 0)</f>
        <v>18.420100000000001</v>
      </c>
      <c r="D117" s="4">
        <f>23.5545 * CHOOSE(CONTROL!$C$9, $C$13, 100%, $E$13) + CHOOSE(CONTROL!$C$28, 0, 0)</f>
        <v>23.554500000000001</v>
      </c>
      <c r="E117" s="4">
        <f>109.808918095568 * CHOOSE(CONTROL!$C$9, $C$13, 100%, $E$13) + CHOOSE(CONTROL!$C$28, 0, 0)</f>
        <v>109.808918095568</v>
      </c>
    </row>
    <row r="118" spans="1:5" ht="15">
      <c r="A118" s="13">
        <v>45078</v>
      </c>
      <c r="B118" s="4">
        <f>18.7588 * CHOOSE(CONTROL!$C$9, $C$13, 100%, $E$13) + CHOOSE(CONTROL!$C$28, 0.0271, 0)</f>
        <v>18.785900000000002</v>
      </c>
      <c r="C118" s="4">
        <f>18.4463 * CHOOSE(CONTROL!$C$9, $C$13, 100%, $E$13) + CHOOSE(CONTROL!$C$28, 0.0271, 0)</f>
        <v>18.473400000000002</v>
      </c>
      <c r="D118" s="4">
        <f>23.7622 * CHOOSE(CONTROL!$C$9, $C$13, 100%, $E$13) + CHOOSE(CONTROL!$C$28, 0, 0)</f>
        <v>23.7622</v>
      </c>
      <c r="E118" s="4">
        <f>110.156368473226 * CHOOSE(CONTROL!$C$9, $C$13, 100%, $E$13) + CHOOSE(CONTROL!$C$28, 0, 0)</f>
        <v>110.156368473226</v>
      </c>
    </row>
    <row r="119" spans="1:5" ht="15">
      <c r="A119" s="13">
        <v>45108</v>
      </c>
      <c r="B119" s="4">
        <f>18.7534 * CHOOSE(CONTROL!$C$9, $C$13, 100%, $E$13) + CHOOSE(CONTROL!$C$28, 0.0271, 0)</f>
        <v>18.7805</v>
      </c>
      <c r="C119" s="4">
        <f>18.4409 * CHOOSE(CONTROL!$C$9, $C$13, 100%, $E$13) + CHOOSE(CONTROL!$C$28, 0.0271, 0)</f>
        <v>18.468</v>
      </c>
      <c r="D119" s="4">
        <f>24.1371 * CHOOSE(CONTROL!$C$9, $C$13, 100%, $E$13) + CHOOSE(CONTROL!$C$28, 0, 0)</f>
        <v>24.1371</v>
      </c>
      <c r="E119" s="4">
        <f>110.121331460353 * CHOOSE(CONTROL!$C$9, $C$13, 100%, $E$13) + CHOOSE(CONTROL!$C$28, 0, 0)</f>
        <v>110.12133146035301</v>
      </c>
    </row>
    <row r="120" spans="1:5" ht="15">
      <c r="A120" s="13">
        <v>45139</v>
      </c>
      <c r="B120" s="4">
        <f>19.1575 * CHOOSE(CONTROL!$C$9, $C$13, 100%, $E$13) + CHOOSE(CONTROL!$C$28, 0.0271, 0)</f>
        <v>19.1846</v>
      </c>
      <c r="C120" s="4">
        <f>18.845 * CHOOSE(CONTROL!$C$9, $C$13, 100%, $E$13) + CHOOSE(CONTROL!$C$28, 0.0271, 0)</f>
        <v>18.8721</v>
      </c>
      <c r="D120" s="4">
        <f>23.8895 * CHOOSE(CONTROL!$C$9, $C$13, 100%, $E$13) + CHOOSE(CONTROL!$C$28, 0, 0)</f>
        <v>23.889500000000002</v>
      </c>
      <c r="E120" s="4">
        <f>112.757866679059 * CHOOSE(CONTROL!$C$9, $C$13, 100%, $E$13) + CHOOSE(CONTROL!$C$28, 0, 0)</f>
        <v>112.75786667905901</v>
      </c>
    </row>
    <row r="121" spans="1:5" ht="15">
      <c r="A121" s="13">
        <v>45170</v>
      </c>
      <c r="B121" s="4">
        <f>18.4688 * CHOOSE(CONTROL!$C$9, $C$13, 100%, $E$13) + CHOOSE(CONTROL!$C$28, 0.0271, 0)</f>
        <v>18.495900000000002</v>
      </c>
      <c r="C121" s="4">
        <f>18.1563 * CHOOSE(CONTROL!$C$9, $C$13, 100%, $E$13) + CHOOSE(CONTROL!$C$28, 0.0271, 0)</f>
        <v>18.183400000000002</v>
      </c>
      <c r="D121" s="4">
        <f>23.7725 * CHOOSE(CONTROL!$C$9, $C$13, 100%, $E$13) + CHOOSE(CONTROL!$C$28, 0, 0)</f>
        <v>23.772500000000001</v>
      </c>
      <c r="E121" s="4">
        <f>108.264369778076 * CHOOSE(CONTROL!$C$9, $C$13, 100%, $E$13) + CHOOSE(CONTROL!$C$28, 0, 0)</f>
        <v>108.264369778076</v>
      </c>
    </row>
    <row r="122" spans="1:5" ht="15">
      <c r="A122" s="13">
        <v>45200</v>
      </c>
      <c r="B122" s="4">
        <f>17.9174 * CHOOSE(CONTROL!$C$9, $C$13, 100%, $E$13) + CHOOSE(CONTROL!$C$28, 0.0003, 0)</f>
        <v>17.9177</v>
      </c>
      <c r="C122" s="4">
        <f>17.6049 * CHOOSE(CONTROL!$C$9, $C$13, 100%, $E$13) + CHOOSE(CONTROL!$C$28, 0.0003, 0)</f>
        <v>17.6052</v>
      </c>
      <c r="D122" s="4">
        <f>23.4594 * CHOOSE(CONTROL!$C$9, $C$13, 100%, $E$13) + CHOOSE(CONTROL!$C$28, 0, 0)</f>
        <v>23.459399999999999</v>
      </c>
      <c r="E122" s="4">
        <f>104.667236456431 * CHOOSE(CONTROL!$C$9, $C$13, 100%, $E$13) + CHOOSE(CONTROL!$C$28, 0, 0)</f>
        <v>104.667236456431</v>
      </c>
    </row>
    <row r="123" spans="1:5" ht="15">
      <c r="A123" s="13">
        <v>45231</v>
      </c>
      <c r="B123" s="4">
        <f>17.5623 * CHOOSE(CONTROL!$C$9, $C$13, 100%, $E$13) + CHOOSE(CONTROL!$C$28, 0.0003, 0)</f>
        <v>17.5626</v>
      </c>
      <c r="C123" s="4">
        <f>17.2498 * CHOOSE(CONTROL!$C$9, $C$13, 100%, $E$13) + CHOOSE(CONTROL!$C$28, 0.0003, 0)</f>
        <v>17.2501</v>
      </c>
      <c r="D123" s="4">
        <f>23.3517 * CHOOSE(CONTROL!$C$9, $C$13, 100%, $E$13) + CHOOSE(CONTROL!$C$28, 0, 0)</f>
        <v>23.351700000000001</v>
      </c>
      <c r="E123" s="4">
        <f>102.350413980193 * CHOOSE(CONTROL!$C$9, $C$13, 100%, $E$13) + CHOOSE(CONTROL!$C$28, 0, 0)</f>
        <v>102.350413980193</v>
      </c>
    </row>
    <row r="124" spans="1:5" ht="15">
      <c r="A124" s="13">
        <v>45261</v>
      </c>
      <c r="B124" s="4">
        <f>17.3167 * CHOOSE(CONTROL!$C$9, $C$13, 100%, $E$13) + CHOOSE(CONTROL!$C$28, 0.0003, 0)</f>
        <v>17.317</v>
      </c>
      <c r="C124" s="4">
        <f>17.0042 * CHOOSE(CONTROL!$C$9, $C$13, 100%, $E$13) + CHOOSE(CONTROL!$C$28, 0.0003, 0)</f>
        <v>17.0045</v>
      </c>
      <c r="D124" s="4">
        <f>22.559 * CHOOSE(CONTROL!$C$9, $C$13, 100%, $E$13) + CHOOSE(CONTROL!$C$28, 0, 0)</f>
        <v>22.559000000000001</v>
      </c>
      <c r="E124" s="4">
        <f>100.747470641246 * CHOOSE(CONTROL!$C$9, $C$13, 100%, $E$13) + CHOOSE(CONTROL!$C$28, 0, 0)</f>
        <v>100.747470641246</v>
      </c>
    </row>
    <row r="125" spans="1:5" ht="15">
      <c r="A125" s="13">
        <v>45292</v>
      </c>
      <c r="B125" s="4">
        <f>17.1389 * CHOOSE(CONTROL!$C$9, $C$13, 100%, $E$13) + CHOOSE(CONTROL!$C$28, 0.0003, 0)</f>
        <v>17.139199999999999</v>
      </c>
      <c r="C125" s="4">
        <f>16.8264 * CHOOSE(CONTROL!$C$9, $C$13, 100%, $E$13) + CHOOSE(CONTROL!$C$28, 0.0003, 0)</f>
        <v>16.826699999999999</v>
      </c>
      <c r="D125" s="4">
        <f>22.6239 * CHOOSE(CONTROL!$C$9, $C$13, 100%, $E$13) + CHOOSE(CONTROL!$C$28, 0, 0)</f>
        <v>22.623899999999999</v>
      </c>
      <c r="E125" s="4">
        <f>99.2890300162899 * CHOOSE(CONTROL!$C$9, $C$13, 100%, $E$13) + CHOOSE(CONTROL!$C$28, 0, 0)</f>
        <v>99.2890300162899</v>
      </c>
    </row>
    <row r="126" spans="1:5" ht="15">
      <c r="A126" s="13">
        <v>45323</v>
      </c>
      <c r="B126" s="4">
        <f>17.5013 * CHOOSE(CONTROL!$C$9, $C$13, 100%, $E$13) + CHOOSE(CONTROL!$C$28, 0.0003, 0)</f>
        <v>17.5016</v>
      </c>
      <c r="C126" s="4">
        <f>17.1888 * CHOOSE(CONTROL!$C$9, $C$13, 100%, $E$13) + CHOOSE(CONTROL!$C$28, 0.0003, 0)</f>
        <v>17.1891</v>
      </c>
      <c r="D126" s="4">
        <f>23.3856 * CHOOSE(CONTROL!$C$9, $C$13, 100%, $E$13) + CHOOSE(CONTROL!$C$28, 0, 0)</f>
        <v>23.3856</v>
      </c>
      <c r="E126" s="4">
        <f>101.646542877952 * CHOOSE(CONTROL!$C$9, $C$13, 100%, $E$13) + CHOOSE(CONTROL!$C$28, 0, 0)</f>
        <v>101.646542877952</v>
      </c>
    </row>
    <row r="127" spans="1:5" ht="15">
      <c r="A127" s="13">
        <v>45352</v>
      </c>
      <c r="B127" s="4">
        <f>18.453 * CHOOSE(CONTROL!$C$9, $C$13, 100%, $E$13) + CHOOSE(CONTROL!$C$28, 0.0003, 0)</f>
        <v>18.453299999999999</v>
      </c>
      <c r="C127" s="4">
        <f>18.1405 * CHOOSE(CONTROL!$C$9, $C$13, 100%, $E$13) + CHOOSE(CONTROL!$C$28, 0.0003, 0)</f>
        <v>18.140799999999999</v>
      </c>
      <c r="D127" s="4">
        <f>24.5778 * CHOOSE(CONTROL!$C$9, $C$13, 100%, $E$13) + CHOOSE(CONTROL!$C$28, 0, 0)</f>
        <v>24.5778</v>
      </c>
      <c r="E127" s="4">
        <f>107.83749693852 * CHOOSE(CONTROL!$C$9, $C$13, 100%, $E$13) + CHOOSE(CONTROL!$C$28, 0, 0)</f>
        <v>107.83749693852</v>
      </c>
    </row>
    <row r="128" spans="1:5" ht="15">
      <c r="A128" s="13">
        <v>45383</v>
      </c>
      <c r="B128" s="4">
        <f>19.1293 * CHOOSE(CONTROL!$C$9, $C$13, 100%, $E$13) + CHOOSE(CONTROL!$C$28, 0.0003, 0)</f>
        <v>19.1296</v>
      </c>
      <c r="C128" s="4">
        <f>18.8168 * CHOOSE(CONTROL!$C$9, $C$13, 100%, $E$13) + CHOOSE(CONTROL!$C$28, 0.0003, 0)</f>
        <v>18.8171</v>
      </c>
      <c r="D128" s="4">
        <f>25.2646 * CHOOSE(CONTROL!$C$9, $C$13, 100%, $E$13) + CHOOSE(CONTROL!$C$28, 0, 0)</f>
        <v>25.264600000000002</v>
      </c>
      <c r="E128" s="4">
        <f>112.236252303865 * CHOOSE(CONTROL!$C$9, $C$13, 100%, $E$13) + CHOOSE(CONTROL!$C$28, 0, 0)</f>
        <v>112.236252303865</v>
      </c>
    </row>
    <row r="129" spans="1:5" ht="15">
      <c r="A129" s="13">
        <v>45413</v>
      </c>
      <c r="B129" s="4">
        <f>19.5424 * CHOOSE(CONTROL!$C$9, $C$13, 100%, $E$13) + CHOOSE(CONTROL!$C$28, 0.0271, 0)</f>
        <v>19.569500000000001</v>
      </c>
      <c r="C129" s="4">
        <f>19.2299 * CHOOSE(CONTROL!$C$9, $C$13, 100%, $E$13) + CHOOSE(CONTROL!$C$28, 0.0271, 0)</f>
        <v>19.257000000000001</v>
      </c>
      <c r="D129" s="4">
        <f>24.9932 * CHOOSE(CONTROL!$C$9, $C$13, 100%, $E$13) + CHOOSE(CONTROL!$C$28, 0, 0)</f>
        <v>24.993200000000002</v>
      </c>
      <c r="E129" s="4">
        <f>114.923786408637 * CHOOSE(CONTROL!$C$9, $C$13, 100%, $E$13) + CHOOSE(CONTROL!$C$28, 0, 0)</f>
        <v>114.923786408637</v>
      </c>
    </row>
    <row r="130" spans="1:5" ht="15">
      <c r="A130" s="13">
        <v>45444</v>
      </c>
      <c r="B130" s="4">
        <f>19.5983 * CHOOSE(CONTROL!$C$9, $C$13, 100%, $E$13) + CHOOSE(CONTROL!$C$28, 0.0271, 0)</f>
        <v>19.625399999999999</v>
      </c>
      <c r="C130" s="4">
        <f>19.2858 * CHOOSE(CONTROL!$C$9, $C$13, 100%, $E$13) + CHOOSE(CONTROL!$C$28, 0.0271, 0)</f>
        <v>19.312899999999999</v>
      </c>
      <c r="D130" s="4">
        <f>25.2143 * CHOOSE(CONTROL!$C$9, $C$13, 100%, $E$13) + CHOOSE(CONTROL!$C$28, 0, 0)</f>
        <v>25.214300000000001</v>
      </c>
      <c r="E130" s="4">
        <f>115.287420926509 * CHOOSE(CONTROL!$C$9, $C$13, 100%, $E$13) + CHOOSE(CONTROL!$C$28, 0, 0)</f>
        <v>115.287420926509</v>
      </c>
    </row>
    <row r="131" spans="1:5" ht="15">
      <c r="A131" s="13">
        <v>45474</v>
      </c>
      <c r="B131" s="4">
        <f>19.5927 * CHOOSE(CONTROL!$C$9, $C$13, 100%, $E$13) + CHOOSE(CONTROL!$C$28, 0.0271, 0)</f>
        <v>19.619800000000001</v>
      </c>
      <c r="C131" s="4">
        <f>19.2802 * CHOOSE(CONTROL!$C$9, $C$13, 100%, $E$13) + CHOOSE(CONTROL!$C$28, 0.0271, 0)</f>
        <v>19.307300000000001</v>
      </c>
      <c r="D131" s="4">
        <f>25.6131 * CHOOSE(CONTROL!$C$9, $C$13, 100%, $E$13) + CHOOSE(CONTROL!$C$28, 0, 0)</f>
        <v>25.613099999999999</v>
      </c>
      <c r="E131" s="4">
        <f>115.250751899497 * CHOOSE(CONTROL!$C$9, $C$13, 100%, $E$13) + CHOOSE(CONTROL!$C$28, 0, 0)</f>
        <v>115.250751899497</v>
      </c>
    </row>
    <row r="132" spans="1:5" ht="15">
      <c r="A132" s="13">
        <v>45505</v>
      </c>
      <c r="B132" s="4">
        <f>20.0169 * CHOOSE(CONTROL!$C$9, $C$13, 100%, $E$13) + CHOOSE(CONTROL!$C$28, 0.0271, 0)</f>
        <v>20.044</v>
      </c>
      <c r="C132" s="4">
        <f>19.7044 * CHOOSE(CONTROL!$C$9, $C$13, 100%, $E$13) + CHOOSE(CONTROL!$C$28, 0.0271, 0)</f>
        <v>19.7315</v>
      </c>
      <c r="D132" s="4">
        <f>25.3497 * CHOOSE(CONTROL!$C$9, $C$13, 100%, $E$13) + CHOOSE(CONTROL!$C$28, 0, 0)</f>
        <v>25.349699999999999</v>
      </c>
      <c r="E132" s="4">
        <f>118.010096182168 * CHOOSE(CONTROL!$C$9, $C$13, 100%, $E$13) + CHOOSE(CONTROL!$C$28, 0, 0)</f>
        <v>118.010096182168</v>
      </c>
    </row>
    <row r="133" spans="1:5" ht="15">
      <c r="A133" s="13">
        <v>45536</v>
      </c>
      <c r="B133" s="4">
        <f>19.2939 * CHOOSE(CONTROL!$C$9, $C$13, 100%, $E$13) + CHOOSE(CONTROL!$C$28, 0.0271, 0)</f>
        <v>19.321000000000002</v>
      </c>
      <c r="C133" s="4">
        <f>18.9814 * CHOOSE(CONTROL!$C$9, $C$13, 100%, $E$13) + CHOOSE(CONTROL!$C$28, 0.0271, 0)</f>
        <v>19.008500000000002</v>
      </c>
      <c r="D133" s="4">
        <f>25.2253 * CHOOSE(CONTROL!$C$9, $C$13, 100%, $E$13) + CHOOSE(CONTROL!$C$28, 0, 0)</f>
        <v>25.225300000000001</v>
      </c>
      <c r="E133" s="4">
        <f>113.307293467847 * CHOOSE(CONTROL!$C$9, $C$13, 100%, $E$13) + CHOOSE(CONTROL!$C$28, 0, 0)</f>
        <v>113.307293467847</v>
      </c>
    </row>
    <row r="134" spans="1:5" ht="15">
      <c r="A134" s="13">
        <v>45566</v>
      </c>
      <c r="B134" s="4">
        <f>18.7152 * CHOOSE(CONTROL!$C$9, $C$13, 100%, $E$13) + CHOOSE(CONTROL!$C$28, 0.0003, 0)</f>
        <v>18.715499999999999</v>
      </c>
      <c r="C134" s="4">
        <f>18.4027 * CHOOSE(CONTROL!$C$9, $C$13, 100%, $E$13) + CHOOSE(CONTROL!$C$28, 0.0003, 0)</f>
        <v>18.402999999999999</v>
      </c>
      <c r="D134" s="4">
        <f>24.8921 * CHOOSE(CONTROL!$C$9, $C$13, 100%, $E$13) + CHOOSE(CONTROL!$C$28, 0, 0)</f>
        <v>24.892099999999999</v>
      </c>
      <c r="E134" s="4">
        <f>109.54260669459 * CHOOSE(CONTROL!$C$9, $C$13, 100%, $E$13) + CHOOSE(CONTROL!$C$28, 0, 0)</f>
        <v>109.54260669459001</v>
      </c>
    </row>
    <row r="135" spans="1:5" ht="15">
      <c r="A135" s="13">
        <v>45597</v>
      </c>
      <c r="B135" s="4">
        <f>18.3424 * CHOOSE(CONTROL!$C$9, $C$13, 100%, $E$13) + CHOOSE(CONTROL!$C$28, 0.0003, 0)</f>
        <v>18.342700000000001</v>
      </c>
      <c r="C135" s="4">
        <f>18.0299 * CHOOSE(CONTROL!$C$9, $C$13, 100%, $E$13) + CHOOSE(CONTROL!$C$28, 0.0003, 0)</f>
        <v>18.030200000000001</v>
      </c>
      <c r="D135" s="4">
        <f>24.7775 * CHOOSE(CONTROL!$C$9, $C$13, 100%, $E$13) + CHOOSE(CONTROL!$C$28, 0, 0)</f>
        <v>24.7775</v>
      </c>
      <c r="E135" s="4">
        <f>107.117867283405 * CHOOSE(CONTROL!$C$9, $C$13, 100%, $E$13) + CHOOSE(CONTROL!$C$28, 0, 0)</f>
        <v>107.117867283405</v>
      </c>
    </row>
    <row r="136" spans="1:5" ht="15">
      <c r="A136" s="13">
        <v>45627</v>
      </c>
      <c r="B136" s="4">
        <f>18.0845 * CHOOSE(CONTROL!$C$9, $C$13, 100%, $E$13) + CHOOSE(CONTROL!$C$28, 0.0003, 0)</f>
        <v>18.084799999999998</v>
      </c>
      <c r="C136" s="4">
        <f>17.772 * CHOOSE(CONTROL!$C$9, $C$13, 100%, $E$13) + CHOOSE(CONTROL!$C$28, 0.0003, 0)</f>
        <v>17.772299999999998</v>
      </c>
      <c r="D136" s="4">
        <f>23.9342 * CHOOSE(CONTROL!$C$9, $C$13, 100%, $E$13) + CHOOSE(CONTROL!$C$28, 0, 0)</f>
        <v>23.934200000000001</v>
      </c>
      <c r="E136" s="4">
        <f>105.440259297595 * CHOOSE(CONTROL!$C$9, $C$13, 100%, $E$13) + CHOOSE(CONTROL!$C$28, 0, 0)</f>
        <v>105.44025929759501</v>
      </c>
    </row>
    <row r="137" spans="1:5" ht="15">
      <c r="A137" s="13">
        <v>45658</v>
      </c>
      <c r="B137" s="4">
        <f>18.1931 * CHOOSE(CONTROL!$C$9, $C$13, 100%, $E$13) + CHOOSE(CONTROL!$C$28, 0.0003, 0)</f>
        <v>18.1934</v>
      </c>
      <c r="C137" s="4">
        <f>17.8806 * CHOOSE(CONTROL!$C$9, $C$13, 100%, $E$13) + CHOOSE(CONTROL!$C$28, 0.0003, 0)</f>
        <v>17.8809</v>
      </c>
      <c r="D137" s="4">
        <f>23.816 * CHOOSE(CONTROL!$C$9, $C$13, 100%, $E$13) + CHOOSE(CONTROL!$C$28, 0, 0)</f>
        <v>23.815999999999999</v>
      </c>
      <c r="E137" s="4">
        <f>104.257905776456 * CHOOSE(CONTROL!$C$9, $C$13, 100%, $E$13) + CHOOSE(CONTROL!$C$28, 0, 0)</f>
        <v>104.257905776456</v>
      </c>
    </row>
    <row r="138" spans="1:5" ht="15">
      <c r="A138" s="13">
        <v>45689</v>
      </c>
      <c r="B138" s="4">
        <f>18.5805 * CHOOSE(CONTROL!$C$9, $C$13, 100%, $E$13) + CHOOSE(CONTROL!$C$28, 0.0003, 0)</f>
        <v>18.5808</v>
      </c>
      <c r="C138" s="4">
        <f>18.268 * CHOOSE(CONTROL!$C$9, $C$13, 100%, $E$13) + CHOOSE(CONTROL!$C$28, 0.0003, 0)</f>
        <v>18.2683</v>
      </c>
      <c r="D138" s="4">
        <f>24.6197 * CHOOSE(CONTROL!$C$9, $C$13, 100%, $E$13) + CHOOSE(CONTROL!$C$28, 0, 0)</f>
        <v>24.619700000000002</v>
      </c>
      <c r="E138" s="4">
        <f>106.733399330554 * CHOOSE(CONTROL!$C$9, $C$13, 100%, $E$13) + CHOOSE(CONTROL!$C$28, 0, 0)</f>
        <v>106.73339933055399</v>
      </c>
    </row>
    <row r="139" spans="1:5" ht="15">
      <c r="A139" s="13">
        <v>45717</v>
      </c>
      <c r="B139" s="4">
        <f>19.598 * CHOOSE(CONTROL!$C$9, $C$13, 100%, $E$13) + CHOOSE(CONTROL!$C$28, 0.0003, 0)</f>
        <v>19.598299999999998</v>
      </c>
      <c r="C139" s="4">
        <f>19.2855 * CHOOSE(CONTROL!$C$9, $C$13, 100%, $E$13) + CHOOSE(CONTROL!$C$28, 0.0003, 0)</f>
        <v>19.285799999999998</v>
      </c>
      <c r="D139" s="4">
        <f>25.8778 * CHOOSE(CONTROL!$C$9, $C$13, 100%, $E$13) + CHOOSE(CONTROL!$C$28, 0, 0)</f>
        <v>25.877800000000001</v>
      </c>
      <c r="E139" s="4">
        <f>113.234176959333 * CHOOSE(CONTROL!$C$9, $C$13, 100%, $E$13) + CHOOSE(CONTROL!$C$28, 0, 0)</f>
        <v>113.234176959333</v>
      </c>
    </row>
    <row r="140" spans="1:5" ht="15">
      <c r="A140" s="13">
        <v>45748</v>
      </c>
      <c r="B140" s="4">
        <f>20.3209 * CHOOSE(CONTROL!$C$9, $C$13, 100%, $E$13) + CHOOSE(CONTROL!$C$28, 0.0003, 0)</f>
        <v>20.321200000000001</v>
      </c>
      <c r="C140" s="4">
        <f>20.0084 * CHOOSE(CONTROL!$C$9, $C$13, 100%, $E$13) + CHOOSE(CONTROL!$C$28, 0.0003, 0)</f>
        <v>20.008700000000001</v>
      </c>
      <c r="D140" s="4">
        <f>26.6026 * CHOOSE(CONTROL!$C$9, $C$13, 100%, $E$13) + CHOOSE(CONTROL!$C$28, 0, 0)</f>
        <v>26.602599999999999</v>
      </c>
      <c r="E140" s="4">
        <f>117.853066098833 * CHOOSE(CONTROL!$C$9, $C$13, 100%, $E$13) + CHOOSE(CONTROL!$C$28, 0, 0)</f>
        <v>117.853066098833</v>
      </c>
    </row>
    <row r="141" spans="1:5" ht="15">
      <c r="A141" s="13">
        <v>45778</v>
      </c>
      <c r="B141" s="4">
        <f>20.7626 * CHOOSE(CONTROL!$C$9, $C$13, 100%, $E$13) + CHOOSE(CONTROL!$C$28, 0.0271, 0)</f>
        <v>20.7897</v>
      </c>
      <c r="C141" s="4">
        <f>20.4501 * CHOOSE(CONTROL!$C$9, $C$13, 100%, $E$13) + CHOOSE(CONTROL!$C$28, 0.0271, 0)</f>
        <v>20.4772</v>
      </c>
      <c r="D141" s="4">
        <f>26.3162 * CHOOSE(CONTROL!$C$9, $C$13, 100%, $E$13) + CHOOSE(CONTROL!$C$28, 0, 0)</f>
        <v>26.316199999999998</v>
      </c>
      <c r="E141" s="4">
        <f>120.675096663745 * CHOOSE(CONTROL!$C$9, $C$13, 100%, $E$13) + CHOOSE(CONTROL!$C$28, 0, 0)</f>
        <v>120.67509666374499</v>
      </c>
    </row>
    <row r="142" spans="1:5" ht="15">
      <c r="A142" s="13">
        <v>45809</v>
      </c>
      <c r="B142" s="4">
        <f>20.8224 * CHOOSE(CONTROL!$C$9, $C$13, 100%, $E$13) + CHOOSE(CONTROL!$C$28, 0.0271, 0)</f>
        <v>20.849499999999999</v>
      </c>
      <c r="C142" s="4">
        <f>20.5099 * CHOOSE(CONTROL!$C$9, $C$13, 100%, $E$13) + CHOOSE(CONTROL!$C$28, 0.0271, 0)</f>
        <v>20.536999999999999</v>
      </c>
      <c r="D142" s="4">
        <f>26.5494 * CHOOSE(CONTROL!$C$9, $C$13, 100%, $E$13) + CHOOSE(CONTROL!$C$28, 0, 0)</f>
        <v>26.549399999999999</v>
      </c>
      <c r="E142" s="4">
        <f>121.056929110845 * CHOOSE(CONTROL!$C$9, $C$13, 100%, $E$13) + CHOOSE(CONTROL!$C$28, 0, 0)</f>
        <v>121.056929110845</v>
      </c>
    </row>
    <row r="143" spans="1:5" ht="15">
      <c r="A143" s="13">
        <v>45839</v>
      </c>
      <c r="B143" s="4">
        <f>20.8164 * CHOOSE(CONTROL!$C$9, $C$13, 100%, $E$13) + CHOOSE(CONTROL!$C$28, 0.0271, 0)</f>
        <v>20.843500000000002</v>
      </c>
      <c r="C143" s="4">
        <f>20.5039 * CHOOSE(CONTROL!$C$9, $C$13, 100%, $E$13) + CHOOSE(CONTROL!$C$28, 0.0271, 0)</f>
        <v>20.531000000000002</v>
      </c>
      <c r="D143" s="4">
        <f>26.9703 * CHOOSE(CONTROL!$C$9, $C$13, 100%, $E$13) + CHOOSE(CONTROL!$C$28, 0, 0)</f>
        <v>26.970300000000002</v>
      </c>
      <c r="E143" s="4">
        <f>121.018424998532 * CHOOSE(CONTROL!$C$9, $C$13, 100%, $E$13) + CHOOSE(CONTROL!$C$28, 0, 0)</f>
        <v>121.018424998532</v>
      </c>
    </row>
    <row r="144" spans="1:5" ht="15">
      <c r="A144" s="13">
        <v>45870</v>
      </c>
      <c r="B144" s="4">
        <f>21.2699 * CHOOSE(CONTROL!$C$9, $C$13, 100%, $E$13) + CHOOSE(CONTROL!$C$28, 0.0271, 0)</f>
        <v>21.297000000000001</v>
      </c>
      <c r="C144" s="4">
        <f>20.9574 * CHOOSE(CONTROL!$C$9, $C$13, 100%, $E$13) + CHOOSE(CONTROL!$C$28, 0.0271, 0)</f>
        <v>20.984500000000001</v>
      </c>
      <c r="D144" s="4">
        <f>26.6923 * CHOOSE(CONTROL!$C$9, $C$13, 100%, $E$13) + CHOOSE(CONTROL!$C$28, 0, 0)</f>
        <v>26.692299999999999</v>
      </c>
      <c r="E144" s="4">
        <f>123.915859450056 * CHOOSE(CONTROL!$C$9, $C$13, 100%, $E$13) + CHOOSE(CONTROL!$C$28, 0, 0)</f>
        <v>123.915859450056</v>
      </c>
    </row>
    <row r="145" spans="1:5" ht="15">
      <c r="A145" s="13">
        <v>45901</v>
      </c>
      <c r="B145" s="4">
        <f>20.497 * CHOOSE(CONTROL!$C$9, $C$13, 100%, $E$13) + CHOOSE(CONTROL!$C$28, 0.0271, 0)</f>
        <v>20.524100000000001</v>
      </c>
      <c r="C145" s="4">
        <f>20.1845 * CHOOSE(CONTROL!$C$9, $C$13, 100%, $E$13) + CHOOSE(CONTROL!$C$28, 0.0271, 0)</f>
        <v>20.211600000000001</v>
      </c>
      <c r="D145" s="4">
        <f>26.561 * CHOOSE(CONTROL!$C$9, $C$13, 100%, $E$13) + CHOOSE(CONTROL!$C$28, 0, 0)</f>
        <v>26.561</v>
      </c>
      <c r="E145" s="4">
        <f>118.977707045964 * CHOOSE(CONTROL!$C$9, $C$13, 100%, $E$13) + CHOOSE(CONTROL!$C$28, 0, 0)</f>
        <v>118.977707045964</v>
      </c>
    </row>
    <row r="146" spans="1:5" ht="15">
      <c r="A146" s="13">
        <v>45931</v>
      </c>
      <c r="B146" s="4">
        <f>19.8782 * CHOOSE(CONTROL!$C$9, $C$13, 100%, $E$13) + CHOOSE(CONTROL!$C$28, 0.0003, 0)</f>
        <v>19.878499999999999</v>
      </c>
      <c r="C146" s="4">
        <f>19.5657 * CHOOSE(CONTROL!$C$9, $C$13, 100%, $E$13) + CHOOSE(CONTROL!$C$28, 0.0003, 0)</f>
        <v>19.565999999999999</v>
      </c>
      <c r="D146" s="4">
        <f>26.2094 * CHOOSE(CONTROL!$C$9, $C$13, 100%, $E$13) + CHOOSE(CONTROL!$C$28, 0, 0)</f>
        <v>26.209399999999999</v>
      </c>
      <c r="E146" s="4">
        <f>115.024618181869 * CHOOSE(CONTROL!$C$9, $C$13, 100%, $E$13) + CHOOSE(CONTROL!$C$28, 0, 0)</f>
        <v>115.024618181869</v>
      </c>
    </row>
    <row r="147" spans="1:5" ht="15">
      <c r="A147" s="13">
        <v>45962</v>
      </c>
      <c r="B147" s="4">
        <f>19.4797 * CHOOSE(CONTROL!$C$9, $C$13, 100%, $E$13) + CHOOSE(CONTROL!$C$28, 0.0003, 0)</f>
        <v>19.48</v>
      </c>
      <c r="C147" s="4">
        <f>19.1672 * CHOOSE(CONTROL!$C$9, $C$13, 100%, $E$13) + CHOOSE(CONTROL!$C$28, 0.0003, 0)</f>
        <v>19.1675</v>
      </c>
      <c r="D147" s="4">
        <f>26.0885 * CHOOSE(CONTROL!$C$9, $C$13, 100%, $E$13) + CHOOSE(CONTROL!$C$28, 0, 0)</f>
        <v>26.0885</v>
      </c>
      <c r="E147" s="4">
        <f>112.478533755198 * CHOOSE(CONTROL!$C$9, $C$13, 100%, $E$13) + CHOOSE(CONTROL!$C$28, 0, 0)</f>
        <v>112.478533755198</v>
      </c>
    </row>
    <row r="148" spans="1:5" ht="15">
      <c r="A148" s="13">
        <v>45992</v>
      </c>
      <c r="B148" s="4">
        <f>19.204 * CHOOSE(CONTROL!$C$9, $C$13, 100%, $E$13) + CHOOSE(CONTROL!$C$28, 0.0003, 0)</f>
        <v>19.2043</v>
      </c>
      <c r="C148" s="4">
        <f>18.8915 * CHOOSE(CONTROL!$C$9, $C$13, 100%, $E$13) + CHOOSE(CONTROL!$C$28, 0.0003, 0)</f>
        <v>18.8918</v>
      </c>
      <c r="D148" s="4">
        <f>25.1986 * CHOOSE(CONTROL!$C$9, $C$13, 100%, $E$13) + CHOOSE(CONTROL!$C$28, 0, 0)</f>
        <v>25.198599999999999</v>
      </c>
      <c r="E148" s="4">
        <f>110.716970616896 * CHOOSE(CONTROL!$C$9, $C$13, 100%, $E$13) + CHOOSE(CONTROL!$C$28, 0, 0)</f>
        <v>110.71697061689601</v>
      </c>
    </row>
    <row r="149" spans="1:5" ht="15">
      <c r="A149" s="13">
        <v>46023</v>
      </c>
      <c r="B149" s="4">
        <f>18.6955 * CHOOSE(CONTROL!$C$9, $C$13, 100%, $E$13) + CHOOSE(CONTROL!$C$28, 0.0003, 0)</f>
        <v>18.695799999999998</v>
      </c>
      <c r="C149" s="4">
        <f>18.383 * CHOOSE(CONTROL!$C$9, $C$13, 100%, $E$13) + CHOOSE(CONTROL!$C$28, 0.0003, 0)</f>
        <v>18.383299999999998</v>
      </c>
      <c r="D149" s="4">
        <f>24.5105 * CHOOSE(CONTROL!$C$9, $C$13, 100%, $E$13) + CHOOSE(CONTROL!$C$28, 0, 0)</f>
        <v>24.5105</v>
      </c>
      <c r="E149" s="4">
        <f>107.798917946912 * CHOOSE(CONTROL!$C$9, $C$13, 100%, $E$13) + CHOOSE(CONTROL!$C$28, 0, 0)</f>
        <v>107.798917946912</v>
      </c>
    </row>
    <row r="150" spans="1:5" ht="15">
      <c r="A150" s="13">
        <v>46054</v>
      </c>
      <c r="B150" s="4">
        <f>19.0949 * CHOOSE(CONTROL!$C$9, $C$13, 100%, $E$13) + CHOOSE(CONTROL!$C$28, 0.0003, 0)</f>
        <v>19.095199999999998</v>
      </c>
      <c r="C150" s="4">
        <f>18.7824 * CHOOSE(CONTROL!$C$9, $C$13, 100%, $E$13) + CHOOSE(CONTROL!$C$28, 0.0003, 0)</f>
        <v>18.782699999999998</v>
      </c>
      <c r="D150" s="4">
        <f>25.3387 * CHOOSE(CONTROL!$C$9, $C$13, 100%, $E$13) + CHOOSE(CONTROL!$C$28, 0, 0)</f>
        <v>25.338699999999999</v>
      </c>
      <c r="E150" s="4">
        <f>110.358489084745 * CHOOSE(CONTROL!$C$9, $C$13, 100%, $E$13) + CHOOSE(CONTROL!$C$28, 0, 0)</f>
        <v>110.358489084745</v>
      </c>
    </row>
    <row r="151" spans="1:5" ht="15">
      <c r="A151" s="13">
        <v>46082</v>
      </c>
      <c r="B151" s="4">
        <f>20.1437 * CHOOSE(CONTROL!$C$9, $C$13, 100%, $E$13) + CHOOSE(CONTROL!$C$28, 0.0003, 0)</f>
        <v>20.143999999999998</v>
      </c>
      <c r="C151" s="4">
        <f>19.8312 * CHOOSE(CONTROL!$C$9, $C$13, 100%, $E$13) + CHOOSE(CONTROL!$C$28, 0.0003, 0)</f>
        <v>19.831499999999998</v>
      </c>
      <c r="D151" s="4">
        <f>26.6353 * CHOOSE(CONTROL!$C$9, $C$13, 100%, $E$13) + CHOOSE(CONTROL!$C$28, 0, 0)</f>
        <v>26.635300000000001</v>
      </c>
      <c r="E151" s="4">
        <f>117.080058916566 * CHOOSE(CONTROL!$C$9, $C$13, 100%, $E$13) + CHOOSE(CONTROL!$C$28, 0, 0)</f>
        <v>117.080058916566</v>
      </c>
    </row>
    <row r="152" spans="1:5" ht="15">
      <c r="A152" s="13">
        <v>46113</v>
      </c>
      <c r="B152" s="4">
        <f>20.8889 * CHOOSE(CONTROL!$C$9, $C$13, 100%, $E$13) + CHOOSE(CONTROL!$C$28, 0.0003, 0)</f>
        <v>20.889199999999999</v>
      </c>
      <c r="C152" s="4">
        <f>20.5764 * CHOOSE(CONTROL!$C$9, $C$13, 100%, $E$13) + CHOOSE(CONTROL!$C$28, 0.0003, 0)</f>
        <v>20.576699999999999</v>
      </c>
      <c r="D152" s="4">
        <f>27.3821 * CHOOSE(CONTROL!$C$9, $C$13, 100%, $E$13) + CHOOSE(CONTROL!$C$28, 0, 0)</f>
        <v>27.382100000000001</v>
      </c>
      <c r="E152" s="4">
        <f>121.855823858771 * CHOOSE(CONTROL!$C$9, $C$13, 100%, $E$13) + CHOOSE(CONTROL!$C$28, 0, 0)</f>
        <v>121.855823858771</v>
      </c>
    </row>
    <row r="153" spans="1:5" ht="15">
      <c r="A153" s="13">
        <v>46143</v>
      </c>
      <c r="B153" s="4">
        <f>21.3442 * CHOOSE(CONTROL!$C$9, $C$13, 100%, $E$13) + CHOOSE(CONTROL!$C$28, 0.0271, 0)</f>
        <v>21.371300000000002</v>
      </c>
      <c r="C153" s="4">
        <f>21.0317 * CHOOSE(CONTROL!$C$9, $C$13, 100%, $E$13) + CHOOSE(CONTROL!$C$28, 0.0271, 0)</f>
        <v>21.058800000000002</v>
      </c>
      <c r="D153" s="4">
        <f>27.087 * CHOOSE(CONTROL!$C$9, $C$13, 100%, $E$13) + CHOOSE(CONTROL!$C$28, 0, 0)</f>
        <v>27.087</v>
      </c>
      <c r="E153" s="4">
        <f>124.773701779347 * CHOOSE(CONTROL!$C$9, $C$13, 100%, $E$13) + CHOOSE(CONTROL!$C$28, 0, 0)</f>
        <v>124.77370177934699</v>
      </c>
    </row>
    <row r="154" spans="1:5" ht="15">
      <c r="A154" s="13">
        <v>46174</v>
      </c>
      <c r="B154" s="4">
        <f>21.4058 * CHOOSE(CONTROL!$C$9, $C$13, 100%, $E$13) + CHOOSE(CONTROL!$C$28, 0.0271, 0)</f>
        <v>21.4329</v>
      </c>
      <c r="C154" s="4">
        <f>21.0933 * CHOOSE(CONTROL!$C$9, $C$13, 100%, $E$13) + CHOOSE(CONTROL!$C$28, 0.0271, 0)</f>
        <v>21.1204</v>
      </c>
      <c r="D154" s="4">
        <f>27.3273 * CHOOSE(CONTROL!$C$9, $C$13, 100%, $E$13) + CHOOSE(CONTROL!$C$28, 0, 0)</f>
        <v>27.327300000000001</v>
      </c>
      <c r="E154" s="4">
        <f>125.168502771443 * CHOOSE(CONTROL!$C$9, $C$13, 100%, $E$13) + CHOOSE(CONTROL!$C$28, 0, 0)</f>
        <v>125.168502771443</v>
      </c>
    </row>
    <row r="155" spans="1:5" ht="15">
      <c r="A155" s="13">
        <v>46204</v>
      </c>
      <c r="B155" s="4">
        <f>21.3996 * CHOOSE(CONTROL!$C$9, $C$13, 100%, $E$13) + CHOOSE(CONTROL!$C$28, 0.0271, 0)</f>
        <v>21.4267</v>
      </c>
      <c r="C155" s="4">
        <f>21.0871 * CHOOSE(CONTROL!$C$9, $C$13, 100%, $E$13) + CHOOSE(CONTROL!$C$28, 0.0271, 0)</f>
        <v>21.1142</v>
      </c>
      <c r="D155" s="4">
        <f>27.761 * CHOOSE(CONTROL!$C$9, $C$13, 100%, $E$13) + CHOOSE(CONTROL!$C$28, 0, 0)</f>
        <v>27.760999999999999</v>
      </c>
      <c r="E155" s="4">
        <f>125.128690906694 * CHOOSE(CONTROL!$C$9, $C$13, 100%, $E$13) + CHOOSE(CONTROL!$C$28, 0, 0)</f>
        <v>125.128690906694</v>
      </c>
    </row>
    <row r="156" spans="1:5" ht="15">
      <c r="A156" s="13">
        <v>46235</v>
      </c>
      <c r="B156" s="4">
        <f>21.867 * CHOOSE(CONTROL!$C$9, $C$13, 100%, $E$13) + CHOOSE(CONTROL!$C$28, 0.0271, 0)</f>
        <v>21.894100000000002</v>
      </c>
      <c r="C156" s="4">
        <f>21.5545 * CHOOSE(CONTROL!$C$9, $C$13, 100%, $E$13) + CHOOSE(CONTROL!$C$28, 0.0271, 0)</f>
        <v>21.581600000000002</v>
      </c>
      <c r="D156" s="4">
        <f>27.4746 * CHOOSE(CONTROL!$C$9, $C$13, 100%, $E$13) + CHOOSE(CONTROL!$C$28, 0, 0)</f>
        <v>27.474599999999999</v>
      </c>
      <c r="E156" s="4">
        <f>128.12453372907 * CHOOSE(CONTROL!$C$9, $C$13, 100%, $E$13) + CHOOSE(CONTROL!$C$28, 0, 0)</f>
        <v>128.12453372907001</v>
      </c>
    </row>
    <row r="157" spans="1:5" ht="15">
      <c r="A157" s="13">
        <v>46266</v>
      </c>
      <c r="B157" s="4">
        <f>21.0703 * CHOOSE(CONTROL!$C$9, $C$13, 100%, $E$13) + CHOOSE(CONTROL!$C$28, 0.0271, 0)</f>
        <v>21.0974</v>
      </c>
      <c r="C157" s="4">
        <f>20.7578 * CHOOSE(CONTROL!$C$9, $C$13, 100%, $E$13) + CHOOSE(CONTROL!$C$28, 0.0271, 0)</f>
        <v>20.7849</v>
      </c>
      <c r="D157" s="4">
        <f>27.3393 * CHOOSE(CONTROL!$C$9, $C$13, 100%, $E$13) + CHOOSE(CONTROL!$C$28, 0, 0)</f>
        <v>27.339300000000001</v>
      </c>
      <c r="E157" s="4">
        <f>123.018662074987 * CHOOSE(CONTROL!$C$9, $C$13, 100%, $E$13) + CHOOSE(CONTROL!$C$28, 0, 0)</f>
        <v>123.01866207498701</v>
      </c>
    </row>
    <row r="158" spans="1:5" ht="15">
      <c r="A158" s="13">
        <v>46296</v>
      </c>
      <c r="B158" s="4">
        <f>20.4326 * CHOOSE(CONTROL!$C$9, $C$13, 100%, $E$13) + CHOOSE(CONTROL!$C$28, 0.0003, 0)</f>
        <v>20.4329</v>
      </c>
      <c r="C158" s="4">
        <f>20.1201 * CHOOSE(CONTROL!$C$9, $C$13, 100%, $E$13) + CHOOSE(CONTROL!$C$28, 0.0003, 0)</f>
        <v>20.1204</v>
      </c>
      <c r="D158" s="4">
        <f>26.977 * CHOOSE(CONTROL!$C$9, $C$13, 100%, $E$13) + CHOOSE(CONTROL!$C$28, 0, 0)</f>
        <v>26.977</v>
      </c>
      <c r="E158" s="4">
        <f>118.931310627404 * CHOOSE(CONTROL!$C$9, $C$13, 100%, $E$13) + CHOOSE(CONTROL!$C$28, 0, 0)</f>
        <v>118.931310627404</v>
      </c>
    </row>
    <row r="159" spans="1:5" ht="15">
      <c r="A159" s="13">
        <v>46327</v>
      </c>
      <c r="B159" s="4">
        <f>20.0218 * CHOOSE(CONTROL!$C$9, $C$13, 100%, $E$13) + CHOOSE(CONTROL!$C$28, 0.0003, 0)</f>
        <v>20.022099999999998</v>
      </c>
      <c r="C159" s="4">
        <f>19.7093 * CHOOSE(CONTROL!$C$9, $C$13, 100%, $E$13) + CHOOSE(CONTROL!$C$28, 0.0003, 0)</f>
        <v>19.709599999999998</v>
      </c>
      <c r="D159" s="4">
        <f>26.8524 * CHOOSE(CONTROL!$C$9, $C$13, 100%, $E$13) + CHOOSE(CONTROL!$C$28, 0, 0)</f>
        <v>26.852399999999999</v>
      </c>
      <c r="E159" s="4">
        <f>116.298751070864 * CHOOSE(CONTROL!$C$9, $C$13, 100%, $E$13) + CHOOSE(CONTROL!$C$28, 0, 0)</f>
        <v>116.298751070864</v>
      </c>
    </row>
    <row r="160" spans="1:5" ht="15">
      <c r="A160" s="13">
        <v>46357</v>
      </c>
      <c r="B160" s="4">
        <f>19.7376 * CHOOSE(CONTROL!$C$9, $C$13, 100%, $E$13) + CHOOSE(CONTROL!$C$28, 0.0003, 0)</f>
        <v>19.7379</v>
      </c>
      <c r="C160" s="4">
        <f>19.4251 * CHOOSE(CONTROL!$C$9, $C$13, 100%, $E$13) + CHOOSE(CONTROL!$C$28, 0.0003, 0)</f>
        <v>19.4254</v>
      </c>
      <c r="D160" s="4">
        <f>25.9353 * CHOOSE(CONTROL!$C$9, $C$13, 100%, $E$13) + CHOOSE(CONTROL!$C$28, 0, 0)</f>
        <v>25.935300000000002</v>
      </c>
      <c r="E160" s="4">
        <f>114.477358258588 * CHOOSE(CONTROL!$C$9, $C$13, 100%, $E$13) + CHOOSE(CONTROL!$C$28, 0, 0)</f>
        <v>114.477358258588</v>
      </c>
    </row>
    <row r="161" spans="1:5" ht="15">
      <c r="A161" s="13">
        <v>46388</v>
      </c>
      <c r="B161" s="4">
        <f>19.2191 * CHOOSE(CONTROL!$C$9, $C$13, 100%, $E$13) + CHOOSE(CONTROL!$C$28, 0.0003, 0)</f>
        <v>19.2194</v>
      </c>
      <c r="C161" s="4">
        <f>18.9066 * CHOOSE(CONTROL!$C$9, $C$13, 100%, $E$13) + CHOOSE(CONTROL!$C$28, 0.0003, 0)</f>
        <v>18.9069</v>
      </c>
      <c r="D161" s="4">
        <f>25.1809 * CHOOSE(CONTROL!$C$9, $C$13, 100%, $E$13) + CHOOSE(CONTROL!$C$28, 0, 0)</f>
        <v>25.180900000000001</v>
      </c>
      <c r="E161" s="4">
        <f>111.208683058745 * CHOOSE(CONTROL!$C$9, $C$13, 100%, $E$13) + CHOOSE(CONTROL!$C$28, 0, 0)</f>
        <v>111.208683058745</v>
      </c>
    </row>
    <row r="162" spans="1:5" ht="15">
      <c r="A162" s="13">
        <v>46419</v>
      </c>
      <c r="B162" s="4">
        <f>19.6309 * CHOOSE(CONTROL!$C$9, $C$13, 100%, $E$13) + CHOOSE(CONTROL!$C$28, 0.0003, 0)</f>
        <v>19.6312</v>
      </c>
      <c r="C162" s="4">
        <f>19.3184 * CHOOSE(CONTROL!$C$9, $C$13, 100%, $E$13) + CHOOSE(CONTROL!$C$28, 0.0003, 0)</f>
        <v>19.3187</v>
      </c>
      <c r="D162" s="4">
        <f>26.0328 * CHOOSE(CONTROL!$C$9, $C$13, 100%, $E$13) + CHOOSE(CONTROL!$C$28, 0, 0)</f>
        <v>26.032800000000002</v>
      </c>
      <c r="E162" s="4">
        <f>113.849215457909 * CHOOSE(CONTROL!$C$9, $C$13, 100%, $E$13) + CHOOSE(CONTROL!$C$28, 0, 0)</f>
        <v>113.849215457909</v>
      </c>
    </row>
    <row r="163" spans="1:5" ht="15">
      <c r="A163" s="13">
        <v>46447</v>
      </c>
      <c r="B163" s="4">
        <f>20.7124 * CHOOSE(CONTROL!$C$9, $C$13, 100%, $E$13) + CHOOSE(CONTROL!$C$28, 0.0003, 0)</f>
        <v>20.712699999999998</v>
      </c>
      <c r="C163" s="4">
        <f>20.3999 * CHOOSE(CONTROL!$C$9, $C$13, 100%, $E$13) + CHOOSE(CONTROL!$C$28, 0.0003, 0)</f>
        <v>20.400199999999998</v>
      </c>
      <c r="D163" s="4">
        <f>27.3663 * CHOOSE(CONTROL!$C$9, $C$13, 100%, $E$13) + CHOOSE(CONTROL!$C$28, 0, 0)</f>
        <v>27.366299999999999</v>
      </c>
      <c r="E163" s="4">
        <f>120.783393864526 * CHOOSE(CONTROL!$C$9, $C$13, 100%, $E$13) + CHOOSE(CONTROL!$C$28, 0, 0)</f>
        <v>120.783393864526</v>
      </c>
    </row>
    <row r="164" spans="1:5" ht="15">
      <c r="A164" s="13">
        <v>46478</v>
      </c>
      <c r="B164" s="4">
        <f>21.4808 * CHOOSE(CONTROL!$C$9, $C$13, 100%, $E$13) + CHOOSE(CONTROL!$C$28, 0.0003, 0)</f>
        <v>21.481099999999998</v>
      </c>
      <c r="C164" s="4">
        <f>21.1683 * CHOOSE(CONTROL!$C$9, $C$13, 100%, $E$13) + CHOOSE(CONTROL!$C$28, 0.0003, 0)</f>
        <v>21.168599999999998</v>
      </c>
      <c r="D164" s="4">
        <f>28.1345 * CHOOSE(CONTROL!$C$9, $C$13, 100%, $E$13) + CHOOSE(CONTROL!$C$28, 0, 0)</f>
        <v>28.134499999999999</v>
      </c>
      <c r="E164" s="4">
        <f>125.710220032506 * CHOOSE(CONTROL!$C$9, $C$13, 100%, $E$13) + CHOOSE(CONTROL!$C$28, 0, 0)</f>
        <v>125.710220032506</v>
      </c>
    </row>
    <row r="165" spans="1:5" ht="15">
      <c r="A165" s="13">
        <v>46508</v>
      </c>
      <c r="B165" s="4">
        <f>21.9502 * CHOOSE(CONTROL!$C$9, $C$13, 100%, $E$13) + CHOOSE(CONTROL!$C$28, 0.0271, 0)</f>
        <v>21.9773</v>
      </c>
      <c r="C165" s="4">
        <f>21.6377 * CHOOSE(CONTROL!$C$9, $C$13, 100%, $E$13) + CHOOSE(CONTROL!$C$28, 0.0271, 0)</f>
        <v>21.6648</v>
      </c>
      <c r="D165" s="4">
        <f>27.831 * CHOOSE(CONTROL!$C$9, $C$13, 100%, $E$13) + CHOOSE(CONTROL!$C$28, 0, 0)</f>
        <v>27.831</v>
      </c>
      <c r="E165" s="4">
        <f>128.720392741597 * CHOOSE(CONTROL!$C$9, $C$13, 100%, $E$13) + CHOOSE(CONTROL!$C$28, 0, 0)</f>
        <v>128.72039274159701</v>
      </c>
    </row>
    <row r="166" spans="1:5" ht="15">
      <c r="A166" s="13">
        <v>46539</v>
      </c>
      <c r="B166" s="4">
        <f>22.0138 * CHOOSE(CONTROL!$C$9, $C$13, 100%, $E$13) + CHOOSE(CONTROL!$C$28, 0.0271, 0)</f>
        <v>22.040900000000001</v>
      </c>
      <c r="C166" s="4">
        <f>21.7013 * CHOOSE(CONTROL!$C$9, $C$13, 100%, $E$13) + CHOOSE(CONTROL!$C$28, 0.0271, 0)</f>
        <v>21.728400000000001</v>
      </c>
      <c r="D166" s="4">
        <f>28.0782 * CHOOSE(CONTROL!$C$9, $C$13, 100%, $E$13) + CHOOSE(CONTROL!$C$28, 0, 0)</f>
        <v>28.078199999999999</v>
      </c>
      <c r="E166" s="4">
        <f>129.127681601611 * CHOOSE(CONTROL!$C$9, $C$13, 100%, $E$13) + CHOOSE(CONTROL!$C$28, 0, 0)</f>
        <v>129.12768160161099</v>
      </c>
    </row>
    <row r="167" spans="1:5" ht="15">
      <c r="A167" s="13">
        <v>46569</v>
      </c>
      <c r="B167" s="4">
        <f>22.0073 * CHOOSE(CONTROL!$C$9, $C$13, 100%, $E$13) + CHOOSE(CONTROL!$C$28, 0.0271, 0)</f>
        <v>22.034400000000002</v>
      </c>
      <c r="C167" s="4">
        <f>21.6948 * CHOOSE(CONTROL!$C$9, $C$13, 100%, $E$13) + CHOOSE(CONTROL!$C$28, 0.0271, 0)</f>
        <v>21.721900000000002</v>
      </c>
      <c r="D167" s="4">
        <f>28.5242 * CHOOSE(CONTROL!$C$9, $C$13, 100%, $E$13) + CHOOSE(CONTROL!$C$28, 0, 0)</f>
        <v>28.5242</v>
      </c>
      <c r="E167" s="4">
        <f>129.086610456063 * CHOOSE(CONTROL!$C$9, $C$13, 100%, $E$13) + CHOOSE(CONTROL!$C$28, 0, 0)</f>
        <v>129.086610456063</v>
      </c>
    </row>
    <row r="168" spans="1:5" ht="15">
      <c r="A168" s="13">
        <v>46600</v>
      </c>
      <c r="B168" s="4">
        <f>22.4894 * CHOOSE(CONTROL!$C$9, $C$13, 100%, $E$13) + CHOOSE(CONTROL!$C$28, 0.0271, 0)</f>
        <v>22.516500000000001</v>
      </c>
      <c r="C168" s="4">
        <f>22.1769 * CHOOSE(CONTROL!$C$9, $C$13, 100%, $E$13) + CHOOSE(CONTROL!$C$28, 0.0271, 0)</f>
        <v>22.204000000000001</v>
      </c>
      <c r="D168" s="4">
        <f>28.2297 * CHOOSE(CONTROL!$C$9, $C$13, 100%, $E$13) + CHOOSE(CONTROL!$C$28, 0, 0)</f>
        <v>28.229700000000001</v>
      </c>
      <c r="E168" s="4">
        <f>132.177214158519 * CHOOSE(CONTROL!$C$9, $C$13, 100%, $E$13) + CHOOSE(CONTROL!$C$28, 0, 0)</f>
        <v>132.17721415851901</v>
      </c>
    </row>
    <row r="169" spans="1:5" ht="15">
      <c r="A169" s="13">
        <v>46631</v>
      </c>
      <c r="B169" s="4">
        <f>21.6679 * CHOOSE(CONTROL!$C$9, $C$13, 100%, $E$13) + CHOOSE(CONTROL!$C$28, 0.0271, 0)</f>
        <v>21.695</v>
      </c>
      <c r="C169" s="4">
        <f>21.3554 * CHOOSE(CONTROL!$C$9, $C$13, 100%, $E$13) + CHOOSE(CONTROL!$C$28, 0.0271, 0)</f>
        <v>21.3825</v>
      </c>
      <c r="D169" s="4">
        <f>28.0905 * CHOOSE(CONTROL!$C$9, $C$13, 100%, $E$13) + CHOOSE(CONTROL!$C$28, 0, 0)</f>
        <v>28.090499999999999</v>
      </c>
      <c r="E169" s="4">
        <f>126.909839742041 * CHOOSE(CONTROL!$C$9, $C$13, 100%, $E$13) + CHOOSE(CONTROL!$C$28, 0, 0)</f>
        <v>126.909839742041</v>
      </c>
    </row>
    <row r="170" spans="1:5" ht="15">
      <c r="A170" s="13">
        <v>46661</v>
      </c>
      <c r="B170" s="4">
        <f>21.0102 * CHOOSE(CONTROL!$C$9, $C$13, 100%, $E$13) + CHOOSE(CONTROL!$C$28, 0.0003, 0)</f>
        <v>21.0105</v>
      </c>
      <c r="C170" s="4">
        <f>20.6977 * CHOOSE(CONTROL!$C$9, $C$13, 100%, $E$13) + CHOOSE(CONTROL!$C$28, 0.0003, 0)</f>
        <v>20.698</v>
      </c>
      <c r="D170" s="4">
        <f>27.7178 * CHOOSE(CONTROL!$C$9, $C$13, 100%, $E$13) + CHOOSE(CONTROL!$C$28, 0, 0)</f>
        <v>27.7178</v>
      </c>
      <c r="E170" s="4">
        <f>122.693202132489 * CHOOSE(CONTROL!$C$9, $C$13, 100%, $E$13) + CHOOSE(CONTROL!$C$28, 0, 0)</f>
        <v>122.69320213248901</v>
      </c>
    </row>
    <row r="171" spans="1:5" ht="15">
      <c r="A171" s="13">
        <v>46692</v>
      </c>
      <c r="B171" s="4">
        <f>20.5867 * CHOOSE(CONTROL!$C$9, $C$13, 100%, $E$13) + CHOOSE(CONTROL!$C$28, 0.0003, 0)</f>
        <v>20.587</v>
      </c>
      <c r="C171" s="4">
        <f>20.2742 * CHOOSE(CONTROL!$C$9, $C$13, 100%, $E$13) + CHOOSE(CONTROL!$C$28, 0.0003, 0)</f>
        <v>20.2745</v>
      </c>
      <c r="D171" s="4">
        <f>27.5897 * CHOOSE(CONTROL!$C$9, $C$13, 100%, $E$13) + CHOOSE(CONTROL!$C$28, 0, 0)</f>
        <v>27.589700000000001</v>
      </c>
      <c r="E171" s="4">
        <f>119.977372633155 * CHOOSE(CONTROL!$C$9, $C$13, 100%, $E$13) + CHOOSE(CONTROL!$C$28, 0, 0)</f>
        <v>119.977372633155</v>
      </c>
    </row>
    <row r="172" spans="1:5" ht="15">
      <c r="A172" s="13">
        <v>46722</v>
      </c>
      <c r="B172" s="4">
        <f>20.2936 * CHOOSE(CONTROL!$C$9, $C$13, 100%, $E$13) + CHOOSE(CONTROL!$C$28, 0.0003, 0)</f>
        <v>20.293900000000001</v>
      </c>
      <c r="C172" s="4">
        <f>19.9811 * CHOOSE(CONTROL!$C$9, $C$13, 100%, $E$13) + CHOOSE(CONTROL!$C$28, 0.0003, 0)</f>
        <v>19.981400000000001</v>
      </c>
      <c r="D172" s="4">
        <f>26.6464 * CHOOSE(CONTROL!$C$9, $C$13, 100%, $E$13) + CHOOSE(CONTROL!$C$28, 0, 0)</f>
        <v>26.6464</v>
      </c>
      <c r="E172" s="4">
        <f>118.098367724353 * CHOOSE(CONTROL!$C$9, $C$13, 100%, $E$13) + CHOOSE(CONTROL!$C$28, 0, 0)</f>
        <v>118.098367724353</v>
      </c>
    </row>
    <row r="173" spans="1:5" ht="15">
      <c r="A173" s="13">
        <v>46753</v>
      </c>
      <c r="B173" s="4">
        <f>19.7475 * CHOOSE(CONTROL!$C$9, $C$13, 100%, $E$13) + CHOOSE(CONTROL!$C$28, 0.0003, 0)</f>
        <v>19.747799999999998</v>
      </c>
      <c r="C173" s="4">
        <f>19.435 * CHOOSE(CONTROL!$C$9, $C$13, 100%, $E$13) + CHOOSE(CONTROL!$C$28, 0.0003, 0)</f>
        <v>19.435299999999998</v>
      </c>
      <c r="D173" s="4">
        <f>25.8105 * CHOOSE(CONTROL!$C$9, $C$13, 100%, $E$13) + CHOOSE(CONTROL!$C$28, 0, 0)</f>
        <v>25.810500000000001</v>
      </c>
      <c r="E173" s="4">
        <f>114.698744621042 * CHOOSE(CONTROL!$C$9, $C$13, 100%, $E$13) + CHOOSE(CONTROL!$C$28, 0, 0)</f>
        <v>114.698744621042</v>
      </c>
    </row>
    <row r="174" spans="1:5" ht="15">
      <c r="A174" s="13">
        <v>46784</v>
      </c>
      <c r="B174" s="4">
        <f>20.1719 * CHOOSE(CONTROL!$C$9, $C$13, 100%, $E$13) + CHOOSE(CONTROL!$C$28, 0.0003, 0)</f>
        <v>20.1722</v>
      </c>
      <c r="C174" s="4">
        <f>19.8594 * CHOOSE(CONTROL!$C$9, $C$13, 100%, $E$13) + CHOOSE(CONTROL!$C$28, 0.0003, 0)</f>
        <v>19.8597</v>
      </c>
      <c r="D174" s="4">
        <f>26.6846 * CHOOSE(CONTROL!$C$9, $C$13, 100%, $E$13) + CHOOSE(CONTROL!$C$28, 0, 0)</f>
        <v>26.6846</v>
      </c>
      <c r="E174" s="4">
        <f>117.422144835711 * CHOOSE(CONTROL!$C$9, $C$13, 100%, $E$13) + CHOOSE(CONTROL!$C$28, 0, 0)</f>
        <v>117.42214483571099</v>
      </c>
    </row>
    <row r="175" spans="1:5" ht="15">
      <c r="A175" s="13">
        <v>46813</v>
      </c>
      <c r="B175" s="4">
        <f>21.2863 * CHOOSE(CONTROL!$C$9, $C$13, 100%, $E$13) + CHOOSE(CONTROL!$C$28, 0.0003, 0)</f>
        <v>21.2866</v>
      </c>
      <c r="C175" s="4">
        <f>20.9738 * CHOOSE(CONTROL!$C$9, $C$13, 100%, $E$13) + CHOOSE(CONTROL!$C$28, 0.0003, 0)</f>
        <v>20.9741</v>
      </c>
      <c r="D175" s="4">
        <f>28.0529 * CHOOSE(CONTROL!$C$9, $C$13, 100%, $E$13) + CHOOSE(CONTROL!$C$28, 0, 0)</f>
        <v>28.052900000000001</v>
      </c>
      <c r="E175" s="4">
        <f>124.573938529709 * CHOOSE(CONTROL!$C$9, $C$13, 100%, $E$13) + CHOOSE(CONTROL!$C$28, 0, 0)</f>
        <v>124.573938529709</v>
      </c>
    </row>
    <row r="176" spans="1:5" ht="15">
      <c r="A176" s="13">
        <v>46844</v>
      </c>
      <c r="B176" s="4">
        <f>22.0781 * CHOOSE(CONTROL!$C$9, $C$13, 100%, $E$13) + CHOOSE(CONTROL!$C$28, 0.0003, 0)</f>
        <v>22.078399999999998</v>
      </c>
      <c r="C176" s="4">
        <f>21.7656 * CHOOSE(CONTROL!$C$9, $C$13, 100%, $E$13) + CHOOSE(CONTROL!$C$28, 0.0003, 0)</f>
        <v>21.765899999999998</v>
      </c>
      <c r="D176" s="4">
        <f>28.8411 * CHOOSE(CONTROL!$C$9, $C$13, 100%, $E$13) + CHOOSE(CONTROL!$C$28, 0, 0)</f>
        <v>28.841100000000001</v>
      </c>
      <c r="E176" s="4">
        <f>129.655383259478 * CHOOSE(CONTROL!$C$9, $C$13, 100%, $E$13) + CHOOSE(CONTROL!$C$28, 0, 0)</f>
        <v>129.65538325947799</v>
      </c>
    </row>
    <row r="177" spans="1:5" ht="15">
      <c r="A177" s="13">
        <v>46874</v>
      </c>
      <c r="B177" s="4">
        <f>22.5618 * CHOOSE(CONTROL!$C$9, $C$13, 100%, $E$13) + CHOOSE(CONTROL!$C$28, 0.0271, 0)</f>
        <v>22.588900000000002</v>
      </c>
      <c r="C177" s="4">
        <f>22.2493 * CHOOSE(CONTROL!$C$9, $C$13, 100%, $E$13) + CHOOSE(CONTROL!$C$28, 0.0271, 0)</f>
        <v>22.276400000000002</v>
      </c>
      <c r="D177" s="4">
        <f>28.5297 * CHOOSE(CONTROL!$C$9, $C$13, 100%, $E$13) + CHOOSE(CONTROL!$C$28, 0, 0)</f>
        <v>28.529699999999998</v>
      </c>
      <c r="E177" s="4">
        <f>132.760024204133 * CHOOSE(CONTROL!$C$9, $C$13, 100%, $E$13) + CHOOSE(CONTROL!$C$28, 0, 0)</f>
        <v>132.760024204133</v>
      </c>
    </row>
    <row r="178" spans="1:5" ht="15">
      <c r="A178" s="13">
        <v>46905</v>
      </c>
      <c r="B178" s="4">
        <f>22.6273 * CHOOSE(CONTROL!$C$9, $C$13, 100%, $E$13) + CHOOSE(CONTROL!$C$28, 0.0271, 0)</f>
        <v>22.654400000000003</v>
      </c>
      <c r="C178" s="4">
        <f>22.3148 * CHOOSE(CONTROL!$C$9, $C$13, 100%, $E$13) + CHOOSE(CONTROL!$C$28, 0.0271, 0)</f>
        <v>22.341900000000003</v>
      </c>
      <c r="D178" s="4">
        <f>28.7833 * CHOOSE(CONTROL!$C$9, $C$13, 100%, $E$13) + CHOOSE(CONTROL!$C$28, 0, 0)</f>
        <v>28.783300000000001</v>
      </c>
      <c r="E178" s="4">
        <f>133.180095008469 * CHOOSE(CONTROL!$C$9, $C$13, 100%, $E$13) + CHOOSE(CONTROL!$C$28, 0, 0)</f>
        <v>133.18009500846901</v>
      </c>
    </row>
    <row r="179" spans="1:5" ht="15">
      <c r="A179" s="13">
        <v>46935</v>
      </c>
      <c r="B179" s="4">
        <f>22.6207 * CHOOSE(CONTROL!$C$9, $C$13, 100%, $E$13) + CHOOSE(CONTROL!$C$28, 0.0271, 0)</f>
        <v>22.6478</v>
      </c>
      <c r="C179" s="4">
        <f>22.3082 * CHOOSE(CONTROL!$C$9, $C$13, 100%, $E$13) + CHOOSE(CONTROL!$C$28, 0.0271, 0)</f>
        <v>22.3353</v>
      </c>
      <c r="D179" s="4">
        <f>29.241 * CHOOSE(CONTROL!$C$9, $C$13, 100%, $E$13) + CHOOSE(CONTROL!$C$28, 0, 0)</f>
        <v>29.241</v>
      </c>
      <c r="E179" s="4">
        <f>133.13773492736 * CHOOSE(CONTROL!$C$9, $C$13, 100%, $E$13) + CHOOSE(CONTROL!$C$28, 0, 0)</f>
        <v>133.13773492735999</v>
      </c>
    </row>
    <row r="180" spans="1:5" ht="15">
      <c r="A180" s="13">
        <v>46966</v>
      </c>
      <c r="B180" s="4">
        <f>23.1174 * CHOOSE(CONTROL!$C$9, $C$13, 100%, $E$13) + CHOOSE(CONTROL!$C$28, 0.0271, 0)</f>
        <v>23.144500000000001</v>
      </c>
      <c r="C180" s="4">
        <f>22.8049 * CHOOSE(CONTROL!$C$9, $C$13, 100%, $E$13) + CHOOSE(CONTROL!$C$28, 0.0271, 0)</f>
        <v>22.832000000000001</v>
      </c>
      <c r="D180" s="4">
        <f>28.9388 * CHOOSE(CONTROL!$C$9, $C$13, 100%, $E$13) + CHOOSE(CONTROL!$C$28, 0, 0)</f>
        <v>28.938800000000001</v>
      </c>
      <c r="E180" s="4">
        <f>136.325331030854 * CHOOSE(CONTROL!$C$9, $C$13, 100%, $E$13) + CHOOSE(CONTROL!$C$28, 0, 0)</f>
        <v>136.32533103085399</v>
      </c>
    </row>
    <row r="181" spans="1:5" ht="15">
      <c r="A181" s="13">
        <v>46997</v>
      </c>
      <c r="B181" s="4">
        <f>22.2709 * CHOOSE(CONTROL!$C$9, $C$13, 100%, $E$13) + CHOOSE(CONTROL!$C$28, 0.0271, 0)</f>
        <v>22.298000000000002</v>
      </c>
      <c r="C181" s="4">
        <f>21.9584 * CHOOSE(CONTROL!$C$9, $C$13, 100%, $E$13) + CHOOSE(CONTROL!$C$28, 0.0271, 0)</f>
        <v>21.985500000000002</v>
      </c>
      <c r="D181" s="4">
        <f>28.796 * CHOOSE(CONTROL!$C$9, $C$13, 100%, $E$13) + CHOOSE(CONTROL!$C$28, 0, 0)</f>
        <v>28.795999999999999</v>
      </c>
      <c r="E181" s="4">
        <f>130.892650628553 * CHOOSE(CONTROL!$C$9, $C$13, 100%, $E$13) + CHOOSE(CONTROL!$C$28, 0, 0)</f>
        <v>130.89265062855301</v>
      </c>
    </row>
    <row r="182" spans="1:5" ht="15">
      <c r="A182" s="13">
        <v>47027</v>
      </c>
      <c r="B182" s="4">
        <f>21.5932 * CHOOSE(CONTROL!$C$9, $C$13, 100%, $E$13) + CHOOSE(CONTROL!$C$28, 0.0003, 0)</f>
        <v>21.593499999999999</v>
      </c>
      <c r="C182" s="4">
        <f>21.2807 * CHOOSE(CONTROL!$C$9, $C$13, 100%, $E$13) + CHOOSE(CONTROL!$C$28, 0.0003, 0)</f>
        <v>21.280999999999999</v>
      </c>
      <c r="D182" s="4">
        <f>28.4136 * CHOOSE(CONTROL!$C$9, $C$13, 100%, $E$13) + CHOOSE(CONTROL!$C$28, 0, 0)</f>
        <v>28.413599999999999</v>
      </c>
      <c r="E182" s="4">
        <f>126.543682301304 * CHOOSE(CONTROL!$C$9, $C$13, 100%, $E$13) + CHOOSE(CONTROL!$C$28, 0, 0)</f>
        <v>126.543682301304</v>
      </c>
    </row>
    <row r="183" spans="1:5" ht="15">
      <c r="A183" s="13">
        <v>47058</v>
      </c>
      <c r="B183" s="4">
        <f>21.1567 * CHOOSE(CONTROL!$C$9, $C$13, 100%, $E$13) + CHOOSE(CONTROL!$C$28, 0.0003, 0)</f>
        <v>21.157</v>
      </c>
      <c r="C183" s="4">
        <f>20.8442 * CHOOSE(CONTROL!$C$9, $C$13, 100%, $E$13) + CHOOSE(CONTROL!$C$28, 0.0003, 0)</f>
        <v>20.8445</v>
      </c>
      <c r="D183" s="4">
        <f>28.2821 * CHOOSE(CONTROL!$C$9, $C$13, 100%, $E$13) + CHOOSE(CONTROL!$C$28, 0, 0)</f>
        <v>28.2821</v>
      </c>
      <c r="E183" s="4">
        <f>123.742621937934 * CHOOSE(CONTROL!$C$9, $C$13, 100%, $E$13) + CHOOSE(CONTROL!$C$28, 0, 0)</f>
        <v>123.742621937934</v>
      </c>
    </row>
    <row r="184" spans="1:5" ht="15">
      <c r="A184" s="13">
        <v>47088</v>
      </c>
      <c r="B184" s="4">
        <f>20.8547 * CHOOSE(CONTROL!$C$9, $C$13, 100%, $E$13) + CHOOSE(CONTROL!$C$28, 0.0003, 0)</f>
        <v>20.855</v>
      </c>
      <c r="C184" s="4">
        <f>20.5422 * CHOOSE(CONTROL!$C$9, $C$13, 100%, $E$13) + CHOOSE(CONTROL!$C$28, 0.0003, 0)</f>
        <v>20.5425</v>
      </c>
      <c r="D184" s="4">
        <f>27.3142 * CHOOSE(CONTROL!$C$9, $C$13, 100%, $E$13) + CHOOSE(CONTROL!$C$28, 0, 0)</f>
        <v>27.3142</v>
      </c>
      <c r="E184" s="4">
        <f>121.804648227172 * CHOOSE(CONTROL!$C$9, $C$13, 100%, $E$13) + CHOOSE(CONTROL!$C$28, 0, 0)</f>
        <v>121.804648227172</v>
      </c>
    </row>
    <row r="185" spans="1:5" ht="15">
      <c r="A185" s="13">
        <v>47119</v>
      </c>
      <c r="B185" s="4">
        <f>20.2902 * CHOOSE(CONTROL!$C$9, $C$13, 100%, $E$13) + CHOOSE(CONTROL!$C$28, 0.0003, 0)</f>
        <v>20.290499999999998</v>
      </c>
      <c r="C185" s="4">
        <f>19.9777 * CHOOSE(CONTROL!$C$9, $C$13, 100%, $E$13) + CHOOSE(CONTROL!$C$28, 0.0003, 0)</f>
        <v>19.977999999999998</v>
      </c>
      <c r="D185" s="4">
        <f>26.3941 * CHOOSE(CONTROL!$C$9, $C$13, 100%, $E$13) + CHOOSE(CONTROL!$C$28, 0, 0)</f>
        <v>26.394100000000002</v>
      </c>
      <c r="E185" s="4">
        <f>118.190094067055 * CHOOSE(CONTROL!$C$9, $C$13, 100%, $E$13) + CHOOSE(CONTROL!$C$28, 0, 0)</f>
        <v>118.190094067055</v>
      </c>
    </row>
    <row r="186" spans="1:5" ht="15">
      <c r="A186" s="13">
        <v>47150</v>
      </c>
      <c r="B186" s="4">
        <f>20.7274 * CHOOSE(CONTROL!$C$9, $C$13, 100%, $E$13) + CHOOSE(CONTROL!$C$28, 0.0003, 0)</f>
        <v>20.727699999999999</v>
      </c>
      <c r="C186" s="4">
        <f>20.4149 * CHOOSE(CONTROL!$C$9, $C$13, 100%, $E$13) + CHOOSE(CONTROL!$C$28, 0.0003, 0)</f>
        <v>20.415199999999999</v>
      </c>
      <c r="D186" s="4">
        <f>27.2888 * CHOOSE(CONTROL!$C$9, $C$13, 100%, $E$13) + CHOOSE(CONTROL!$C$28, 0, 0)</f>
        <v>27.288799999999998</v>
      </c>
      <c r="E186" s="4">
        <f>120.996392676664 * CHOOSE(CONTROL!$C$9, $C$13, 100%, $E$13) + CHOOSE(CONTROL!$C$28, 0, 0)</f>
        <v>120.996392676664</v>
      </c>
    </row>
    <row r="187" spans="1:5" ht="15">
      <c r="A187" s="13">
        <v>47178</v>
      </c>
      <c r="B187" s="4">
        <f>21.8757 * CHOOSE(CONTROL!$C$9, $C$13, 100%, $E$13) + CHOOSE(CONTROL!$C$28, 0.0003, 0)</f>
        <v>21.875999999999998</v>
      </c>
      <c r="C187" s="4">
        <f>21.5632 * CHOOSE(CONTROL!$C$9, $C$13, 100%, $E$13) + CHOOSE(CONTROL!$C$28, 0.0003, 0)</f>
        <v>21.563499999999998</v>
      </c>
      <c r="D187" s="4">
        <f>28.6894 * CHOOSE(CONTROL!$C$9, $C$13, 100%, $E$13) + CHOOSE(CONTROL!$C$28, 0, 0)</f>
        <v>28.689399999999999</v>
      </c>
      <c r="E187" s="4">
        <f>128.365881961263 * CHOOSE(CONTROL!$C$9, $C$13, 100%, $E$13) + CHOOSE(CONTROL!$C$28, 0, 0)</f>
        <v>128.365881961263</v>
      </c>
    </row>
    <row r="188" spans="1:5" ht="15">
      <c r="A188" s="13">
        <v>47209</v>
      </c>
      <c r="B188" s="4">
        <f>22.6915 * CHOOSE(CONTROL!$C$9, $C$13, 100%, $E$13) + CHOOSE(CONTROL!$C$28, 0.0003, 0)</f>
        <v>22.691800000000001</v>
      </c>
      <c r="C188" s="4">
        <f>22.379 * CHOOSE(CONTROL!$C$9, $C$13, 100%, $E$13) + CHOOSE(CONTROL!$C$28, 0.0003, 0)</f>
        <v>22.379300000000001</v>
      </c>
      <c r="D188" s="4">
        <f>29.4962 * CHOOSE(CONTROL!$C$9, $C$13, 100%, $E$13) + CHOOSE(CONTROL!$C$28, 0, 0)</f>
        <v>29.496200000000002</v>
      </c>
      <c r="E188" s="4">
        <f>133.602002309329 * CHOOSE(CONTROL!$C$9, $C$13, 100%, $E$13) + CHOOSE(CONTROL!$C$28, 0, 0)</f>
        <v>133.60200230932901</v>
      </c>
    </row>
    <row r="189" spans="1:5" ht="15">
      <c r="A189" s="13">
        <v>47239</v>
      </c>
      <c r="B189" s="4">
        <f>23.19 * CHOOSE(CONTROL!$C$9, $C$13, 100%, $E$13) + CHOOSE(CONTROL!$C$28, 0.0271, 0)</f>
        <v>23.217100000000002</v>
      </c>
      <c r="C189" s="4">
        <f>22.8775 * CHOOSE(CONTROL!$C$9, $C$13, 100%, $E$13) + CHOOSE(CONTROL!$C$28, 0.0271, 0)</f>
        <v>22.904600000000002</v>
      </c>
      <c r="D189" s="4">
        <f>29.1774 * CHOOSE(CONTROL!$C$9, $C$13, 100%, $E$13) + CHOOSE(CONTROL!$C$28, 0, 0)</f>
        <v>29.177399999999999</v>
      </c>
      <c r="E189" s="4">
        <f>136.801146349707 * CHOOSE(CONTROL!$C$9, $C$13, 100%, $E$13) + CHOOSE(CONTROL!$C$28, 0, 0)</f>
        <v>136.80114634970701</v>
      </c>
    </row>
    <row r="190" spans="1:5" ht="15">
      <c r="A190" s="13">
        <v>47270</v>
      </c>
      <c r="B190" s="4">
        <f>23.2574 * CHOOSE(CONTROL!$C$9, $C$13, 100%, $E$13) + CHOOSE(CONTROL!$C$28, 0.0271, 0)</f>
        <v>23.284500000000001</v>
      </c>
      <c r="C190" s="4">
        <f>22.9449 * CHOOSE(CONTROL!$C$9, $C$13, 100%, $E$13) + CHOOSE(CONTROL!$C$28, 0.0271, 0)</f>
        <v>22.972000000000001</v>
      </c>
      <c r="D190" s="4">
        <f>29.437 * CHOOSE(CONTROL!$C$9, $C$13, 100%, $E$13) + CHOOSE(CONTROL!$C$28, 0, 0)</f>
        <v>29.437000000000001</v>
      </c>
      <c r="E190" s="4">
        <f>137.234003815091 * CHOOSE(CONTROL!$C$9, $C$13, 100%, $E$13) + CHOOSE(CONTROL!$C$28, 0, 0)</f>
        <v>137.234003815091</v>
      </c>
    </row>
    <row r="191" spans="1:5" ht="15">
      <c r="A191" s="13">
        <v>47300</v>
      </c>
      <c r="B191" s="4">
        <f>23.2506 * CHOOSE(CONTROL!$C$9, $C$13, 100%, $E$13) + CHOOSE(CONTROL!$C$28, 0.0271, 0)</f>
        <v>23.277699999999999</v>
      </c>
      <c r="C191" s="4">
        <f>22.9381 * CHOOSE(CONTROL!$C$9, $C$13, 100%, $E$13) + CHOOSE(CONTROL!$C$28, 0.0271, 0)</f>
        <v>22.965199999999999</v>
      </c>
      <c r="D191" s="4">
        <f>29.9055 * CHOOSE(CONTROL!$C$9, $C$13, 100%, $E$13) + CHOOSE(CONTROL!$C$28, 0, 0)</f>
        <v>29.9055</v>
      </c>
      <c r="E191" s="4">
        <f>137.190354322783 * CHOOSE(CONTROL!$C$9, $C$13, 100%, $E$13) + CHOOSE(CONTROL!$C$28, 0, 0)</f>
        <v>137.19035432278301</v>
      </c>
    </row>
    <row r="192" spans="1:5" ht="15">
      <c r="A192" s="13">
        <v>47331</v>
      </c>
      <c r="B192" s="4">
        <f>23.7624 * CHOOSE(CONTROL!$C$9, $C$13, 100%, $E$13) + CHOOSE(CONTROL!$C$28, 0.0271, 0)</f>
        <v>23.7895</v>
      </c>
      <c r="C192" s="4">
        <f>23.4499 * CHOOSE(CONTROL!$C$9, $C$13, 100%, $E$13) + CHOOSE(CONTROL!$C$28, 0.0271, 0)</f>
        <v>23.477</v>
      </c>
      <c r="D192" s="4">
        <f>29.5961 * CHOOSE(CONTROL!$C$9, $C$13, 100%, $E$13) + CHOOSE(CONTROL!$C$28, 0, 0)</f>
        <v>29.5961</v>
      </c>
      <c r="E192" s="4">
        <f>140.47497861893 * CHOOSE(CONTROL!$C$9, $C$13, 100%, $E$13) + CHOOSE(CONTROL!$C$28, 0, 0)</f>
        <v>140.47497861893001</v>
      </c>
    </row>
    <row r="193" spans="1:5" ht="15">
      <c r="A193" s="13">
        <v>47362</v>
      </c>
      <c r="B193" s="4">
        <f>22.8902 * CHOOSE(CONTROL!$C$9, $C$13, 100%, $E$13) + CHOOSE(CONTROL!$C$28, 0.0271, 0)</f>
        <v>22.917300000000001</v>
      </c>
      <c r="C193" s="4">
        <f>22.5777 * CHOOSE(CONTROL!$C$9, $C$13, 100%, $E$13) + CHOOSE(CONTROL!$C$28, 0.0271, 0)</f>
        <v>22.604800000000001</v>
      </c>
      <c r="D193" s="4">
        <f>29.45 * CHOOSE(CONTROL!$C$9, $C$13, 100%, $E$13) + CHOOSE(CONTROL!$C$28, 0, 0)</f>
        <v>29.45</v>
      </c>
      <c r="E193" s="4">
        <f>134.87693123048 * CHOOSE(CONTROL!$C$9, $C$13, 100%, $E$13) + CHOOSE(CONTROL!$C$28, 0, 0)</f>
        <v>134.87693123048001</v>
      </c>
    </row>
    <row r="194" spans="1:5" ht="15">
      <c r="A194" s="13">
        <v>47392</v>
      </c>
      <c r="B194" s="4">
        <f>22.1919 * CHOOSE(CONTROL!$C$9, $C$13, 100%, $E$13) + CHOOSE(CONTROL!$C$28, 0.0003, 0)</f>
        <v>22.1922</v>
      </c>
      <c r="C194" s="4">
        <f>21.8794 * CHOOSE(CONTROL!$C$9, $C$13, 100%, $E$13) + CHOOSE(CONTROL!$C$28, 0.0003, 0)</f>
        <v>21.8797</v>
      </c>
      <c r="D194" s="4">
        <f>29.0586 * CHOOSE(CONTROL!$C$9, $C$13, 100%, $E$13) + CHOOSE(CONTROL!$C$28, 0, 0)</f>
        <v>29.058599999999998</v>
      </c>
      <c r="E194" s="4">
        <f>130.395583353567 * CHOOSE(CONTROL!$C$9, $C$13, 100%, $E$13) + CHOOSE(CONTROL!$C$28, 0, 0)</f>
        <v>130.39558335356699</v>
      </c>
    </row>
    <row r="195" spans="1:5" ht="15">
      <c r="A195" s="13">
        <v>47423</v>
      </c>
      <c r="B195" s="4">
        <f>21.7422 * CHOOSE(CONTROL!$C$9, $C$13, 100%, $E$13) + CHOOSE(CONTROL!$C$28, 0.0003, 0)</f>
        <v>21.7425</v>
      </c>
      <c r="C195" s="4">
        <f>21.4297 * CHOOSE(CONTROL!$C$9, $C$13, 100%, $E$13) + CHOOSE(CONTROL!$C$28, 0.0003, 0)</f>
        <v>21.43</v>
      </c>
      <c r="D195" s="4">
        <f>28.924 * CHOOSE(CONTROL!$C$9, $C$13, 100%, $E$13) + CHOOSE(CONTROL!$C$28, 0, 0)</f>
        <v>28.923999999999999</v>
      </c>
      <c r="E195" s="4">
        <f>127.509260674727 * CHOOSE(CONTROL!$C$9, $C$13, 100%, $E$13) + CHOOSE(CONTROL!$C$28, 0, 0)</f>
        <v>127.509260674727</v>
      </c>
    </row>
    <row r="196" spans="1:5" ht="15">
      <c r="A196" s="13">
        <v>47453</v>
      </c>
      <c r="B196" s="4">
        <f>21.4311 * CHOOSE(CONTROL!$C$9, $C$13, 100%, $E$13) + CHOOSE(CONTROL!$C$28, 0.0003, 0)</f>
        <v>21.4314</v>
      </c>
      <c r="C196" s="4">
        <f>21.1186 * CHOOSE(CONTROL!$C$9, $C$13, 100%, $E$13) + CHOOSE(CONTROL!$C$28, 0.0003, 0)</f>
        <v>21.1189</v>
      </c>
      <c r="D196" s="4">
        <f>27.9333 * CHOOSE(CONTROL!$C$9, $C$13, 100%, $E$13) + CHOOSE(CONTROL!$C$28, 0, 0)</f>
        <v>27.933299999999999</v>
      </c>
      <c r="E196" s="4">
        <f>125.512296401654 * CHOOSE(CONTROL!$C$9, $C$13, 100%, $E$13) + CHOOSE(CONTROL!$C$28, 0, 0)</f>
        <v>125.512296401654</v>
      </c>
    </row>
    <row r="197" spans="1:5" ht="15">
      <c r="A197" s="13">
        <v>47484</v>
      </c>
      <c r="B197" s="4">
        <f>20.8234 * CHOOSE(CONTROL!$C$9, $C$13, 100%, $E$13) + CHOOSE(CONTROL!$C$28, 0.0003, 0)</f>
        <v>20.823699999999999</v>
      </c>
      <c r="C197" s="4">
        <f>20.5109 * CHOOSE(CONTROL!$C$9, $C$13, 100%, $E$13) + CHOOSE(CONTROL!$C$28, 0.0003, 0)</f>
        <v>20.511199999999999</v>
      </c>
      <c r="D197" s="4">
        <f>26.9744 * CHOOSE(CONTROL!$C$9, $C$13, 100%, $E$13) + CHOOSE(CONTROL!$C$28, 0, 0)</f>
        <v>26.974399999999999</v>
      </c>
      <c r="E197" s="4">
        <f>121.633344155486 * CHOOSE(CONTROL!$C$9, $C$13, 100%, $E$13) + CHOOSE(CONTROL!$C$28, 0, 0)</f>
        <v>121.633344155486</v>
      </c>
    </row>
    <row r="198" spans="1:5" ht="15">
      <c r="A198" s="13">
        <v>47515</v>
      </c>
      <c r="B198" s="4">
        <f>21.2733 * CHOOSE(CONTROL!$C$9, $C$13, 100%, $E$13) + CHOOSE(CONTROL!$C$28, 0.0003, 0)</f>
        <v>21.273599999999998</v>
      </c>
      <c r="C198" s="4">
        <f>20.9608 * CHOOSE(CONTROL!$C$9, $C$13, 100%, $E$13) + CHOOSE(CONTROL!$C$28, 0.0003, 0)</f>
        <v>20.961099999999998</v>
      </c>
      <c r="D198" s="4">
        <f>27.8895 * CHOOSE(CONTROL!$C$9, $C$13, 100%, $E$13) + CHOOSE(CONTROL!$C$28, 0, 0)</f>
        <v>27.889500000000002</v>
      </c>
      <c r="E198" s="4">
        <f>124.521399091731 * CHOOSE(CONTROL!$C$9, $C$13, 100%, $E$13) + CHOOSE(CONTROL!$C$28, 0, 0)</f>
        <v>124.521399091731</v>
      </c>
    </row>
    <row r="199" spans="1:5" ht="15">
      <c r="A199" s="13">
        <v>47543</v>
      </c>
      <c r="B199" s="4">
        <f>22.4548 * CHOOSE(CONTROL!$C$9, $C$13, 100%, $E$13) + CHOOSE(CONTROL!$C$28, 0.0003, 0)</f>
        <v>22.455099999999998</v>
      </c>
      <c r="C199" s="4">
        <f>22.1423 * CHOOSE(CONTROL!$C$9, $C$13, 100%, $E$13) + CHOOSE(CONTROL!$C$28, 0.0003, 0)</f>
        <v>22.142599999999998</v>
      </c>
      <c r="D199" s="4">
        <f>29.3222 * CHOOSE(CONTROL!$C$9, $C$13, 100%, $E$13) + CHOOSE(CONTROL!$C$28, 0, 0)</f>
        <v>29.322199999999999</v>
      </c>
      <c r="E199" s="4">
        <f>132.105584834872 * CHOOSE(CONTROL!$C$9, $C$13, 100%, $E$13) + CHOOSE(CONTROL!$C$28, 0, 0)</f>
        <v>132.10558483487199</v>
      </c>
    </row>
    <row r="200" spans="1:5" ht="15">
      <c r="A200" s="13">
        <v>47574</v>
      </c>
      <c r="B200" s="4">
        <f>23.2943 * CHOOSE(CONTROL!$C$9, $C$13, 100%, $E$13) + CHOOSE(CONTROL!$C$28, 0.0003, 0)</f>
        <v>23.294599999999999</v>
      </c>
      <c r="C200" s="4">
        <f>22.9818 * CHOOSE(CONTROL!$C$9, $C$13, 100%, $E$13) + CHOOSE(CONTROL!$C$28, 0.0003, 0)</f>
        <v>22.982099999999999</v>
      </c>
      <c r="D200" s="4">
        <f>30.1474 * CHOOSE(CONTROL!$C$9, $C$13, 100%, $E$13) + CHOOSE(CONTROL!$C$28, 0, 0)</f>
        <v>30.147400000000001</v>
      </c>
      <c r="E200" s="4">
        <f>137.494249877938 * CHOOSE(CONTROL!$C$9, $C$13, 100%, $E$13) + CHOOSE(CONTROL!$C$28, 0, 0)</f>
        <v>137.49424987793799</v>
      </c>
    </row>
    <row r="201" spans="1:5" ht="15">
      <c r="A201" s="13">
        <v>47604</v>
      </c>
      <c r="B201" s="4">
        <f>23.8072 * CHOOSE(CONTROL!$C$9, $C$13, 100%, $E$13) + CHOOSE(CONTROL!$C$28, 0.0271, 0)</f>
        <v>23.834300000000002</v>
      </c>
      <c r="C201" s="4">
        <f>23.4947 * CHOOSE(CONTROL!$C$9, $C$13, 100%, $E$13) + CHOOSE(CONTROL!$C$28, 0.0271, 0)</f>
        <v>23.521800000000002</v>
      </c>
      <c r="D201" s="4">
        <f>29.8213 * CHOOSE(CONTROL!$C$9, $C$13, 100%, $E$13) + CHOOSE(CONTROL!$C$28, 0, 0)</f>
        <v>29.821300000000001</v>
      </c>
      <c r="E201" s="4">
        <f>140.786595070975 * CHOOSE(CONTROL!$C$9, $C$13, 100%, $E$13) + CHOOSE(CONTROL!$C$28, 0, 0)</f>
        <v>140.78659507097501</v>
      </c>
    </row>
    <row r="202" spans="1:5" ht="15">
      <c r="A202" s="13">
        <v>47635</v>
      </c>
      <c r="B202" s="4">
        <f>23.8766 * CHOOSE(CONTROL!$C$9, $C$13, 100%, $E$13) + CHOOSE(CONTROL!$C$28, 0.0271, 0)</f>
        <v>23.903700000000001</v>
      </c>
      <c r="C202" s="4">
        <f>23.5641 * CHOOSE(CONTROL!$C$9, $C$13, 100%, $E$13) + CHOOSE(CONTROL!$C$28, 0.0271, 0)</f>
        <v>23.591200000000001</v>
      </c>
      <c r="D202" s="4">
        <f>30.0869 * CHOOSE(CONTROL!$C$9, $C$13, 100%, $E$13) + CHOOSE(CONTROL!$C$28, 0, 0)</f>
        <v>30.0869</v>
      </c>
      <c r="E202" s="4">
        <f>141.232063039106 * CHOOSE(CONTROL!$C$9, $C$13, 100%, $E$13) + CHOOSE(CONTROL!$C$28, 0, 0)</f>
        <v>141.23206303910601</v>
      </c>
    </row>
    <row r="203" spans="1:5" ht="15">
      <c r="A203" s="13">
        <v>47665</v>
      </c>
      <c r="B203" s="4">
        <f>23.8696 * CHOOSE(CONTROL!$C$9, $C$13, 100%, $E$13) + CHOOSE(CONTROL!$C$28, 0.0271, 0)</f>
        <v>23.896699999999999</v>
      </c>
      <c r="C203" s="4">
        <f>23.5571 * CHOOSE(CONTROL!$C$9, $C$13, 100%, $E$13) + CHOOSE(CONTROL!$C$28, 0.0271, 0)</f>
        <v>23.584199999999999</v>
      </c>
      <c r="D203" s="4">
        <f>30.5661 * CHOOSE(CONTROL!$C$9, $C$13, 100%, $E$13) + CHOOSE(CONTROL!$C$28, 0, 0)</f>
        <v>30.566099999999999</v>
      </c>
      <c r="E203" s="4">
        <f>141.187141899463 * CHOOSE(CONTROL!$C$9, $C$13, 100%, $E$13) + CHOOSE(CONTROL!$C$28, 0, 0)</f>
        <v>141.187141899463</v>
      </c>
    </row>
    <row r="204" spans="1:5" ht="15">
      <c r="A204" s="13">
        <v>47696</v>
      </c>
      <c r="B204" s="4">
        <f>24.3962 * CHOOSE(CONTROL!$C$9, $C$13, 100%, $E$13) + CHOOSE(CONTROL!$C$28, 0.0271, 0)</f>
        <v>24.423300000000001</v>
      </c>
      <c r="C204" s="4">
        <f>24.0837 * CHOOSE(CONTROL!$C$9, $C$13, 100%, $E$13) + CHOOSE(CONTROL!$C$28, 0.0271, 0)</f>
        <v>24.110800000000001</v>
      </c>
      <c r="D204" s="4">
        <f>30.2497 * CHOOSE(CONTROL!$C$9, $C$13, 100%, $E$13) + CHOOSE(CONTROL!$C$28, 0, 0)</f>
        <v>30.249700000000001</v>
      </c>
      <c r="E204" s="4">
        <f>144.567457657635 * CHOOSE(CONTROL!$C$9, $C$13, 100%, $E$13) + CHOOSE(CONTROL!$C$28, 0, 0)</f>
        <v>144.567457657635</v>
      </c>
    </row>
    <row r="205" spans="1:5" ht="15">
      <c r="A205" s="13">
        <v>47727</v>
      </c>
      <c r="B205" s="4">
        <f>23.4987 * CHOOSE(CONTROL!$C$9, $C$13, 100%, $E$13) + CHOOSE(CONTROL!$C$28, 0.0271, 0)</f>
        <v>23.5258</v>
      </c>
      <c r="C205" s="4">
        <f>23.1862 * CHOOSE(CONTROL!$C$9, $C$13, 100%, $E$13) + CHOOSE(CONTROL!$C$28, 0.0271, 0)</f>
        <v>23.2133</v>
      </c>
      <c r="D205" s="4">
        <f>30.1001 * CHOOSE(CONTROL!$C$9, $C$13, 100%, $E$13) + CHOOSE(CONTROL!$C$28, 0, 0)</f>
        <v>30.100100000000001</v>
      </c>
      <c r="E205" s="4">
        <f>138.806321498358 * CHOOSE(CONTROL!$C$9, $C$13, 100%, $E$13) + CHOOSE(CONTROL!$C$28, 0, 0)</f>
        <v>138.80632149835799</v>
      </c>
    </row>
    <row r="206" spans="1:5" ht="15">
      <c r="A206" s="13">
        <v>47757</v>
      </c>
      <c r="B206" s="4">
        <f>22.7802 * CHOOSE(CONTROL!$C$9, $C$13, 100%, $E$13) + CHOOSE(CONTROL!$C$28, 0.0003, 0)</f>
        <v>22.7805</v>
      </c>
      <c r="C206" s="4">
        <f>22.4677 * CHOOSE(CONTROL!$C$9, $C$13, 100%, $E$13) + CHOOSE(CONTROL!$C$28, 0.0003, 0)</f>
        <v>22.468</v>
      </c>
      <c r="D206" s="4">
        <f>29.6998 * CHOOSE(CONTROL!$C$9, $C$13, 100%, $E$13) + CHOOSE(CONTROL!$C$28, 0, 0)</f>
        <v>29.6998</v>
      </c>
      <c r="E206" s="4">
        <f>134.194417828294 * CHOOSE(CONTROL!$C$9, $C$13, 100%, $E$13) + CHOOSE(CONTROL!$C$28, 0, 0)</f>
        <v>134.19441782829401</v>
      </c>
    </row>
    <row r="207" spans="1:5" ht="15">
      <c r="A207" s="13">
        <v>47788</v>
      </c>
      <c r="B207" s="4">
        <f>22.3175 * CHOOSE(CONTROL!$C$9, $C$13, 100%, $E$13) + CHOOSE(CONTROL!$C$28, 0.0003, 0)</f>
        <v>22.317799999999998</v>
      </c>
      <c r="C207" s="4">
        <f>22.005 * CHOOSE(CONTROL!$C$9, $C$13, 100%, $E$13) + CHOOSE(CONTROL!$C$28, 0.0003, 0)</f>
        <v>22.005299999999998</v>
      </c>
      <c r="D207" s="4">
        <f>29.5621 * CHOOSE(CONTROL!$C$9, $C$13, 100%, $E$13) + CHOOSE(CONTROL!$C$28, 0, 0)</f>
        <v>29.562100000000001</v>
      </c>
      <c r="E207" s="4">
        <f>131.224007469369 * CHOOSE(CONTROL!$C$9, $C$13, 100%, $E$13) + CHOOSE(CONTROL!$C$28, 0, 0)</f>
        <v>131.22400746936901</v>
      </c>
    </row>
    <row r="208" spans="1:5" ht="15">
      <c r="A208" s="13">
        <v>47818</v>
      </c>
      <c r="B208" s="4">
        <f>21.9973 * CHOOSE(CONTROL!$C$9, $C$13, 100%, $E$13) + CHOOSE(CONTROL!$C$28, 0.0003, 0)</f>
        <v>21.997599999999998</v>
      </c>
      <c r="C208" s="4">
        <f>21.6848 * CHOOSE(CONTROL!$C$9, $C$13, 100%, $E$13) + CHOOSE(CONTROL!$C$28, 0.0003, 0)</f>
        <v>21.685099999999998</v>
      </c>
      <c r="D208" s="4">
        <f>28.5488 * CHOOSE(CONTROL!$C$9, $C$13, 100%, $E$13) + CHOOSE(CONTROL!$C$28, 0, 0)</f>
        <v>28.5488</v>
      </c>
      <c r="E208" s="4">
        <f>129.16886533068 * CHOOSE(CONTROL!$C$9, $C$13, 100%, $E$13) + CHOOSE(CONTROL!$C$28, 0, 0)</f>
        <v>129.16886533068001</v>
      </c>
    </row>
    <row r="209" spans="1:5" ht="15">
      <c r="A209" s="13">
        <v>47849</v>
      </c>
      <c r="B209" s="4">
        <f>21.4985 * CHOOSE(CONTROL!$C$9, $C$13, 100%, $E$13) + CHOOSE(CONTROL!$C$28, 0.0003, 0)</f>
        <v>21.498799999999999</v>
      </c>
      <c r="C209" s="4">
        <f>21.186 * CHOOSE(CONTROL!$C$9, $C$13, 100%, $E$13) + CHOOSE(CONTROL!$C$28, 0.0003, 0)</f>
        <v>21.186299999999999</v>
      </c>
      <c r="D209" s="4">
        <f>27.7242 * CHOOSE(CONTROL!$C$9, $C$13, 100%, $E$13) + CHOOSE(CONTROL!$C$28, 0, 0)</f>
        <v>27.7242</v>
      </c>
      <c r="E209" s="4">
        <f>126.024573077483 * CHOOSE(CONTROL!$C$9, $C$13, 100%, $E$13) + CHOOSE(CONTROL!$C$28, 0, 0)</f>
        <v>126.024573077483</v>
      </c>
    </row>
    <row r="210" spans="1:5" ht="15">
      <c r="A210" s="13">
        <v>47880</v>
      </c>
      <c r="B210" s="4">
        <f>21.9644 * CHOOSE(CONTROL!$C$9, $C$13, 100%, $E$13) + CHOOSE(CONTROL!$C$28, 0.0003, 0)</f>
        <v>21.964700000000001</v>
      </c>
      <c r="C210" s="4">
        <f>21.6519 * CHOOSE(CONTROL!$C$9, $C$13, 100%, $E$13) + CHOOSE(CONTROL!$C$28, 0.0003, 0)</f>
        <v>21.652200000000001</v>
      </c>
      <c r="D210" s="4">
        <f>28.6658 * CHOOSE(CONTROL!$C$9, $C$13, 100%, $E$13) + CHOOSE(CONTROL!$C$28, 0, 0)</f>
        <v>28.665800000000001</v>
      </c>
      <c r="E210" s="4">
        <f>129.016893093772 * CHOOSE(CONTROL!$C$9, $C$13, 100%, $E$13) + CHOOSE(CONTROL!$C$28, 0, 0)</f>
        <v>129.01689309377201</v>
      </c>
    </row>
    <row r="211" spans="1:5" ht="15">
      <c r="A211" s="13">
        <v>47908</v>
      </c>
      <c r="B211" s="4">
        <f>23.188 * CHOOSE(CONTROL!$C$9, $C$13, 100%, $E$13) + CHOOSE(CONTROL!$C$28, 0.0003, 0)</f>
        <v>23.188299999999998</v>
      </c>
      <c r="C211" s="4">
        <f>22.8755 * CHOOSE(CONTROL!$C$9, $C$13, 100%, $E$13) + CHOOSE(CONTROL!$C$28, 0.0003, 0)</f>
        <v>22.875799999999998</v>
      </c>
      <c r="D211" s="4">
        <f>30.1399 * CHOOSE(CONTROL!$C$9, $C$13, 100%, $E$13) + CHOOSE(CONTROL!$C$28, 0, 0)</f>
        <v>30.139900000000001</v>
      </c>
      <c r="E211" s="4">
        <f>136.874884478091 * CHOOSE(CONTROL!$C$9, $C$13, 100%, $E$13) + CHOOSE(CONTROL!$C$28, 0, 0)</f>
        <v>136.87488447809099</v>
      </c>
    </row>
    <row r="212" spans="1:5" ht="15">
      <c r="A212" s="13">
        <v>47939</v>
      </c>
      <c r="B212" s="4">
        <f>24.0574 * CHOOSE(CONTROL!$C$9, $C$13, 100%, $E$13) + CHOOSE(CONTROL!$C$28, 0.0003, 0)</f>
        <v>24.057700000000001</v>
      </c>
      <c r="C212" s="4">
        <f>23.7449 * CHOOSE(CONTROL!$C$9, $C$13, 100%, $E$13) + CHOOSE(CONTROL!$C$28, 0.0003, 0)</f>
        <v>23.745200000000001</v>
      </c>
      <c r="D212" s="4">
        <f>30.989 * CHOOSE(CONTROL!$C$9, $C$13, 100%, $E$13) + CHOOSE(CONTROL!$C$28, 0, 0)</f>
        <v>30.989000000000001</v>
      </c>
      <c r="E212" s="4">
        <f>142.458092078154 * CHOOSE(CONTROL!$C$9, $C$13, 100%, $E$13) + CHOOSE(CONTROL!$C$28, 0, 0)</f>
        <v>142.45809207815401</v>
      </c>
    </row>
    <row r="213" spans="1:5" ht="15">
      <c r="A213" s="13">
        <v>47969</v>
      </c>
      <c r="B213" s="4">
        <f>24.5885 * CHOOSE(CONTROL!$C$9, $C$13, 100%, $E$13) + CHOOSE(CONTROL!$C$28, 0.0271, 0)</f>
        <v>24.615600000000001</v>
      </c>
      <c r="C213" s="4">
        <f>24.276 * CHOOSE(CONTROL!$C$9, $C$13, 100%, $E$13) + CHOOSE(CONTROL!$C$28, 0.0271, 0)</f>
        <v>24.303100000000001</v>
      </c>
      <c r="D213" s="4">
        <f>30.6535 * CHOOSE(CONTROL!$C$9, $C$13, 100%, $E$13) + CHOOSE(CONTROL!$C$28, 0, 0)</f>
        <v>30.653500000000001</v>
      </c>
      <c r="E213" s="4">
        <f>145.869298110981 * CHOOSE(CONTROL!$C$9, $C$13, 100%, $E$13) + CHOOSE(CONTROL!$C$28, 0, 0)</f>
        <v>145.86929811098099</v>
      </c>
    </row>
    <row r="214" spans="1:5" ht="15">
      <c r="A214" s="13">
        <v>48000</v>
      </c>
      <c r="B214" s="4">
        <f>24.6604 * CHOOSE(CONTROL!$C$9, $C$13, 100%, $E$13) + CHOOSE(CONTROL!$C$28, 0.0271, 0)</f>
        <v>24.6875</v>
      </c>
      <c r="C214" s="4">
        <f>24.3479 * CHOOSE(CONTROL!$C$9, $C$13, 100%, $E$13) + CHOOSE(CONTROL!$C$28, 0.0271, 0)</f>
        <v>24.375</v>
      </c>
      <c r="D214" s="4">
        <f>30.9267 * CHOOSE(CONTROL!$C$9, $C$13, 100%, $E$13) + CHOOSE(CONTROL!$C$28, 0, 0)</f>
        <v>30.9267</v>
      </c>
      <c r="E214" s="4">
        <f>146.330848444019 * CHOOSE(CONTROL!$C$9, $C$13, 100%, $E$13) + CHOOSE(CONTROL!$C$28, 0, 0)</f>
        <v>146.33084844401901</v>
      </c>
    </row>
    <row r="215" spans="1:5" ht="15">
      <c r="A215" s="13">
        <v>48030</v>
      </c>
      <c r="B215" s="4">
        <f>24.6532 * CHOOSE(CONTROL!$C$9, $C$13, 100%, $E$13) + CHOOSE(CONTROL!$C$28, 0.0271, 0)</f>
        <v>24.680299999999999</v>
      </c>
      <c r="C215" s="4">
        <f>24.3407 * CHOOSE(CONTROL!$C$9, $C$13, 100%, $E$13) + CHOOSE(CONTROL!$C$28, 0.0271, 0)</f>
        <v>24.367799999999999</v>
      </c>
      <c r="D215" s="4">
        <f>31.4198 * CHOOSE(CONTROL!$C$9, $C$13, 100%, $E$13) + CHOOSE(CONTROL!$C$28, 0, 0)</f>
        <v>31.419799999999999</v>
      </c>
      <c r="E215" s="4">
        <f>146.284305553292 * CHOOSE(CONTROL!$C$9, $C$13, 100%, $E$13) + CHOOSE(CONTROL!$C$28, 0, 0)</f>
        <v>146.284305553292</v>
      </c>
    </row>
    <row r="216" spans="1:5" ht="15">
      <c r="A216" s="13">
        <v>48061</v>
      </c>
      <c r="B216" s="4">
        <f>25.1985 * CHOOSE(CONTROL!$C$9, $C$13, 100%, $E$13) + CHOOSE(CONTROL!$C$28, 0.0271, 0)</f>
        <v>25.2256</v>
      </c>
      <c r="C216" s="4">
        <f>24.886 * CHOOSE(CONTROL!$C$9, $C$13, 100%, $E$13) + CHOOSE(CONTROL!$C$28, 0.0271, 0)</f>
        <v>24.9131</v>
      </c>
      <c r="D216" s="4">
        <f>31.0942 * CHOOSE(CONTROL!$C$9, $C$13, 100%, $E$13) + CHOOSE(CONTROL!$C$28, 0, 0)</f>
        <v>31.094200000000001</v>
      </c>
      <c r="E216" s="4">
        <f>149.786658080459 * CHOOSE(CONTROL!$C$9, $C$13, 100%, $E$13) + CHOOSE(CONTROL!$C$28, 0, 0)</f>
        <v>149.78665808045901</v>
      </c>
    </row>
    <row r="217" spans="1:5" ht="15">
      <c r="A217" s="13">
        <v>48092</v>
      </c>
      <c r="B217" s="4">
        <f>24.2691 * CHOOSE(CONTROL!$C$9, $C$13, 100%, $E$13) + CHOOSE(CONTROL!$C$28, 0.0271, 0)</f>
        <v>24.296200000000002</v>
      </c>
      <c r="C217" s="4">
        <f>23.9566 * CHOOSE(CONTROL!$C$9, $C$13, 100%, $E$13) + CHOOSE(CONTROL!$C$28, 0.0271, 0)</f>
        <v>23.983700000000002</v>
      </c>
      <c r="D217" s="4">
        <f>30.9403 * CHOOSE(CONTROL!$C$9, $C$13, 100%, $E$13) + CHOOSE(CONTROL!$C$28, 0, 0)</f>
        <v>30.940300000000001</v>
      </c>
      <c r="E217" s="4">
        <f>143.817532344789 * CHOOSE(CONTROL!$C$9, $C$13, 100%, $E$13) + CHOOSE(CONTROL!$C$28, 0, 0)</f>
        <v>143.81753234478899</v>
      </c>
    </row>
    <row r="218" spans="1:5" ht="15">
      <c r="A218" s="13">
        <v>48122</v>
      </c>
      <c r="B218" s="4">
        <f>23.525 * CHOOSE(CONTROL!$C$9, $C$13, 100%, $E$13) + CHOOSE(CONTROL!$C$28, 0.0003, 0)</f>
        <v>23.525299999999998</v>
      </c>
      <c r="C218" s="4">
        <f>23.2125 * CHOOSE(CONTROL!$C$9, $C$13, 100%, $E$13) + CHOOSE(CONTROL!$C$28, 0.0003, 0)</f>
        <v>23.212799999999998</v>
      </c>
      <c r="D218" s="4">
        <f>30.5284 * CHOOSE(CONTROL!$C$9, $C$13, 100%, $E$13) + CHOOSE(CONTROL!$C$28, 0, 0)</f>
        <v>30.528400000000001</v>
      </c>
      <c r="E218" s="4">
        <f>139.039128896872 * CHOOSE(CONTROL!$C$9, $C$13, 100%, $E$13) + CHOOSE(CONTROL!$C$28, 0, 0)</f>
        <v>139.039128896872</v>
      </c>
    </row>
    <row r="219" spans="1:5" ht="15">
      <c r="A219" s="13">
        <v>48153</v>
      </c>
      <c r="B219" s="4">
        <f>23.0458 * CHOOSE(CONTROL!$C$9, $C$13, 100%, $E$13) + CHOOSE(CONTROL!$C$28, 0.0003, 0)</f>
        <v>23.046099999999999</v>
      </c>
      <c r="C219" s="4">
        <f>22.7333 * CHOOSE(CONTROL!$C$9, $C$13, 100%, $E$13) + CHOOSE(CONTROL!$C$28, 0.0003, 0)</f>
        <v>22.733599999999999</v>
      </c>
      <c r="D219" s="4">
        <f>30.3868 * CHOOSE(CONTROL!$C$9, $C$13, 100%, $E$13) + CHOOSE(CONTROL!$C$28, 0, 0)</f>
        <v>30.386800000000001</v>
      </c>
      <c r="E219" s="4">
        <f>135.961480247584 * CHOOSE(CONTROL!$C$9, $C$13, 100%, $E$13) + CHOOSE(CONTROL!$C$28, 0, 0)</f>
        <v>135.96148024758401</v>
      </c>
    </row>
    <row r="220" spans="1:5" ht="15">
      <c r="A220" s="13">
        <v>48183</v>
      </c>
      <c r="B220" s="4">
        <f>22.7142 * CHOOSE(CONTROL!$C$9, $C$13, 100%, $E$13) + CHOOSE(CONTROL!$C$28, 0.0003, 0)</f>
        <v>22.714500000000001</v>
      </c>
      <c r="C220" s="4">
        <f>22.4017 * CHOOSE(CONTROL!$C$9, $C$13, 100%, $E$13) + CHOOSE(CONTROL!$C$28, 0.0003, 0)</f>
        <v>22.402000000000001</v>
      </c>
      <c r="D220" s="4">
        <f>29.3441 * CHOOSE(CONTROL!$C$9, $C$13, 100%, $E$13) + CHOOSE(CONTROL!$C$28, 0, 0)</f>
        <v>29.344100000000001</v>
      </c>
      <c r="E220" s="4">
        <f>133.832142996848 * CHOOSE(CONTROL!$C$9, $C$13, 100%, $E$13) + CHOOSE(CONTROL!$C$28, 0, 0)</f>
        <v>133.83214299684801</v>
      </c>
    </row>
    <row r="221" spans="1:5" ht="15">
      <c r="A221" s="13">
        <v>48214</v>
      </c>
      <c r="B221" s="4">
        <f>22.1877 * CHOOSE(CONTROL!$C$9, $C$13, 100%, $E$13) + CHOOSE(CONTROL!$C$28, 0.0003, 0)</f>
        <v>22.187999999999999</v>
      </c>
      <c r="C221" s="4">
        <f>21.8752 * CHOOSE(CONTROL!$C$9, $C$13, 100%, $E$13) + CHOOSE(CONTROL!$C$28, 0.0003, 0)</f>
        <v>21.875499999999999</v>
      </c>
      <c r="D221" s="4">
        <f>28.474 * CHOOSE(CONTROL!$C$9, $C$13, 100%, $E$13) + CHOOSE(CONTROL!$C$28, 0, 0)</f>
        <v>28.474</v>
      </c>
      <c r="E221" s="4">
        <f>130.404589835371 * CHOOSE(CONTROL!$C$9, $C$13, 100%, $E$13) + CHOOSE(CONTROL!$C$28, 0, 0)</f>
        <v>130.40458983537101</v>
      </c>
    </row>
    <row r="222" spans="1:5" ht="15">
      <c r="A222" s="13">
        <v>48245</v>
      </c>
      <c r="B222" s="4">
        <f>22.67 * CHOOSE(CONTROL!$C$9, $C$13, 100%, $E$13) + CHOOSE(CONTROL!$C$28, 0.0003, 0)</f>
        <v>22.670300000000001</v>
      </c>
      <c r="C222" s="4">
        <f>22.3575 * CHOOSE(CONTROL!$C$9, $C$13, 100%, $E$13) + CHOOSE(CONTROL!$C$28, 0.0003, 0)</f>
        <v>22.357800000000001</v>
      </c>
      <c r="D222" s="4">
        <f>29.4421 * CHOOSE(CONTROL!$C$9, $C$13, 100%, $E$13) + CHOOSE(CONTROL!$C$28, 0, 0)</f>
        <v>29.4421</v>
      </c>
      <c r="E222" s="4">
        <f>133.500908710741 * CHOOSE(CONTROL!$C$9, $C$13, 100%, $E$13) + CHOOSE(CONTROL!$C$28, 0, 0)</f>
        <v>133.50090871074099</v>
      </c>
    </row>
    <row r="223" spans="1:5" ht="15">
      <c r="A223" s="13">
        <v>48274</v>
      </c>
      <c r="B223" s="4">
        <f>23.9365 * CHOOSE(CONTROL!$C$9, $C$13, 100%, $E$13) + CHOOSE(CONTROL!$C$28, 0.0003, 0)</f>
        <v>23.936799999999998</v>
      </c>
      <c r="C223" s="4">
        <f>23.624 * CHOOSE(CONTROL!$C$9, $C$13, 100%, $E$13) + CHOOSE(CONTROL!$C$28, 0.0003, 0)</f>
        <v>23.624299999999998</v>
      </c>
      <c r="D223" s="4">
        <f>30.9576 * CHOOSE(CONTROL!$C$9, $C$13, 100%, $E$13) + CHOOSE(CONTROL!$C$28, 0, 0)</f>
        <v>30.957599999999999</v>
      </c>
      <c r="E223" s="4">
        <f>141.632006625844 * CHOOSE(CONTROL!$C$9, $C$13, 100%, $E$13) + CHOOSE(CONTROL!$C$28, 0, 0)</f>
        <v>141.63200662584401</v>
      </c>
    </row>
    <row r="224" spans="1:5" ht="15">
      <c r="A224" s="13">
        <v>48305</v>
      </c>
      <c r="B224" s="4">
        <f>24.8364 * CHOOSE(CONTROL!$C$9, $C$13, 100%, $E$13) + CHOOSE(CONTROL!$C$28, 0.0003, 0)</f>
        <v>24.8367</v>
      </c>
      <c r="C224" s="4">
        <f>24.5239 * CHOOSE(CONTROL!$C$9, $C$13, 100%, $E$13) + CHOOSE(CONTROL!$C$28, 0.0003, 0)</f>
        <v>24.5242</v>
      </c>
      <c r="D224" s="4">
        <f>31.8306 * CHOOSE(CONTROL!$C$9, $C$13, 100%, $E$13) + CHOOSE(CONTROL!$C$28, 0, 0)</f>
        <v>31.8306</v>
      </c>
      <c r="E224" s="4">
        <f>147.409260055651 * CHOOSE(CONTROL!$C$9, $C$13, 100%, $E$13) + CHOOSE(CONTROL!$C$28, 0, 0)</f>
        <v>147.409260055651</v>
      </c>
    </row>
    <row r="225" spans="1:5" ht="15">
      <c r="A225" s="13">
        <v>48335</v>
      </c>
      <c r="B225" s="4">
        <f>25.3863 * CHOOSE(CONTROL!$C$9, $C$13, 100%, $E$13) + CHOOSE(CONTROL!$C$28, 0.0271, 0)</f>
        <v>25.413399999999999</v>
      </c>
      <c r="C225" s="4">
        <f>25.0738 * CHOOSE(CONTROL!$C$9, $C$13, 100%, $E$13) + CHOOSE(CONTROL!$C$28, 0.0271, 0)</f>
        <v>25.100899999999999</v>
      </c>
      <c r="D225" s="4">
        <f>31.4856 * CHOOSE(CONTROL!$C$9, $C$13, 100%, $E$13) + CHOOSE(CONTROL!$C$28, 0, 0)</f>
        <v>31.485600000000002</v>
      </c>
      <c r="E225" s="4">
        <f>150.939023439823 * CHOOSE(CONTROL!$C$9, $C$13, 100%, $E$13) + CHOOSE(CONTROL!$C$28, 0, 0)</f>
        <v>150.93902343982299</v>
      </c>
    </row>
    <row r="226" spans="1:5" ht="15">
      <c r="A226" s="13">
        <v>48366</v>
      </c>
      <c r="B226" s="4">
        <f>25.4607 * CHOOSE(CONTROL!$C$9, $C$13, 100%, $E$13) + CHOOSE(CONTROL!$C$28, 0.0271, 0)</f>
        <v>25.4878</v>
      </c>
      <c r="C226" s="4">
        <f>25.1482 * CHOOSE(CONTROL!$C$9, $C$13, 100%, $E$13) + CHOOSE(CONTROL!$C$28, 0.0271, 0)</f>
        <v>25.1753</v>
      </c>
      <c r="D226" s="4">
        <f>31.7666 * CHOOSE(CONTROL!$C$9, $C$13, 100%, $E$13) + CHOOSE(CONTROL!$C$28, 0, 0)</f>
        <v>31.7666</v>
      </c>
      <c r="E226" s="4">
        <f>151.416615074521 * CHOOSE(CONTROL!$C$9, $C$13, 100%, $E$13) + CHOOSE(CONTROL!$C$28, 0, 0)</f>
        <v>151.41661507452099</v>
      </c>
    </row>
    <row r="227" spans="1:5" ht="15">
      <c r="A227" s="13">
        <v>48396</v>
      </c>
      <c r="B227" s="4">
        <f>25.4531 * CHOOSE(CONTROL!$C$9, $C$13, 100%, $E$13) + CHOOSE(CONTROL!$C$28, 0.0271, 0)</f>
        <v>25.4802</v>
      </c>
      <c r="C227" s="4">
        <f>25.1406 * CHOOSE(CONTROL!$C$9, $C$13, 100%, $E$13) + CHOOSE(CONTROL!$C$28, 0.0271, 0)</f>
        <v>25.1677</v>
      </c>
      <c r="D227" s="4">
        <f>32.2735 * CHOOSE(CONTROL!$C$9, $C$13, 100%, $E$13) + CHOOSE(CONTROL!$C$28, 0, 0)</f>
        <v>32.273499999999999</v>
      </c>
      <c r="E227" s="4">
        <f>151.368454573543 * CHOOSE(CONTROL!$C$9, $C$13, 100%, $E$13) + CHOOSE(CONTROL!$C$28, 0, 0)</f>
        <v>151.368454573543</v>
      </c>
    </row>
    <row r="228" spans="1:5" ht="15">
      <c r="A228" s="13">
        <v>48427</v>
      </c>
      <c r="B228" s="4">
        <f>26.0177 * CHOOSE(CONTROL!$C$9, $C$13, 100%, $E$13) + CHOOSE(CONTROL!$C$28, 0.0271, 0)</f>
        <v>26.044800000000002</v>
      </c>
      <c r="C228" s="4">
        <f>25.7052 * CHOOSE(CONTROL!$C$9, $C$13, 100%, $E$13) + CHOOSE(CONTROL!$C$28, 0.0271, 0)</f>
        <v>25.732300000000002</v>
      </c>
      <c r="D228" s="4">
        <f>31.9387 * CHOOSE(CONTROL!$C$9, $C$13, 100%, $E$13) + CHOOSE(CONTROL!$C$28, 0, 0)</f>
        <v>31.938700000000001</v>
      </c>
      <c r="E228" s="4">
        <f>154.99253227213 * CHOOSE(CONTROL!$C$9, $C$13, 100%, $E$13) + CHOOSE(CONTROL!$C$28, 0, 0)</f>
        <v>154.99253227213001</v>
      </c>
    </row>
    <row r="229" spans="1:5" ht="15">
      <c r="A229" s="13">
        <v>48458</v>
      </c>
      <c r="B229" s="4">
        <f>25.0556 * CHOOSE(CONTROL!$C$9, $C$13, 100%, $E$13) + CHOOSE(CONTROL!$C$28, 0.0271, 0)</f>
        <v>25.082699999999999</v>
      </c>
      <c r="C229" s="4">
        <f>24.7431 * CHOOSE(CONTROL!$C$9, $C$13, 100%, $E$13) + CHOOSE(CONTROL!$C$28, 0.0271, 0)</f>
        <v>24.770199999999999</v>
      </c>
      <c r="D229" s="4">
        <f>31.7806 * CHOOSE(CONTROL!$C$9, $C$13, 100%, $E$13) + CHOOSE(CONTROL!$C$28, 0, 0)</f>
        <v>31.7806</v>
      </c>
      <c r="E229" s="4">
        <f>148.815948021714 * CHOOSE(CONTROL!$C$9, $C$13, 100%, $E$13) + CHOOSE(CONTROL!$C$28, 0, 0)</f>
        <v>148.81594802171401</v>
      </c>
    </row>
    <row r="230" spans="1:5" ht="15">
      <c r="A230" s="13">
        <v>48488</v>
      </c>
      <c r="B230" s="4">
        <f>24.2854 * CHOOSE(CONTROL!$C$9, $C$13, 100%, $E$13) + CHOOSE(CONTROL!$C$28, 0.0003, 0)</f>
        <v>24.285699999999999</v>
      </c>
      <c r="C230" s="4">
        <f>23.9729 * CHOOSE(CONTROL!$C$9, $C$13, 100%, $E$13) + CHOOSE(CONTROL!$C$28, 0.0003, 0)</f>
        <v>23.973199999999999</v>
      </c>
      <c r="D230" s="4">
        <f>31.357 * CHOOSE(CONTROL!$C$9, $C$13, 100%, $E$13) + CHOOSE(CONTROL!$C$28, 0, 0)</f>
        <v>31.356999999999999</v>
      </c>
      <c r="E230" s="4">
        <f>143.871469921316 * CHOOSE(CONTROL!$C$9, $C$13, 100%, $E$13) + CHOOSE(CONTROL!$C$28, 0, 0)</f>
        <v>143.87146992131599</v>
      </c>
    </row>
    <row r="231" spans="1:5" ht="15">
      <c r="A231" s="13">
        <v>48519</v>
      </c>
      <c r="B231" s="4">
        <f>23.7893 * CHOOSE(CONTROL!$C$9, $C$13, 100%, $E$13) + CHOOSE(CONTROL!$C$28, 0.0003, 0)</f>
        <v>23.7896</v>
      </c>
      <c r="C231" s="4">
        <f>23.4768 * CHOOSE(CONTROL!$C$9, $C$13, 100%, $E$13) + CHOOSE(CONTROL!$C$28, 0.0003, 0)</f>
        <v>23.4771</v>
      </c>
      <c r="D231" s="4">
        <f>31.2114 * CHOOSE(CONTROL!$C$9, $C$13, 100%, $E$13) + CHOOSE(CONTROL!$C$28, 0, 0)</f>
        <v>31.211400000000001</v>
      </c>
      <c r="E231" s="4">
        <f>140.686856794152 * CHOOSE(CONTROL!$C$9, $C$13, 100%, $E$13) + CHOOSE(CONTROL!$C$28, 0, 0)</f>
        <v>140.68685679415199</v>
      </c>
    </row>
    <row r="232" spans="1:5" ht="15">
      <c r="A232" s="13">
        <v>48549</v>
      </c>
      <c r="B232" s="4">
        <f>23.4461 * CHOOSE(CONTROL!$C$9, $C$13, 100%, $E$13) + CHOOSE(CONTROL!$C$28, 0.0003, 0)</f>
        <v>23.446400000000001</v>
      </c>
      <c r="C232" s="4">
        <f>23.1336 * CHOOSE(CONTROL!$C$9, $C$13, 100%, $E$13) + CHOOSE(CONTROL!$C$28, 0.0003, 0)</f>
        <v>23.133900000000001</v>
      </c>
      <c r="D232" s="4">
        <f>30.1395 * CHOOSE(CONTROL!$C$9, $C$13, 100%, $E$13) + CHOOSE(CONTROL!$C$28, 0, 0)</f>
        <v>30.139500000000002</v>
      </c>
      <c r="E232" s="4">
        <f>138.483513874413 * CHOOSE(CONTROL!$C$9, $C$13, 100%, $E$13) + CHOOSE(CONTROL!$C$28, 0, 0)</f>
        <v>138.48351387441301</v>
      </c>
    </row>
    <row r="233" spans="1:5" ht="15">
      <c r="A233" s="13">
        <v>48580</v>
      </c>
      <c r="B233" s="4">
        <f>22.8736 * CHOOSE(CONTROL!$C$9, $C$13, 100%, $E$13) + CHOOSE(CONTROL!$C$28, 0.0003, 0)</f>
        <v>22.873899999999999</v>
      </c>
      <c r="C233" s="4">
        <f>22.5611 * CHOOSE(CONTROL!$C$9, $C$13, 100%, $E$13) + CHOOSE(CONTROL!$C$28, 0.0003, 0)</f>
        <v>22.561399999999999</v>
      </c>
      <c r="D233" s="4">
        <f>29.2202 * CHOOSE(CONTROL!$C$9, $C$13, 100%, $E$13) + CHOOSE(CONTROL!$C$28, 0, 0)</f>
        <v>29.220199999999998</v>
      </c>
      <c r="E233" s="4">
        <f>134.773628589824 * CHOOSE(CONTROL!$C$9, $C$13, 100%, $E$13) + CHOOSE(CONTROL!$C$28, 0, 0)</f>
        <v>134.773628589824</v>
      </c>
    </row>
    <row r="234" spans="1:5" ht="15">
      <c r="A234" s="13">
        <v>48611</v>
      </c>
      <c r="B234" s="4">
        <f>23.3722 * CHOOSE(CONTROL!$C$9, $C$13, 100%, $E$13) + CHOOSE(CONTROL!$C$28, 0.0003, 0)</f>
        <v>23.372499999999999</v>
      </c>
      <c r="C234" s="4">
        <f>23.0597 * CHOOSE(CONTROL!$C$9, $C$13, 100%, $E$13) + CHOOSE(CONTROL!$C$28, 0.0003, 0)</f>
        <v>23.06</v>
      </c>
      <c r="D234" s="4">
        <f>30.2146 * CHOOSE(CONTROL!$C$9, $C$13, 100%, $E$13) + CHOOSE(CONTROL!$C$28, 0, 0)</f>
        <v>30.214600000000001</v>
      </c>
      <c r="E234" s="4">
        <f>137.973685663212 * CHOOSE(CONTROL!$C$9, $C$13, 100%, $E$13) + CHOOSE(CONTROL!$C$28, 0, 0)</f>
        <v>137.973685663212</v>
      </c>
    </row>
    <row r="235" spans="1:5" ht="15">
      <c r="A235" s="13">
        <v>48639</v>
      </c>
      <c r="B235" s="4">
        <f>24.6815 * CHOOSE(CONTROL!$C$9, $C$13, 100%, $E$13) + CHOOSE(CONTROL!$C$28, 0.0003, 0)</f>
        <v>24.681799999999999</v>
      </c>
      <c r="C235" s="4">
        <f>24.369 * CHOOSE(CONTROL!$C$9, $C$13, 100%, $E$13) + CHOOSE(CONTROL!$C$28, 0.0003, 0)</f>
        <v>24.369299999999999</v>
      </c>
      <c r="D235" s="4">
        <f>31.7714 * CHOOSE(CONTROL!$C$9, $C$13, 100%, $E$13) + CHOOSE(CONTROL!$C$28, 0, 0)</f>
        <v>31.7714</v>
      </c>
      <c r="E235" s="4">
        <f>146.377205599289 * CHOOSE(CONTROL!$C$9, $C$13, 100%, $E$13) + CHOOSE(CONTROL!$C$28, 0, 0)</f>
        <v>146.377205599289</v>
      </c>
    </row>
    <row r="236" spans="1:5" ht="15">
      <c r="A236" s="13">
        <v>48670</v>
      </c>
      <c r="B236" s="4">
        <f>25.6118 * CHOOSE(CONTROL!$C$9, $C$13, 100%, $E$13) + CHOOSE(CONTROL!$C$28, 0.0003, 0)</f>
        <v>25.612099999999998</v>
      </c>
      <c r="C236" s="4">
        <f>25.2993 * CHOOSE(CONTROL!$C$9, $C$13, 100%, $E$13) + CHOOSE(CONTROL!$C$28, 0.0003, 0)</f>
        <v>25.299599999999998</v>
      </c>
      <c r="D236" s="4">
        <f>32.6681 * CHOOSE(CONTROL!$C$9, $C$13, 100%, $E$13) + CHOOSE(CONTROL!$C$28, 0, 0)</f>
        <v>32.668100000000003</v>
      </c>
      <c r="E236" s="4">
        <f>152.348018505499 * CHOOSE(CONTROL!$C$9, $C$13, 100%, $E$13) + CHOOSE(CONTROL!$C$28, 0, 0)</f>
        <v>152.348018505499</v>
      </c>
    </row>
    <row r="237" spans="1:5" ht="15">
      <c r="A237" s="13">
        <v>48700</v>
      </c>
      <c r="B237" s="4">
        <f>26.1802 * CHOOSE(CONTROL!$C$9, $C$13, 100%, $E$13) + CHOOSE(CONTROL!$C$28, 0.0271, 0)</f>
        <v>26.2073</v>
      </c>
      <c r="C237" s="4">
        <f>25.8677 * CHOOSE(CONTROL!$C$9, $C$13, 100%, $E$13) + CHOOSE(CONTROL!$C$28, 0.0271, 0)</f>
        <v>25.8948</v>
      </c>
      <c r="D237" s="4">
        <f>32.3138 * CHOOSE(CONTROL!$C$9, $C$13, 100%, $E$13) + CHOOSE(CONTROL!$C$28, 0, 0)</f>
        <v>32.313800000000001</v>
      </c>
      <c r="E237" s="4">
        <f>155.996042090781 * CHOOSE(CONTROL!$C$9, $C$13, 100%, $E$13) + CHOOSE(CONTROL!$C$28, 0, 0)</f>
        <v>155.996042090781</v>
      </c>
    </row>
    <row r="238" spans="1:5" ht="15">
      <c r="A238" s="13">
        <v>48731</v>
      </c>
      <c r="B238" s="4">
        <f>26.2571 * CHOOSE(CONTROL!$C$9, $C$13, 100%, $E$13) + CHOOSE(CONTROL!$C$28, 0.0271, 0)</f>
        <v>26.284200000000002</v>
      </c>
      <c r="C238" s="4">
        <f>25.9446 * CHOOSE(CONTROL!$C$9, $C$13, 100%, $E$13) + CHOOSE(CONTROL!$C$28, 0.0271, 0)</f>
        <v>25.971700000000002</v>
      </c>
      <c r="D238" s="4">
        <f>32.6023 * CHOOSE(CONTROL!$C$9, $C$13, 100%, $E$13) + CHOOSE(CONTROL!$C$28, 0, 0)</f>
        <v>32.6023</v>
      </c>
      <c r="E238" s="4">
        <f>156.489634821478 * CHOOSE(CONTROL!$C$9, $C$13, 100%, $E$13) + CHOOSE(CONTROL!$C$28, 0, 0)</f>
        <v>156.48963482147801</v>
      </c>
    </row>
    <row r="239" spans="1:5" ht="15">
      <c r="A239" s="13">
        <v>48761</v>
      </c>
      <c r="B239" s="4">
        <f>26.2493 * CHOOSE(CONTROL!$C$9, $C$13, 100%, $E$13) + CHOOSE(CONTROL!$C$28, 0.0271, 0)</f>
        <v>26.276400000000002</v>
      </c>
      <c r="C239" s="4">
        <f>25.9368 * CHOOSE(CONTROL!$C$9, $C$13, 100%, $E$13) + CHOOSE(CONTROL!$C$28, 0.0271, 0)</f>
        <v>25.963900000000002</v>
      </c>
      <c r="D239" s="4">
        <f>33.1231 * CHOOSE(CONTROL!$C$9, $C$13, 100%, $E$13) + CHOOSE(CONTROL!$C$28, 0, 0)</f>
        <v>33.123100000000001</v>
      </c>
      <c r="E239" s="4">
        <f>156.439860764601 * CHOOSE(CONTROL!$C$9, $C$13, 100%, $E$13) + CHOOSE(CONTROL!$C$28, 0, 0)</f>
        <v>156.43986076460101</v>
      </c>
    </row>
    <row r="240" spans="1:5" ht="15">
      <c r="A240" s="13">
        <v>48792</v>
      </c>
      <c r="B240" s="4">
        <f>26.8329 * CHOOSE(CONTROL!$C$9, $C$13, 100%, $E$13) + CHOOSE(CONTROL!$C$28, 0.0271, 0)</f>
        <v>26.86</v>
      </c>
      <c r="C240" s="4">
        <f>26.5204 * CHOOSE(CONTROL!$C$9, $C$13, 100%, $E$13) + CHOOSE(CONTROL!$C$28, 0.0271, 0)</f>
        <v>26.547499999999999</v>
      </c>
      <c r="D240" s="4">
        <f>32.7792 * CHOOSE(CONTROL!$C$9, $C$13, 100%, $E$13) + CHOOSE(CONTROL!$C$28, 0, 0)</f>
        <v>32.779200000000003</v>
      </c>
      <c r="E240" s="4">
        <f>160.1853585446 * CHOOSE(CONTROL!$C$9, $C$13, 100%, $E$13) + CHOOSE(CONTROL!$C$28, 0, 0)</f>
        <v>160.18535854460001</v>
      </c>
    </row>
    <row r="241" spans="1:5" ht="15">
      <c r="A241" s="13">
        <v>48823</v>
      </c>
      <c r="B241" s="4">
        <f>25.8383 * CHOOSE(CONTROL!$C$9, $C$13, 100%, $E$13) + CHOOSE(CONTROL!$C$28, 0.0271, 0)</f>
        <v>25.865400000000001</v>
      </c>
      <c r="C241" s="4">
        <f>25.5258 * CHOOSE(CONTROL!$C$9, $C$13, 100%, $E$13) + CHOOSE(CONTROL!$C$28, 0.0271, 0)</f>
        <v>25.552900000000001</v>
      </c>
      <c r="D241" s="4">
        <f>32.6167 * CHOOSE(CONTROL!$C$9, $C$13, 100%, $E$13) + CHOOSE(CONTROL!$C$28, 0, 0)</f>
        <v>32.616700000000002</v>
      </c>
      <c r="E241" s="4">
        <f>153.801835750117 * CHOOSE(CONTROL!$C$9, $C$13, 100%, $E$13) + CHOOSE(CONTROL!$C$28, 0, 0)</f>
        <v>153.80183575011699</v>
      </c>
    </row>
    <row r="242" spans="1:5" ht="15">
      <c r="A242" s="13">
        <v>48853</v>
      </c>
      <c r="B242" s="4">
        <f>25.0421 * CHOOSE(CONTROL!$C$9, $C$13, 100%, $E$13) + CHOOSE(CONTROL!$C$28, 0.0003, 0)</f>
        <v>25.042400000000001</v>
      </c>
      <c r="C242" s="4">
        <f>24.7296 * CHOOSE(CONTROL!$C$9, $C$13, 100%, $E$13) + CHOOSE(CONTROL!$C$28, 0.0003, 0)</f>
        <v>24.729900000000001</v>
      </c>
      <c r="D242" s="4">
        <f>32.1817 * CHOOSE(CONTROL!$C$9, $C$13, 100%, $E$13) + CHOOSE(CONTROL!$C$28, 0, 0)</f>
        <v>32.181699999999999</v>
      </c>
      <c r="E242" s="4">
        <f>148.691699244072 * CHOOSE(CONTROL!$C$9, $C$13, 100%, $E$13) + CHOOSE(CONTROL!$C$28, 0, 0)</f>
        <v>148.691699244072</v>
      </c>
    </row>
    <row r="243" spans="1:5" ht="15">
      <c r="A243" s="13">
        <v>48884</v>
      </c>
      <c r="B243" s="4">
        <f>24.5293 * CHOOSE(CONTROL!$C$9, $C$13, 100%, $E$13) + CHOOSE(CONTROL!$C$28, 0.0003, 0)</f>
        <v>24.529599999999999</v>
      </c>
      <c r="C243" s="4">
        <f>24.2168 * CHOOSE(CONTROL!$C$9, $C$13, 100%, $E$13) + CHOOSE(CONTROL!$C$28, 0.0003, 0)</f>
        <v>24.217099999999999</v>
      </c>
      <c r="D243" s="4">
        <f>32.0321 * CHOOSE(CONTROL!$C$9, $C$13, 100%, $E$13) + CHOOSE(CONTROL!$C$28, 0, 0)</f>
        <v>32.0321</v>
      </c>
      <c r="E243" s="4">
        <f>145.400389733076 * CHOOSE(CONTROL!$C$9, $C$13, 100%, $E$13) + CHOOSE(CONTROL!$C$28, 0, 0)</f>
        <v>145.400389733076</v>
      </c>
    </row>
    <row r="244" spans="1:5" ht="15">
      <c r="A244" s="13">
        <v>48914</v>
      </c>
      <c r="B244" s="4">
        <f>24.1745 * CHOOSE(CONTROL!$C$9, $C$13, 100%, $E$13) + CHOOSE(CONTROL!$C$28, 0.0003, 0)</f>
        <v>24.174799999999998</v>
      </c>
      <c r="C244" s="4">
        <f>23.862 * CHOOSE(CONTROL!$C$9, $C$13, 100%, $E$13) + CHOOSE(CONTROL!$C$28, 0.0003, 0)</f>
        <v>23.862299999999998</v>
      </c>
      <c r="D244" s="4">
        <f>30.931 * CHOOSE(CONTROL!$C$9, $C$13, 100%, $E$13) + CHOOSE(CONTROL!$C$28, 0, 0)</f>
        <v>30.931000000000001</v>
      </c>
      <c r="E244" s="4">
        <f>143.123226630951 * CHOOSE(CONTROL!$C$9, $C$13, 100%, $E$13) + CHOOSE(CONTROL!$C$28, 0, 0)</f>
        <v>143.123226630951</v>
      </c>
    </row>
    <row r="245" spans="1:5" ht="15">
      <c r="A245" s="13">
        <v>48945</v>
      </c>
      <c r="B245" s="4">
        <f>23.5581 * CHOOSE(CONTROL!$C$9, $C$13, 100%, $E$13) + CHOOSE(CONTROL!$C$28, 0.0003, 0)</f>
        <v>23.558399999999999</v>
      </c>
      <c r="C245" s="4">
        <f>23.2456 * CHOOSE(CONTROL!$C$9, $C$13, 100%, $E$13) + CHOOSE(CONTROL!$C$28, 0.0003, 0)</f>
        <v>23.245899999999999</v>
      </c>
      <c r="D245" s="4">
        <f>29.9649 * CHOOSE(CONTROL!$C$9, $C$13, 100%, $E$13) + CHOOSE(CONTROL!$C$28, 0, 0)</f>
        <v>29.9649</v>
      </c>
      <c r="E245" s="4">
        <f>139.138576419535 * CHOOSE(CONTROL!$C$9, $C$13, 100%, $E$13) + CHOOSE(CONTROL!$C$28, 0, 0)</f>
        <v>139.13857641953501</v>
      </c>
    </row>
    <row r="246" spans="1:5" ht="15">
      <c r="A246" s="13">
        <v>48976</v>
      </c>
      <c r="B246" s="4">
        <f>24.073 * CHOOSE(CONTROL!$C$9, $C$13, 100%, $E$13) + CHOOSE(CONTROL!$C$28, 0.0003, 0)</f>
        <v>24.0733</v>
      </c>
      <c r="C246" s="4">
        <f>23.7605 * CHOOSE(CONTROL!$C$9, $C$13, 100%, $E$13) + CHOOSE(CONTROL!$C$28, 0.0003, 0)</f>
        <v>23.7608</v>
      </c>
      <c r="D246" s="4">
        <f>30.9856 * CHOOSE(CONTROL!$C$9, $C$13, 100%, $E$13) + CHOOSE(CONTROL!$C$28, 0, 0)</f>
        <v>30.985600000000002</v>
      </c>
      <c r="E246" s="4">
        <f>142.442274556264 * CHOOSE(CONTROL!$C$9, $C$13, 100%, $E$13) + CHOOSE(CONTROL!$C$28, 0, 0)</f>
        <v>142.44227455626401</v>
      </c>
    </row>
    <row r="247" spans="1:5" ht="15">
      <c r="A247" s="13">
        <v>49004</v>
      </c>
      <c r="B247" s="4">
        <f>25.425 * CHOOSE(CONTROL!$C$9, $C$13, 100%, $E$13) + CHOOSE(CONTROL!$C$28, 0.0003, 0)</f>
        <v>25.4253</v>
      </c>
      <c r="C247" s="4">
        <f>25.1125 * CHOOSE(CONTROL!$C$9, $C$13, 100%, $E$13) + CHOOSE(CONTROL!$C$28, 0.0003, 0)</f>
        <v>25.1128</v>
      </c>
      <c r="D247" s="4">
        <f>32.5835 * CHOOSE(CONTROL!$C$9, $C$13, 100%, $E$13) + CHOOSE(CONTROL!$C$28, 0, 0)</f>
        <v>32.583500000000001</v>
      </c>
      <c r="E247" s="4">
        <f>151.117961432496 * CHOOSE(CONTROL!$C$9, $C$13, 100%, $E$13) + CHOOSE(CONTROL!$C$28, 0, 0)</f>
        <v>151.117961432496</v>
      </c>
    </row>
    <row r="248" spans="1:5" ht="15">
      <c r="A248" s="13">
        <v>49035</v>
      </c>
      <c r="B248" s="4">
        <f>26.3856 * CHOOSE(CONTROL!$C$9, $C$13, 100%, $E$13) + CHOOSE(CONTROL!$C$28, 0.0003, 0)</f>
        <v>26.385899999999999</v>
      </c>
      <c r="C248" s="4">
        <f>26.0731 * CHOOSE(CONTROL!$C$9, $C$13, 100%, $E$13) + CHOOSE(CONTROL!$C$28, 0.0003, 0)</f>
        <v>26.073399999999999</v>
      </c>
      <c r="D248" s="4">
        <f>33.5039 * CHOOSE(CONTROL!$C$9, $C$13, 100%, $E$13) + CHOOSE(CONTROL!$C$28, 0, 0)</f>
        <v>33.503900000000002</v>
      </c>
      <c r="E248" s="4">
        <f>157.282152576789 * CHOOSE(CONTROL!$C$9, $C$13, 100%, $E$13) + CHOOSE(CONTROL!$C$28, 0, 0)</f>
        <v>157.282152576789</v>
      </c>
    </row>
    <row r="249" spans="1:5" ht="15">
      <c r="A249" s="13">
        <v>49065</v>
      </c>
      <c r="B249" s="4">
        <f>26.9725 * CHOOSE(CONTROL!$C$9, $C$13, 100%, $E$13) + CHOOSE(CONTROL!$C$28, 0.0271, 0)</f>
        <v>26.999600000000001</v>
      </c>
      <c r="C249" s="4">
        <f>26.66 * CHOOSE(CONTROL!$C$9, $C$13, 100%, $E$13) + CHOOSE(CONTROL!$C$28, 0.0271, 0)</f>
        <v>26.687100000000001</v>
      </c>
      <c r="D249" s="4">
        <f>33.1402 * CHOOSE(CONTROL!$C$9, $C$13, 100%, $E$13) + CHOOSE(CONTROL!$C$28, 0, 0)</f>
        <v>33.1402</v>
      </c>
      <c r="E249" s="4">
        <f>161.048325630908 * CHOOSE(CONTROL!$C$9, $C$13, 100%, $E$13) + CHOOSE(CONTROL!$C$28, 0, 0)</f>
        <v>161.04832563090801</v>
      </c>
    </row>
    <row r="250" spans="1:5" ht="15">
      <c r="A250" s="13">
        <v>49096</v>
      </c>
      <c r="B250" s="4">
        <f>27.0519 * CHOOSE(CONTROL!$C$9, $C$13, 100%, $E$13) + CHOOSE(CONTROL!$C$28, 0.0271, 0)</f>
        <v>27.079000000000001</v>
      </c>
      <c r="C250" s="4">
        <f>26.7394 * CHOOSE(CONTROL!$C$9, $C$13, 100%, $E$13) + CHOOSE(CONTROL!$C$28, 0.0271, 0)</f>
        <v>26.766500000000001</v>
      </c>
      <c r="D250" s="4">
        <f>33.4364 * CHOOSE(CONTROL!$C$9, $C$13, 100%, $E$13) + CHOOSE(CONTROL!$C$28, 0, 0)</f>
        <v>33.436399999999999</v>
      </c>
      <c r="E250" s="4">
        <f>161.55790447507 * CHOOSE(CONTROL!$C$9, $C$13, 100%, $E$13) + CHOOSE(CONTROL!$C$28, 0, 0)</f>
        <v>161.55790447506999</v>
      </c>
    </row>
    <row r="251" spans="1:5" ht="15">
      <c r="A251" s="13">
        <v>49126</v>
      </c>
      <c r="B251" s="4">
        <f>27.0439 * CHOOSE(CONTROL!$C$9, $C$13, 100%, $E$13) + CHOOSE(CONTROL!$C$28, 0.0271, 0)</f>
        <v>27.071000000000002</v>
      </c>
      <c r="C251" s="4">
        <f>26.7314 * CHOOSE(CONTROL!$C$9, $C$13, 100%, $E$13) + CHOOSE(CONTROL!$C$28, 0.0271, 0)</f>
        <v>26.758500000000002</v>
      </c>
      <c r="D251" s="4">
        <f>33.9709 * CHOOSE(CONTROL!$C$9, $C$13, 100%, $E$13) + CHOOSE(CONTROL!$C$28, 0, 0)</f>
        <v>33.9709</v>
      </c>
      <c r="E251" s="4">
        <f>161.506518373138 * CHOOSE(CONTROL!$C$9, $C$13, 100%, $E$13) + CHOOSE(CONTROL!$C$28, 0, 0)</f>
        <v>161.50651837313799</v>
      </c>
    </row>
    <row r="252" spans="1:5" ht="15">
      <c r="A252" s="13">
        <v>49157</v>
      </c>
      <c r="B252" s="4">
        <f>27.6465 * CHOOSE(CONTROL!$C$9, $C$13, 100%, $E$13) + CHOOSE(CONTROL!$C$28, 0.0271, 0)</f>
        <v>27.6736</v>
      </c>
      <c r="C252" s="4">
        <f>27.334 * CHOOSE(CONTROL!$C$9, $C$13, 100%, $E$13) + CHOOSE(CONTROL!$C$28, 0.0271, 0)</f>
        <v>27.3611</v>
      </c>
      <c r="D252" s="4">
        <f>33.6179 * CHOOSE(CONTROL!$C$9, $C$13, 100%, $E$13) + CHOOSE(CONTROL!$C$28, 0, 0)</f>
        <v>33.617899999999999</v>
      </c>
      <c r="E252" s="4">
        <f>165.373322543541 * CHOOSE(CONTROL!$C$9, $C$13, 100%, $E$13) + CHOOSE(CONTROL!$C$28, 0, 0)</f>
        <v>165.37332254354101</v>
      </c>
    </row>
    <row r="253" spans="1:5" ht="15">
      <c r="A253" s="13">
        <v>49188</v>
      </c>
      <c r="B253" s="4">
        <f>26.6195 * CHOOSE(CONTROL!$C$9, $C$13, 100%, $E$13) + CHOOSE(CONTROL!$C$28, 0.0271, 0)</f>
        <v>26.646599999999999</v>
      </c>
      <c r="C253" s="4">
        <f>26.307 * CHOOSE(CONTROL!$C$9, $C$13, 100%, $E$13) + CHOOSE(CONTROL!$C$28, 0.0271, 0)</f>
        <v>26.334099999999999</v>
      </c>
      <c r="D253" s="4">
        <f>33.4511 * CHOOSE(CONTROL!$C$9, $C$13, 100%, $E$13) + CHOOSE(CONTROL!$C$28, 0, 0)</f>
        <v>33.451099999999997</v>
      </c>
      <c r="E253" s="4">
        <f>158.783054970727 * CHOOSE(CONTROL!$C$9, $C$13, 100%, $E$13) + CHOOSE(CONTROL!$C$28, 0, 0)</f>
        <v>158.78305497072699</v>
      </c>
    </row>
    <row r="254" spans="1:5" ht="15">
      <c r="A254" s="13">
        <v>49218</v>
      </c>
      <c r="B254" s="4">
        <f>25.7973 * CHOOSE(CONTROL!$C$9, $C$13, 100%, $E$13) + CHOOSE(CONTROL!$C$28, 0.0003, 0)</f>
        <v>25.797599999999999</v>
      </c>
      <c r="C254" s="4">
        <f>25.4848 * CHOOSE(CONTROL!$C$9, $C$13, 100%, $E$13) + CHOOSE(CONTROL!$C$28, 0.0003, 0)</f>
        <v>25.485099999999999</v>
      </c>
      <c r="D254" s="4">
        <f>33.0046 * CHOOSE(CONTROL!$C$9, $C$13, 100%, $E$13) + CHOOSE(CONTROL!$C$28, 0, 0)</f>
        <v>33.004600000000003</v>
      </c>
      <c r="E254" s="4">
        <f>153.507415172347 * CHOOSE(CONTROL!$C$9, $C$13, 100%, $E$13) + CHOOSE(CONTROL!$C$28, 0, 0)</f>
        <v>153.50741517234701</v>
      </c>
    </row>
    <row r="255" spans="1:5" ht="15">
      <c r="A255" s="13">
        <v>49249</v>
      </c>
      <c r="B255" s="4">
        <f>25.2678 * CHOOSE(CONTROL!$C$9, $C$13, 100%, $E$13) + CHOOSE(CONTROL!$C$28, 0.0003, 0)</f>
        <v>25.2681</v>
      </c>
      <c r="C255" s="4">
        <f>24.9553 * CHOOSE(CONTROL!$C$9, $C$13, 100%, $E$13) + CHOOSE(CONTROL!$C$28, 0.0003, 0)</f>
        <v>24.9556</v>
      </c>
      <c r="D255" s="4">
        <f>32.8511 * CHOOSE(CONTROL!$C$9, $C$13, 100%, $E$13) + CHOOSE(CONTROL!$C$28, 0, 0)</f>
        <v>32.851100000000002</v>
      </c>
      <c r="E255" s="4">
        <f>150.109509182075 * CHOOSE(CONTROL!$C$9, $C$13, 100%, $E$13) + CHOOSE(CONTROL!$C$28, 0, 0)</f>
        <v>150.10950918207499</v>
      </c>
    </row>
    <row r="256" spans="1:5" ht="15">
      <c r="A256" s="13">
        <v>49279</v>
      </c>
      <c r="B256" s="4">
        <f>24.9014 * CHOOSE(CONTROL!$C$9, $C$13, 100%, $E$13) + CHOOSE(CONTROL!$C$28, 0.0003, 0)</f>
        <v>24.901699999999998</v>
      </c>
      <c r="C256" s="4">
        <f>24.5889 * CHOOSE(CONTROL!$C$9, $C$13, 100%, $E$13) + CHOOSE(CONTROL!$C$28, 0.0003, 0)</f>
        <v>24.589199999999998</v>
      </c>
      <c r="D256" s="4">
        <f>31.7209 * CHOOSE(CONTROL!$C$9, $C$13, 100%, $E$13) + CHOOSE(CONTROL!$C$28, 0, 0)</f>
        <v>31.7209</v>
      </c>
      <c r="E256" s="4">
        <f>147.758595018674 * CHOOSE(CONTROL!$C$9, $C$13, 100%, $E$13) + CHOOSE(CONTROL!$C$28, 0, 0)</f>
        <v>147.75859501867399</v>
      </c>
    </row>
    <row r="257" spans="1:5" ht="15">
      <c r="A257" s="13">
        <v>49310</v>
      </c>
      <c r="B257" s="4">
        <f>24.2429 * CHOOSE(CONTROL!$C$9, $C$13, 100%, $E$13) + CHOOSE(CONTROL!$C$28, 0.0003, 0)</f>
        <v>24.243199999999998</v>
      </c>
      <c r="C257" s="4">
        <f>23.9304 * CHOOSE(CONTROL!$C$9, $C$13, 100%, $E$13) + CHOOSE(CONTROL!$C$28, 0.0003, 0)</f>
        <v>23.930699999999998</v>
      </c>
      <c r="D257" s="4">
        <f>30.7349 * CHOOSE(CONTROL!$C$9, $C$13, 100%, $E$13) + CHOOSE(CONTROL!$C$28, 0, 0)</f>
        <v>30.7349</v>
      </c>
      <c r="E257" s="4">
        <f>143.501802479573 * CHOOSE(CONTROL!$C$9, $C$13, 100%, $E$13) + CHOOSE(CONTROL!$C$28, 0, 0)</f>
        <v>143.501802479573</v>
      </c>
    </row>
    <row r="258" spans="1:5" ht="15">
      <c r="A258" s="13">
        <v>49341</v>
      </c>
      <c r="B258" s="4">
        <f>24.774 * CHOOSE(CONTROL!$C$9, $C$13, 100%, $E$13) + CHOOSE(CONTROL!$C$28, 0.0003, 0)</f>
        <v>24.7743</v>
      </c>
      <c r="C258" s="4">
        <f>24.4615 * CHOOSE(CONTROL!$C$9, $C$13, 100%, $E$13) + CHOOSE(CONTROL!$C$28, 0.0003, 0)</f>
        <v>24.4618</v>
      </c>
      <c r="D258" s="4">
        <f>31.7828 * CHOOSE(CONTROL!$C$9, $C$13, 100%, $E$13) + CHOOSE(CONTROL!$C$28, 0, 0)</f>
        <v>31.782800000000002</v>
      </c>
      <c r="E258" s="4">
        <f>146.909100798046 * CHOOSE(CONTROL!$C$9, $C$13, 100%, $E$13) + CHOOSE(CONTROL!$C$28, 0, 0)</f>
        <v>146.90910079804601</v>
      </c>
    </row>
    <row r="259" spans="1:5" ht="15">
      <c r="A259" s="13">
        <v>49369</v>
      </c>
      <c r="B259" s="4">
        <f>26.1687 * CHOOSE(CONTROL!$C$9, $C$13, 100%, $E$13) + CHOOSE(CONTROL!$C$28, 0.0003, 0)</f>
        <v>26.169</v>
      </c>
      <c r="C259" s="4">
        <f>25.8562 * CHOOSE(CONTROL!$C$9, $C$13, 100%, $E$13) + CHOOSE(CONTROL!$C$28, 0.0003, 0)</f>
        <v>25.8565</v>
      </c>
      <c r="D259" s="4">
        <f>33.4232 * CHOOSE(CONTROL!$C$9, $C$13, 100%, $E$13) + CHOOSE(CONTROL!$C$28, 0, 0)</f>
        <v>33.423200000000001</v>
      </c>
      <c r="E259" s="4">
        <f>155.856847257186 * CHOOSE(CONTROL!$C$9, $C$13, 100%, $E$13) + CHOOSE(CONTROL!$C$28, 0, 0)</f>
        <v>155.85684725718599</v>
      </c>
    </row>
    <row r="260" spans="1:5" ht="15">
      <c r="A260" s="13">
        <v>49400</v>
      </c>
      <c r="B260" s="4">
        <f>27.1596 * CHOOSE(CONTROL!$C$9, $C$13, 100%, $E$13) + CHOOSE(CONTROL!$C$28, 0.0003, 0)</f>
        <v>27.1599</v>
      </c>
      <c r="C260" s="4">
        <f>26.8471 * CHOOSE(CONTROL!$C$9, $C$13, 100%, $E$13) + CHOOSE(CONTROL!$C$28, 0.0003, 0)</f>
        <v>26.8474</v>
      </c>
      <c r="D260" s="4">
        <f>34.3681 * CHOOSE(CONTROL!$C$9, $C$13, 100%, $E$13) + CHOOSE(CONTROL!$C$28, 0, 0)</f>
        <v>34.368099999999998</v>
      </c>
      <c r="E260" s="4">
        <f>162.214340360805 * CHOOSE(CONTROL!$C$9, $C$13, 100%, $E$13) + CHOOSE(CONTROL!$C$28, 0, 0)</f>
        <v>162.21434036080501</v>
      </c>
    </row>
    <row r="261" spans="1:5" ht="15">
      <c r="A261" s="13">
        <v>49430</v>
      </c>
      <c r="B261" s="4">
        <f>27.7651 * CHOOSE(CONTROL!$C$9, $C$13, 100%, $E$13) + CHOOSE(CONTROL!$C$28, 0.0271, 0)</f>
        <v>27.792200000000001</v>
      </c>
      <c r="C261" s="4">
        <f>27.4526 * CHOOSE(CONTROL!$C$9, $C$13, 100%, $E$13) + CHOOSE(CONTROL!$C$28, 0.0271, 0)</f>
        <v>27.479700000000001</v>
      </c>
      <c r="D261" s="4">
        <f>33.9947 * CHOOSE(CONTROL!$C$9, $C$13, 100%, $E$13) + CHOOSE(CONTROL!$C$28, 0, 0)</f>
        <v>33.994700000000002</v>
      </c>
      <c r="E261" s="4">
        <f>166.098616279272 * CHOOSE(CONTROL!$C$9, $C$13, 100%, $E$13) + CHOOSE(CONTROL!$C$28, 0, 0)</f>
        <v>166.09861627927199</v>
      </c>
    </row>
    <row r="262" spans="1:5" ht="15">
      <c r="A262" s="14">
        <v>49461</v>
      </c>
      <c r="B262" s="4">
        <f>27.847 * CHOOSE(CONTROL!$C$9, $C$13, 100%, $E$13) + CHOOSE(CONTROL!$C$28, 0.0271, 0)</f>
        <v>27.874100000000002</v>
      </c>
      <c r="C262" s="4">
        <f>27.5345 * CHOOSE(CONTROL!$C$9, $C$13, 100%, $E$13) + CHOOSE(CONTROL!$C$28, 0.0271, 0)</f>
        <v>27.561600000000002</v>
      </c>
      <c r="D262" s="4">
        <f>34.2988 * CHOOSE(CONTROL!$C$9, $C$13, 100%, $E$13) + CHOOSE(CONTROL!$C$28, 0, 0)</f>
        <v>34.2988</v>
      </c>
      <c r="E262" s="4">
        <f>166.624174931117 * CHOOSE(CONTROL!$C$9, $C$13, 100%, $E$13) + CHOOSE(CONTROL!$C$28, 0, 0)</f>
        <v>166.62417493111701</v>
      </c>
    </row>
    <row r="263" spans="1:5" ht="15">
      <c r="A263" s="14">
        <v>49491</v>
      </c>
      <c r="B263" s="4">
        <f>27.8387 * CHOOSE(CONTROL!$C$9, $C$13, 100%, $E$13) + CHOOSE(CONTROL!$C$28, 0.0271, 0)</f>
        <v>27.8658</v>
      </c>
      <c r="C263" s="4">
        <f>27.5262 * CHOOSE(CONTROL!$C$9, $C$13, 100%, $E$13) + CHOOSE(CONTROL!$C$28, 0.0271, 0)</f>
        <v>27.5533</v>
      </c>
      <c r="D263" s="4">
        <f>34.8475 * CHOOSE(CONTROL!$C$9, $C$13, 100%, $E$13) + CHOOSE(CONTROL!$C$28, 0, 0)</f>
        <v>34.847499999999997</v>
      </c>
      <c r="E263" s="4">
        <f>166.571177420006 * CHOOSE(CONTROL!$C$9, $C$13, 100%, $E$13) + CHOOSE(CONTROL!$C$28, 0, 0)</f>
        <v>166.57117742000599</v>
      </c>
    </row>
    <row r="264" spans="1:5" ht="15">
      <c r="A264" s="14">
        <v>49522</v>
      </c>
      <c r="B264" s="4">
        <f>28.4604 * CHOOSE(CONTROL!$C$9, $C$13, 100%, $E$13) + CHOOSE(CONTROL!$C$28, 0.0271, 0)</f>
        <v>28.487500000000001</v>
      </c>
      <c r="C264" s="4">
        <f>28.1479 * CHOOSE(CONTROL!$C$9, $C$13, 100%, $E$13) + CHOOSE(CONTROL!$C$28, 0.0271, 0)</f>
        <v>28.175000000000001</v>
      </c>
      <c r="D264" s="4">
        <f>34.4852 * CHOOSE(CONTROL!$C$9, $C$13, 100%, $E$13) + CHOOSE(CONTROL!$C$28, 0, 0)</f>
        <v>34.485199999999999</v>
      </c>
      <c r="E264" s="4">
        <f>170.559240131064 * CHOOSE(CONTROL!$C$9, $C$13, 100%, $E$13) + CHOOSE(CONTROL!$C$28, 0, 0)</f>
        <v>170.559240131064</v>
      </c>
    </row>
    <row r="265" spans="1:5" ht="15">
      <c r="A265" s="14">
        <v>49553</v>
      </c>
      <c r="B265" s="4">
        <f>27.4009 * CHOOSE(CONTROL!$C$9, $C$13, 100%, $E$13) + CHOOSE(CONTROL!$C$28, 0.0271, 0)</f>
        <v>27.428000000000001</v>
      </c>
      <c r="C265" s="4">
        <f>27.0884 * CHOOSE(CONTROL!$C$9, $C$13, 100%, $E$13) + CHOOSE(CONTROL!$C$28, 0.0271, 0)</f>
        <v>27.115500000000001</v>
      </c>
      <c r="D265" s="4">
        <f>34.314 * CHOOSE(CONTROL!$C$9, $C$13, 100%, $E$13) + CHOOSE(CONTROL!$C$28, 0, 0)</f>
        <v>34.314</v>
      </c>
      <c r="E265" s="4">
        <f>163.762309331155 * CHOOSE(CONTROL!$C$9, $C$13, 100%, $E$13) + CHOOSE(CONTROL!$C$28, 0, 0)</f>
        <v>163.762309331155</v>
      </c>
    </row>
    <row r="266" spans="1:5" ht="15">
      <c r="A266" s="14">
        <v>49583</v>
      </c>
      <c r="B266" s="4">
        <f>26.5528 * CHOOSE(CONTROL!$C$9, $C$13, 100%, $E$13) + CHOOSE(CONTROL!$C$28, 0.0003, 0)</f>
        <v>26.553100000000001</v>
      </c>
      <c r="C266" s="4">
        <f>26.2403 * CHOOSE(CONTROL!$C$9, $C$13, 100%, $E$13) + CHOOSE(CONTROL!$C$28, 0.0003, 0)</f>
        <v>26.240600000000001</v>
      </c>
      <c r="D266" s="4">
        <f>33.8555 * CHOOSE(CONTROL!$C$9, $C$13, 100%, $E$13) + CHOOSE(CONTROL!$C$28, 0, 0)</f>
        <v>33.855499999999999</v>
      </c>
      <c r="E266" s="4">
        <f>158.32123152382 * CHOOSE(CONTROL!$C$9, $C$13, 100%, $E$13) + CHOOSE(CONTROL!$C$28, 0, 0)</f>
        <v>158.32123152381999</v>
      </c>
    </row>
    <row r="267" spans="1:5" ht="15">
      <c r="A267" s="14">
        <v>49614</v>
      </c>
      <c r="B267" s="4">
        <f>26.0066 * CHOOSE(CONTROL!$C$9, $C$13, 100%, $E$13) + CHOOSE(CONTROL!$C$28, 0.0003, 0)</f>
        <v>26.006899999999998</v>
      </c>
      <c r="C267" s="4">
        <f>25.6941 * CHOOSE(CONTROL!$C$9, $C$13, 100%, $E$13) + CHOOSE(CONTROL!$C$28, 0.0003, 0)</f>
        <v>25.694399999999998</v>
      </c>
      <c r="D267" s="4">
        <f>33.6979 * CHOOSE(CONTROL!$C$9, $C$13, 100%, $E$13) + CHOOSE(CONTROL!$C$28, 0, 0)</f>
        <v>33.697899999999997</v>
      </c>
      <c r="E267" s="4">
        <f>154.816771101644 * CHOOSE(CONTROL!$C$9, $C$13, 100%, $E$13) + CHOOSE(CONTROL!$C$28, 0, 0)</f>
        <v>154.81677110164401</v>
      </c>
    </row>
    <row r="268" spans="1:5" ht="15">
      <c r="A268" s="14">
        <v>49644</v>
      </c>
      <c r="B268" s="4">
        <f>25.6286 * CHOOSE(CONTROL!$C$9, $C$13, 100%, $E$13) + CHOOSE(CONTROL!$C$28, 0.0003, 0)</f>
        <v>25.628899999999998</v>
      </c>
      <c r="C268" s="4">
        <f>25.3161 * CHOOSE(CONTROL!$C$9, $C$13, 100%, $E$13) + CHOOSE(CONTROL!$C$28, 0.0003, 0)</f>
        <v>25.316399999999998</v>
      </c>
      <c r="D268" s="4">
        <f>32.5376 * CHOOSE(CONTROL!$C$9, $C$13, 100%, $E$13) + CHOOSE(CONTROL!$C$28, 0, 0)</f>
        <v>32.537599999999998</v>
      </c>
      <c r="E268" s="4">
        <f>152.392134968343 * CHOOSE(CONTROL!$C$9, $C$13, 100%, $E$13) + CHOOSE(CONTROL!$C$28, 0, 0)</f>
        <v>152.39213496834299</v>
      </c>
    </row>
    <row r="269" spans="1:5" ht="15">
      <c r="A269" s="14">
        <v>49675</v>
      </c>
      <c r="B269" s="4">
        <f>25.0146 * CHOOSE(CONTROL!$C$9, $C$13, 100%, $E$13) + CHOOSE(CONTROL!$C$28, 0.0003, 0)</f>
        <v>25.014900000000001</v>
      </c>
      <c r="C269" s="4">
        <f>24.7021 * CHOOSE(CONTROL!$C$9, $C$13, 100%, $E$13) + CHOOSE(CONTROL!$C$28, 0.0003, 0)</f>
        <v>24.702400000000001</v>
      </c>
      <c r="D269" s="4">
        <f>31.4712 * CHOOSE(CONTROL!$C$9, $C$13, 100%, $E$13) + CHOOSE(CONTROL!$C$28, 0, 0)</f>
        <v>31.4712</v>
      </c>
      <c r="E269" s="4">
        <f>148.022109257679 * CHOOSE(CONTROL!$C$9, $C$13, 100%, $E$13) + CHOOSE(CONTROL!$C$28, 0, 0)</f>
        <v>148.02210925767901</v>
      </c>
    </row>
    <row r="270" spans="1:5" ht="15">
      <c r="A270" s="14">
        <v>49706</v>
      </c>
      <c r="B270" s="4">
        <f>25.564 * CHOOSE(CONTROL!$C$9, $C$13, 100%, $E$13) + CHOOSE(CONTROL!$C$28, 0.0003, 0)</f>
        <v>25.564299999999999</v>
      </c>
      <c r="C270" s="4">
        <f>25.2515 * CHOOSE(CONTROL!$C$9, $C$13, 100%, $E$13) + CHOOSE(CONTROL!$C$28, 0.0003, 0)</f>
        <v>25.251799999999999</v>
      </c>
      <c r="D270" s="4">
        <f>32.5451 * CHOOSE(CONTROL!$C$9, $C$13, 100%, $E$13) + CHOOSE(CONTROL!$C$28, 0, 0)</f>
        <v>32.545099999999998</v>
      </c>
      <c r="E270" s="4">
        <f>151.536737473184 * CHOOSE(CONTROL!$C$9, $C$13, 100%, $E$13) + CHOOSE(CONTROL!$C$28, 0, 0)</f>
        <v>151.53673747318399</v>
      </c>
    </row>
    <row r="271" spans="1:5" ht="15">
      <c r="A271" s="14">
        <v>49735</v>
      </c>
      <c r="B271" s="4">
        <f>27.0068 * CHOOSE(CONTROL!$C$9, $C$13, 100%, $E$13) + CHOOSE(CONTROL!$C$28, 0.0003, 0)</f>
        <v>27.007099999999998</v>
      </c>
      <c r="C271" s="4">
        <f>26.6943 * CHOOSE(CONTROL!$C$9, $C$13, 100%, $E$13) + CHOOSE(CONTROL!$C$28, 0.0003, 0)</f>
        <v>26.694599999999998</v>
      </c>
      <c r="D271" s="4">
        <f>34.2262 * CHOOSE(CONTROL!$C$9, $C$13, 100%, $E$13) + CHOOSE(CONTROL!$C$28, 0, 0)</f>
        <v>34.226199999999999</v>
      </c>
      <c r="E271" s="4">
        <f>160.766337945787 * CHOOSE(CONTROL!$C$9, $C$13, 100%, $E$13) + CHOOSE(CONTROL!$C$28, 0, 0)</f>
        <v>160.766337945787</v>
      </c>
    </row>
    <row r="272" spans="1:5" ht="15">
      <c r="A272" s="14">
        <v>49766</v>
      </c>
      <c r="B272" s="4">
        <f>28.032 * CHOOSE(CONTROL!$C$9, $C$13, 100%, $E$13) + CHOOSE(CONTROL!$C$28, 0.0003, 0)</f>
        <v>28.032299999999999</v>
      </c>
      <c r="C272" s="4">
        <f>27.7195 * CHOOSE(CONTROL!$C$9, $C$13, 100%, $E$13) + CHOOSE(CONTROL!$C$28, 0.0003, 0)</f>
        <v>27.719799999999999</v>
      </c>
      <c r="D272" s="4">
        <f>35.1946 * CHOOSE(CONTROL!$C$9, $C$13, 100%, $E$13) + CHOOSE(CONTROL!$C$28, 0, 0)</f>
        <v>35.194600000000001</v>
      </c>
      <c r="E272" s="4">
        <f>167.324092082171 * CHOOSE(CONTROL!$C$9, $C$13, 100%, $E$13) + CHOOSE(CONTROL!$C$28, 0, 0)</f>
        <v>167.32409208217101</v>
      </c>
    </row>
    <row r="273" spans="1:5" ht="15">
      <c r="A273" s="14">
        <v>49796</v>
      </c>
      <c r="B273" s="4">
        <f>28.6583 * CHOOSE(CONTROL!$C$9, $C$13, 100%, $E$13) + CHOOSE(CONTROL!$C$28, 0.0271, 0)</f>
        <v>28.685400000000001</v>
      </c>
      <c r="C273" s="4">
        <f>28.3458 * CHOOSE(CONTROL!$C$9, $C$13, 100%, $E$13) + CHOOSE(CONTROL!$C$28, 0.0271, 0)</f>
        <v>28.372900000000001</v>
      </c>
      <c r="D273" s="4">
        <f>34.8119 * CHOOSE(CONTROL!$C$9, $C$13, 100%, $E$13) + CHOOSE(CONTROL!$C$28, 0, 0)</f>
        <v>34.811900000000001</v>
      </c>
      <c r="E273" s="4">
        <f>171.330722692069 * CHOOSE(CONTROL!$C$9, $C$13, 100%, $E$13) + CHOOSE(CONTROL!$C$28, 0, 0)</f>
        <v>171.330722692069</v>
      </c>
    </row>
    <row r="274" spans="1:5" ht="15">
      <c r="A274" s="14">
        <v>49827</v>
      </c>
      <c r="B274" s="4">
        <f>28.743 * CHOOSE(CONTROL!$C$9, $C$13, 100%, $E$13) + CHOOSE(CONTROL!$C$28, 0.0271, 0)</f>
        <v>28.770099999999999</v>
      </c>
      <c r="C274" s="4">
        <f>28.4305 * CHOOSE(CONTROL!$C$9, $C$13, 100%, $E$13) + CHOOSE(CONTROL!$C$28, 0.0271, 0)</f>
        <v>28.457599999999999</v>
      </c>
      <c r="D274" s="4">
        <f>35.1236 * CHOOSE(CONTROL!$C$9, $C$13, 100%, $E$13) + CHOOSE(CONTROL!$C$28, 0, 0)</f>
        <v>35.123600000000003</v>
      </c>
      <c r="E274" s="4">
        <f>171.872836441447 * CHOOSE(CONTROL!$C$9, $C$13, 100%, $E$13) + CHOOSE(CONTROL!$C$28, 0, 0)</f>
        <v>171.87283644144699</v>
      </c>
    </row>
    <row r="275" spans="1:5" ht="15">
      <c r="A275" s="14">
        <v>49857</v>
      </c>
      <c r="B275" s="4">
        <f>28.7345 * CHOOSE(CONTROL!$C$9, $C$13, 100%, $E$13) + CHOOSE(CONTROL!$C$28, 0.0271, 0)</f>
        <v>28.761600000000001</v>
      </c>
      <c r="C275" s="4">
        <f>28.422 * CHOOSE(CONTROL!$C$9, $C$13, 100%, $E$13) + CHOOSE(CONTROL!$C$28, 0.0271, 0)</f>
        <v>28.449100000000001</v>
      </c>
      <c r="D275" s="4">
        <f>35.6859 * CHOOSE(CONTROL!$C$9, $C$13, 100%, $E$13) + CHOOSE(CONTROL!$C$28, 0, 0)</f>
        <v>35.685899999999997</v>
      </c>
      <c r="E275" s="4">
        <f>171.818169508737 * CHOOSE(CONTROL!$C$9, $C$13, 100%, $E$13) + CHOOSE(CONTROL!$C$28, 0, 0)</f>
        <v>171.81816950873699</v>
      </c>
    </row>
    <row r="276" spans="1:5" ht="15">
      <c r="A276" s="14">
        <v>49888</v>
      </c>
      <c r="B276" s="4">
        <f>29.3776 * CHOOSE(CONTROL!$C$9, $C$13, 100%, $E$13) + CHOOSE(CONTROL!$C$28, 0.0271, 0)</f>
        <v>29.404700000000002</v>
      </c>
      <c r="C276" s="4">
        <f>29.0651 * CHOOSE(CONTROL!$C$9, $C$13, 100%, $E$13) + CHOOSE(CONTROL!$C$28, 0.0271, 0)</f>
        <v>29.092200000000002</v>
      </c>
      <c r="D276" s="4">
        <f>35.3145 * CHOOSE(CONTROL!$C$9, $C$13, 100%, $E$13) + CHOOSE(CONTROL!$C$28, 0, 0)</f>
        <v>35.314500000000002</v>
      </c>
      <c r="E276" s="4">
        <f>175.931856195193 * CHOOSE(CONTROL!$C$9, $C$13, 100%, $E$13) + CHOOSE(CONTROL!$C$28, 0, 0)</f>
        <v>175.93185619519301</v>
      </c>
    </row>
    <row r="277" spans="1:5" ht="15">
      <c r="A277" s="14">
        <v>49919</v>
      </c>
      <c r="B277" s="4">
        <f>28.2816 * CHOOSE(CONTROL!$C$9, $C$13, 100%, $E$13) + CHOOSE(CONTROL!$C$28, 0.0271, 0)</f>
        <v>28.308700000000002</v>
      </c>
      <c r="C277" s="4">
        <f>27.9691 * CHOOSE(CONTROL!$C$9, $C$13, 100%, $E$13) + CHOOSE(CONTROL!$C$28, 0.0271, 0)</f>
        <v>27.996200000000002</v>
      </c>
      <c r="D277" s="4">
        <f>35.1391 * CHOOSE(CONTROL!$C$9, $C$13, 100%, $E$13) + CHOOSE(CONTROL!$C$28, 0, 0)</f>
        <v>35.139099999999999</v>
      </c>
      <c r="E277" s="4">
        <f>168.920822075086 * CHOOSE(CONTROL!$C$9, $C$13, 100%, $E$13) + CHOOSE(CONTROL!$C$28, 0, 0)</f>
        <v>168.92082207508599</v>
      </c>
    </row>
    <row r="278" spans="1:5" ht="15">
      <c r="A278" s="14">
        <v>49949</v>
      </c>
      <c r="B278" s="4">
        <f>27.4042 * CHOOSE(CONTROL!$C$9, $C$13, 100%, $E$13) + CHOOSE(CONTROL!$C$28, 0.0003, 0)</f>
        <v>27.404499999999999</v>
      </c>
      <c r="C278" s="4">
        <f>27.0917 * CHOOSE(CONTROL!$C$9, $C$13, 100%, $E$13) + CHOOSE(CONTROL!$C$28, 0.0003, 0)</f>
        <v>27.091999999999999</v>
      </c>
      <c r="D278" s="4">
        <f>34.6693 * CHOOSE(CONTROL!$C$9, $C$13, 100%, $E$13) + CHOOSE(CONTROL!$C$28, 0, 0)</f>
        <v>34.6693</v>
      </c>
      <c r="E278" s="4">
        <f>163.30835031682 * CHOOSE(CONTROL!$C$9, $C$13, 100%, $E$13) + CHOOSE(CONTROL!$C$28, 0, 0)</f>
        <v>163.30835031682</v>
      </c>
    </row>
    <row r="279" spans="1:5" ht="15">
      <c r="A279" s="14">
        <v>49980</v>
      </c>
      <c r="B279" s="4">
        <f>26.8391 * CHOOSE(CONTROL!$C$9, $C$13, 100%, $E$13) + CHOOSE(CONTROL!$C$28, 0.0003, 0)</f>
        <v>26.839399999999998</v>
      </c>
      <c r="C279" s="4">
        <f>26.5266 * CHOOSE(CONTROL!$C$9, $C$13, 100%, $E$13) + CHOOSE(CONTROL!$C$28, 0.0003, 0)</f>
        <v>26.526899999999998</v>
      </c>
      <c r="D279" s="4">
        <f>34.5077 * CHOOSE(CONTROL!$C$9, $C$13, 100%, $E$13) + CHOOSE(CONTROL!$C$28, 0, 0)</f>
        <v>34.5077</v>
      </c>
      <c r="E279" s="4">
        <f>159.693499391346 * CHOOSE(CONTROL!$C$9, $C$13, 100%, $E$13) + CHOOSE(CONTROL!$C$28, 0, 0)</f>
        <v>159.69349939134599</v>
      </c>
    </row>
    <row r="280" spans="1:5" ht="15">
      <c r="A280" s="14">
        <v>50010</v>
      </c>
      <c r="B280" s="4">
        <f>26.4481 * CHOOSE(CONTROL!$C$9, $C$13, 100%, $E$13) + CHOOSE(CONTROL!$C$28, 0.0003, 0)</f>
        <v>26.448399999999999</v>
      </c>
      <c r="C280" s="4">
        <f>26.1356 * CHOOSE(CONTROL!$C$9, $C$13, 100%, $E$13) + CHOOSE(CONTROL!$C$28, 0.0003, 0)</f>
        <v>26.135899999999999</v>
      </c>
      <c r="D280" s="4">
        <f>33.3187 * CHOOSE(CONTROL!$C$9, $C$13, 100%, $E$13) + CHOOSE(CONTROL!$C$28, 0, 0)</f>
        <v>33.3187</v>
      </c>
      <c r="E280" s="4">
        <f>157.192487219846 * CHOOSE(CONTROL!$C$9, $C$13, 100%, $E$13) + CHOOSE(CONTROL!$C$28, 0, 0)</f>
        <v>157.19248721984599</v>
      </c>
    </row>
    <row r="281" spans="1:5" ht="15">
      <c r="A281" s="14">
        <v>50041</v>
      </c>
      <c r="B281" s="4">
        <f>25.8129 * CHOOSE(CONTROL!$C$9, $C$13, 100%, $E$13) + CHOOSE(CONTROL!$C$28, 0.0003, 0)</f>
        <v>25.813199999999998</v>
      </c>
      <c r="C281" s="4">
        <f>25.5004 * CHOOSE(CONTROL!$C$9, $C$13, 100%, $E$13) + CHOOSE(CONTROL!$C$28, 0.0003, 0)</f>
        <v>25.500699999999998</v>
      </c>
      <c r="D281" s="4">
        <f>32.2258 * CHOOSE(CONTROL!$C$9, $C$13, 100%, $E$13) + CHOOSE(CONTROL!$C$28, 0, 0)</f>
        <v>32.2258</v>
      </c>
      <c r="E281" s="4">
        <f>152.684805699296 * CHOOSE(CONTROL!$C$9, $C$13, 100%, $E$13) + CHOOSE(CONTROL!$C$28, 0, 0)</f>
        <v>152.68480569929599</v>
      </c>
    </row>
    <row r="282" spans="1:5" ht="15">
      <c r="A282" s="14">
        <v>50072</v>
      </c>
      <c r="B282" s="4">
        <f>26.3813 * CHOOSE(CONTROL!$C$9, $C$13, 100%, $E$13) + CHOOSE(CONTROL!$C$28, 0.0003, 0)</f>
        <v>26.381599999999999</v>
      </c>
      <c r="C282" s="4">
        <f>26.0688 * CHOOSE(CONTROL!$C$9, $C$13, 100%, $E$13) + CHOOSE(CONTROL!$C$28, 0.0003, 0)</f>
        <v>26.069099999999999</v>
      </c>
      <c r="D282" s="4">
        <f>33.3263 * CHOOSE(CONTROL!$C$9, $C$13, 100%, $E$13) + CHOOSE(CONTROL!$C$28, 0, 0)</f>
        <v>33.326300000000003</v>
      </c>
      <c r="E282" s="4">
        <f>156.31014470359 * CHOOSE(CONTROL!$C$9, $C$13, 100%, $E$13) + CHOOSE(CONTROL!$C$28, 0, 0)</f>
        <v>156.31014470359</v>
      </c>
    </row>
    <row r="283" spans="1:5" ht="15">
      <c r="A283" s="14">
        <v>50100</v>
      </c>
      <c r="B283" s="4">
        <f>27.8739 * CHOOSE(CONTROL!$C$9, $C$13, 100%, $E$13) + CHOOSE(CONTROL!$C$28, 0.0003, 0)</f>
        <v>27.874199999999998</v>
      </c>
      <c r="C283" s="4">
        <f>27.5614 * CHOOSE(CONTROL!$C$9, $C$13, 100%, $E$13) + CHOOSE(CONTROL!$C$28, 0.0003, 0)</f>
        <v>27.561699999999998</v>
      </c>
      <c r="D283" s="4">
        <f>35.0491 * CHOOSE(CONTROL!$C$9, $C$13, 100%, $E$13) + CHOOSE(CONTROL!$C$28, 0, 0)</f>
        <v>35.049100000000003</v>
      </c>
      <c r="E283" s="4">
        <f>165.83047759108 * CHOOSE(CONTROL!$C$9, $C$13, 100%, $E$13) + CHOOSE(CONTROL!$C$28, 0, 0)</f>
        <v>165.83047759108001</v>
      </c>
    </row>
    <row r="284" spans="1:5" ht="15">
      <c r="A284" s="14">
        <v>50131</v>
      </c>
      <c r="B284" s="4">
        <f>28.9344 * CHOOSE(CONTROL!$C$9, $C$13, 100%, $E$13) + CHOOSE(CONTROL!$C$28, 0.0003, 0)</f>
        <v>28.934699999999999</v>
      </c>
      <c r="C284" s="4">
        <f>28.6219 * CHOOSE(CONTROL!$C$9, $C$13, 100%, $E$13) + CHOOSE(CONTROL!$C$28, 0.0003, 0)</f>
        <v>28.622199999999999</v>
      </c>
      <c r="D284" s="4">
        <f>36.0415 * CHOOSE(CONTROL!$C$9, $C$13, 100%, $E$13) + CHOOSE(CONTROL!$C$28, 0, 0)</f>
        <v>36.041499999999999</v>
      </c>
      <c r="E284" s="4">
        <f>172.594800982759 * CHOOSE(CONTROL!$C$9, $C$13, 100%, $E$13) + CHOOSE(CONTROL!$C$28, 0, 0)</f>
        <v>172.59480098275901</v>
      </c>
    </row>
    <row r="285" spans="1:5" ht="15">
      <c r="A285" s="14">
        <v>50161</v>
      </c>
      <c r="B285" s="4">
        <f>29.5823 * CHOOSE(CONTROL!$C$9, $C$13, 100%, $E$13) + CHOOSE(CONTROL!$C$28, 0.0271, 0)</f>
        <v>29.609400000000001</v>
      </c>
      <c r="C285" s="4">
        <f>29.2698 * CHOOSE(CONTROL!$C$9, $C$13, 100%, $E$13) + CHOOSE(CONTROL!$C$28, 0.0271, 0)</f>
        <v>29.296900000000001</v>
      </c>
      <c r="D285" s="4">
        <f>35.6494 * CHOOSE(CONTROL!$C$9, $C$13, 100%, $E$13) + CHOOSE(CONTROL!$C$28, 0, 0)</f>
        <v>35.6494</v>
      </c>
      <c r="E285" s="4">
        <f>176.727640456869 * CHOOSE(CONTROL!$C$9, $C$13, 100%, $E$13) + CHOOSE(CONTROL!$C$28, 0, 0)</f>
        <v>176.72764045686901</v>
      </c>
    </row>
    <row r="286" spans="1:5" ht="15">
      <c r="A286" s="14">
        <v>50192</v>
      </c>
      <c r="B286" s="4">
        <f>29.67 * CHOOSE(CONTROL!$C$9, $C$13, 100%, $E$13) + CHOOSE(CONTROL!$C$28, 0.0271, 0)</f>
        <v>29.697100000000002</v>
      </c>
      <c r="C286" s="4">
        <f>29.3575 * CHOOSE(CONTROL!$C$9, $C$13, 100%, $E$13) + CHOOSE(CONTROL!$C$28, 0.0271, 0)</f>
        <v>29.384600000000002</v>
      </c>
      <c r="D286" s="4">
        <f>35.9687 * CHOOSE(CONTROL!$C$9, $C$13, 100%, $E$13) + CHOOSE(CONTROL!$C$28, 0, 0)</f>
        <v>35.968699999999998</v>
      </c>
      <c r="E286" s="4">
        <f>177.286830789353 * CHOOSE(CONTROL!$C$9, $C$13, 100%, $E$13) + CHOOSE(CONTROL!$C$28, 0, 0)</f>
        <v>177.28683078935299</v>
      </c>
    </row>
    <row r="287" spans="1:5" ht="15">
      <c r="A287" s="14">
        <v>50222</v>
      </c>
      <c r="B287" s="4">
        <f>29.6611 * CHOOSE(CONTROL!$C$9, $C$13, 100%, $E$13) + CHOOSE(CONTROL!$C$28, 0.0271, 0)</f>
        <v>29.688200000000002</v>
      </c>
      <c r="C287" s="4">
        <f>29.3486 * CHOOSE(CONTROL!$C$9, $C$13, 100%, $E$13) + CHOOSE(CONTROL!$C$28, 0.0271, 0)</f>
        <v>29.375700000000002</v>
      </c>
      <c r="D287" s="4">
        <f>36.545 * CHOOSE(CONTROL!$C$9, $C$13, 100%, $E$13) + CHOOSE(CONTROL!$C$28, 0, 0)</f>
        <v>36.545000000000002</v>
      </c>
      <c r="E287" s="4">
        <f>177.230441848262 * CHOOSE(CONTROL!$C$9, $C$13, 100%, $E$13) + CHOOSE(CONTROL!$C$28, 0, 0)</f>
        <v>177.23044184826199</v>
      </c>
    </row>
    <row r="288" spans="1:5" ht="15">
      <c r="A288" s="14">
        <v>50253</v>
      </c>
      <c r="B288" s="4">
        <f>30.3264 * CHOOSE(CONTROL!$C$9, $C$13, 100%, $E$13) + CHOOSE(CONTROL!$C$28, 0.0271, 0)</f>
        <v>30.3535</v>
      </c>
      <c r="C288" s="4">
        <f>30.0139 * CHOOSE(CONTROL!$C$9, $C$13, 100%, $E$13) + CHOOSE(CONTROL!$C$28, 0.0271, 0)</f>
        <v>30.041</v>
      </c>
      <c r="D288" s="4">
        <f>36.1644 * CHOOSE(CONTROL!$C$9, $C$13, 100%, $E$13) + CHOOSE(CONTROL!$C$28, 0, 0)</f>
        <v>36.164400000000001</v>
      </c>
      <c r="E288" s="4">
        <f>181.473709665342 * CHOOSE(CONTROL!$C$9, $C$13, 100%, $E$13) + CHOOSE(CONTROL!$C$28, 0, 0)</f>
        <v>181.473709665342</v>
      </c>
    </row>
    <row r="289" spans="1:5" ht="15">
      <c r="A289" s="14">
        <v>50284</v>
      </c>
      <c r="B289" s="4">
        <f>29.1926 * CHOOSE(CONTROL!$C$9, $C$13, 100%, $E$13) + CHOOSE(CONTROL!$C$28, 0.0271, 0)</f>
        <v>29.2197</v>
      </c>
      <c r="C289" s="4">
        <f>28.8801 * CHOOSE(CONTROL!$C$9, $C$13, 100%, $E$13) + CHOOSE(CONTROL!$C$28, 0.0271, 0)</f>
        <v>28.9072</v>
      </c>
      <c r="D289" s="4">
        <f>35.9846 * CHOOSE(CONTROL!$C$9, $C$13, 100%, $E$13) + CHOOSE(CONTROL!$C$28, 0, 0)</f>
        <v>35.9846</v>
      </c>
      <c r="E289" s="4">
        <f>174.241827970452 * CHOOSE(CONTROL!$C$9, $C$13, 100%, $E$13) + CHOOSE(CONTROL!$C$28, 0, 0)</f>
        <v>174.24182797045199</v>
      </c>
    </row>
    <row r="290" spans="1:5" ht="15">
      <c r="A290" s="14">
        <v>50314</v>
      </c>
      <c r="B290" s="4">
        <f>28.285 * CHOOSE(CONTROL!$C$9, $C$13, 100%, $E$13) + CHOOSE(CONTROL!$C$28, 0.0003, 0)</f>
        <v>28.285299999999999</v>
      </c>
      <c r="C290" s="4">
        <f>27.9725 * CHOOSE(CONTROL!$C$9, $C$13, 100%, $E$13) + CHOOSE(CONTROL!$C$28, 0.0003, 0)</f>
        <v>27.972799999999999</v>
      </c>
      <c r="D290" s="4">
        <f>35.5032 * CHOOSE(CONTROL!$C$9, $C$13, 100%, $E$13) + CHOOSE(CONTROL!$C$28, 0, 0)</f>
        <v>35.5032</v>
      </c>
      <c r="E290" s="4">
        <f>168.4525633518 * CHOOSE(CONTROL!$C$9, $C$13, 100%, $E$13) + CHOOSE(CONTROL!$C$28, 0, 0)</f>
        <v>168.45256335179999</v>
      </c>
    </row>
    <row r="291" spans="1:5" ht="15">
      <c r="A291" s="14">
        <v>50345</v>
      </c>
      <c r="B291" s="4">
        <f>27.7004 * CHOOSE(CONTROL!$C$9, $C$13, 100%, $E$13) + CHOOSE(CONTROL!$C$28, 0.0003, 0)</f>
        <v>27.700699999999998</v>
      </c>
      <c r="C291" s="4">
        <f>27.3879 * CHOOSE(CONTROL!$C$9, $C$13, 100%, $E$13) + CHOOSE(CONTROL!$C$28, 0.0003, 0)</f>
        <v>27.388199999999998</v>
      </c>
      <c r="D291" s="4">
        <f>35.3376 * CHOOSE(CONTROL!$C$9, $C$13, 100%, $E$13) + CHOOSE(CONTROL!$C$28, 0, 0)</f>
        <v>35.337600000000002</v>
      </c>
      <c r="E291" s="4">
        <f>164.723844622173 * CHOOSE(CONTROL!$C$9, $C$13, 100%, $E$13) + CHOOSE(CONTROL!$C$28, 0, 0)</f>
        <v>164.723844622173</v>
      </c>
    </row>
    <row r="292" spans="1:5" ht="15">
      <c r="A292" s="14">
        <v>50375</v>
      </c>
      <c r="B292" s="4">
        <f>27.2959 * CHOOSE(CONTROL!$C$9, $C$13, 100%, $E$13) + CHOOSE(CONTROL!$C$28, 0.0003, 0)</f>
        <v>27.296199999999999</v>
      </c>
      <c r="C292" s="4">
        <f>26.9834 * CHOOSE(CONTROL!$C$9, $C$13, 100%, $E$13) + CHOOSE(CONTROL!$C$28, 0.0003, 0)</f>
        <v>26.983699999999999</v>
      </c>
      <c r="D292" s="4">
        <f>34.1191 * CHOOSE(CONTROL!$C$9, $C$13, 100%, $E$13) + CHOOSE(CONTROL!$C$28, 0, 0)</f>
        <v>34.119100000000003</v>
      </c>
      <c r="E292" s="4">
        <f>162.144050567271 * CHOOSE(CONTROL!$C$9, $C$13, 100%, $E$13) + CHOOSE(CONTROL!$C$28, 0, 0)</f>
        <v>162.14405056727099</v>
      </c>
    </row>
    <row r="293" spans="1:5" ht="15">
      <c r="A293" s="13">
        <v>50436</v>
      </c>
      <c r="B293" s="4">
        <f>26.6387 * CHOOSE(CONTROL!$C$9, $C$13, 100%, $E$13) + CHOOSE(CONTROL!$C$28, 0.0003, 0)</f>
        <v>26.638999999999999</v>
      </c>
      <c r="C293" s="4">
        <f>26.3262 * CHOOSE(CONTROL!$C$9, $C$13, 100%, $E$13) + CHOOSE(CONTROL!$C$28, 0.0003, 0)</f>
        <v>26.326499999999999</v>
      </c>
      <c r="D293" s="4">
        <f>32.9991 * CHOOSE(CONTROL!$C$9, $C$13, 100%, $E$13) + CHOOSE(CONTROL!$C$28, 0, 0)</f>
        <v>32.999099999999999</v>
      </c>
      <c r="E293" s="4">
        <f>157.494377078824 * CHOOSE(CONTROL!$C$9, $C$13, 100%, $E$13) + CHOOSE(CONTROL!$C$28, 0, 0)</f>
        <v>157.49437707882399</v>
      </c>
    </row>
    <row r="294" spans="1:5" ht="15">
      <c r="A294" s="13">
        <v>50464</v>
      </c>
      <c r="B294" s="4">
        <f>27.2267 * CHOOSE(CONTROL!$C$9, $C$13, 100%, $E$13) + CHOOSE(CONTROL!$C$28, 0.0003, 0)</f>
        <v>27.227</v>
      </c>
      <c r="C294" s="4">
        <f>26.9142 * CHOOSE(CONTROL!$C$9, $C$13, 100%, $E$13) + CHOOSE(CONTROL!$C$28, 0.0003, 0)</f>
        <v>26.9145</v>
      </c>
      <c r="D294" s="4">
        <f>34.1269 * CHOOSE(CONTROL!$C$9, $C$13, 100%, $E$13) + CHOOSE(CONTROL!$C$28, 0, 0)</f>
        <v>34.126899999999999</v>
      </c>
      <c r="E294" s="4">
        <f>161.233914261753 * CHOOSE(CONTROL!$C$9, $C$13, 100%, $E$13) + CHOOSE(CONTROL!$C$28, 0, 0)</f>
        <v>161.233914261753</v>
      </c>
    </row>
    <row r="295" spans="1:5" ht="15">
      <c r="A295" s="13">
        <v>50495</v>
      </c>
      <c r="B295" s="4">
        <f>28.7708 * CHOOSE(CONTROL!$C$9, $C$13, 100%, $E$13) + CHOOSE(CONTROL!$C$28, 0.0003, 0)</f>
        <v>28.771100000000001</v>
      </c>
      <c r="C295" s="4">
        <f>28.4583 * CHOOSE(CONTROL!$C$9, $C$13, 100%, $E$13) + CHOOSE(CONTROL!$C$28, 0.0003, 0)</f>
        <v>28.458600000000001</v>
      </c>
      <c r="D295" s="4">
        <f>35.8924 * CHOOSE(CONTROL!$C$9, $C$13, 100%, $E$13) + CHOOSE(CONTROL!$C$28, 0, 0)</f>
        <v>35.892400000000002</v>
      </c>
      <c r="E295" s="4">
        <f>171.054137635199 * CHOOSE(CONTROL!$C$9, $C$13, 100%, $E$13) + CHOOSE(CONTROL!$C$28, 0, 0)</f>
        <v>171.054137635199</v>
      </c>
    </row>
    <row r="296" spans="1:5" ht="15">
      <c r="A296" s="13">
        <v>50525</v>
      </c>
      <c r="B296" s="4">
        <f>29.8679 * CHOOSE(CONTROL!$C$9, $C$13, 100%, $E$13) + CHOOSE(CONTROL!$C$28, 0.0003, 0)</f>
        <v>29.868199999999998</v>
      </c>
      <c r="C296" s="4">
        <f>29.5554 * CHOOSE(CONTROL!$C$9, $C$13, 100%, $E$13) + CHOOSE(CONTROL!$C$28, 0.0003, 0)</f>
        <v>29.555699999999998</v>
      </c>
      <c r="D296" s="4">
        <f>36.9094 * CHOOSE(CONTROL!$C$9, $C$13, 100%, $E$13) + CHOOSE(CONTROL!$C$28, 0, 0)</f>
        <v>36.909399999999998</v>
      </c>
      <c r="E296" s="4">
        <f>178.031537213716 * CHOOSE(CONTROL!$C$9, $C$13, 100%, $E$13) + CHOOSE(CONTROL!$C$28, 0, 0)</f>
        <v>178.03153721371601</v>
      </c>
    </row>
    <row r="297" spans="1:5" ht="15">
      <c r="A297" s="13">
        <v>50556</v>
      </c>
      <c r="B297" s="4">
        <f>30.5382 * CHOOSE(CONTROL!$C$9, $C$13, 100%, $E$13) + CHOOSE(CONTROL!$C$28, 0.0271, 0)</f>
        <v>30.565300000000001</v>
      </c>
      <c r="C297" s="4">
        <f>30.2257 * CHOOSE(CONTROL!$C$9, $C$13, 100%, $E$13) + CHOOSE(CONTROL!$C$28, 0.0271, 0)</f>
        <v>30.252800000000001</v>
      </c>
      <c r="D297" s="4">
        <f>36.5076 * CHOOSE(CONTROL!$C$9, $C$13, 100%, $E$13) + CHOOSE(CONTROL!$C$28, 0, 0)</f>
        <v>36.507599999999996</v>
      </c>
      <c r="E297" s="4">
        <f>182.294561131261 * CHOOSE(CONTROL!$C$9, $C$13, 100%, $E$13) + CHOOSE(CONTROL!$C$28, 0, 0)</f>
        <v>182.29456113126099</v>
      </c>
    </row>
    <row r="298" spans="1:5" ht="15">
      <c r="A298" s="13">
        <v>50586</v>
      </c>
      <c r="B298" s="4">
        <f>30.6289 * CHOOSE(CONTROL!$C$9, $C$13, 100%, $E$13) + CHOOSE(CONTROL!$C$28, 0.0271, 0)</f>
        <v>30.656000000000002</v>
      </c>
      <c r="C298" s="4">
        <f>30.3164 * CHOOSE(CONTROL!$C$9, $C$13, 100%, $E$13) + CHOOSE(CONTROL!$C$28, 0.0271, 0)</f>
        <v>30.343500000000002</v>
      </c>
      <c r="D298" s="4">
        <f>36.8349 * CHOOSE(CONTROL!$C$9, $C$13, 100%, $E$13) + CHOOSE(CONTROL!$C$28, 0, 0)</f>
        <v>36.834899999999998</v>
      </c>
      <c r="E298" s="4">
        <f>182.871365959217 * CHOOSE(CONTROL!$C$9, $C$13, 100%, $E$13) + CHOOSE(CONTROL!$C$28, 0, 0)</f>
        <v>182.871365959217</v>
      </c>
    </row>
    <row r="299" spans="1:5" ht="15">
      <c r="A299" s="13">
        <v>50617</v>
      </c>
      <c r="B299" s="4">
        <f>30.6198 * CHOOSE(CONTROL!$C$9, $C$13, 100%, $E$13) + CHOOSE(CONTROL!$C$28, 0.0271, 0)</f>
        <v>30.646900000000002</v>
      </c>
      <c r="C299" s="4">
        <f>30.3073 * CHOOSE(CONTROL!$C$9, $C$13, 100%, $E$13) + CHOOSE(CONTROL!$C$28, 0.0271, 0)</f>
        <v>30.334400000000002</v>
      </c>
      <c r="D299" s="4">
        <f>37.4254 * CHOOSE(CONTROL!$C$9, $C$13, 100%, $E$13) + CHOOSE(CONTROL!$C$28, 0, 0)</f>
        <v>37.425400000000003</v>
      </c>
      <c r="E299" s="4">
        <f>182.813200766482 * CHOOSE(CONTROL!$C$9, $C$13, 100%, $E$13) + CHOOSE(CONTROL!$C$28, 0, 0)</f>
        <v>182.813200766482</v>
      </c>
    </row>
    <row r="300" spans="1:5" ht="15">
      <c r="A300" s="13">
        <v>50648</v>
      </c>
      <c r="B300" s="4">
        <f>31.308 * CHOOSE(CONTROL!$C$9, $C$13, 100%, $E$13) + CHOOSE(CONTROL!$C$28, 0.0271, 0)</f>
        <v>31.335100000000001</v>
      </c>
      <c r="C300" s="4">
        <f>30.9955 * CHOOSE(CONTROL!$C$9, $C$13, 100%, $E$13) + CHOOSE(CONTROL!$C$28, 0.0271, 0)</f>
        <v>31.022600000000001</v>
      </c>
      <c r="D300" s="4">
        <f>37.0354 * CHOOSE(CONTROL!$C$9, $C$13, 100%, $E$13) + CHOOSE(CONTROL!$C$28, 0, 0)</f>
        <v>37.035400000000003</v>
      </c>
      <c r="E300" s="4">
        <f>187.1901315198 * CHOOSE(CONTROL!$C$9, $C$13, 100%, $E$13) + CHOOSE(CONTROL!$C$28, 0, 0)</f>
        <v>187.19013151979999</v>
      </c>
    </row>
    <row r="301" spans="1:5" ht="15">
      <c r="A301" s="13">
        <v>50678</v>
      </c>
      <c r="B301" s="4">
        <f>30.1351 * CHOOSE(CONTROL!$C$9, $C$13, 100%, $E$13) + CHOOSE(CONTROL!$C$28, 0.0271, 0)</f>
        <v>30.162200000000002</v>
      </c>
      <c r="C301" s="4">
        <f>29.8226 * CHOOSE(CONTROL!$C$9, $C$13, 100%, $E$13) + CHOOSE(CONTROL!$C$28, 0.0271, 0)</f>
        <v>29.849700000000002</v>
      </c>
      <c r="D301" s="4">
        <f>36.8511 * CHOOSE(CONTROL!$C$9, $C$13, 100%, $E$13) + CHOOSE(CONTROL!$C$28, 0, 0)</f>
        <v>36.851100000000002</v>
      </c>
      <c r="E301" s="4">
        <f>179.730445551521 * CHOOSE(CONTROL!$C$9, $C$13, 100%, $E$13) + CHOOSE(CONTROL!$C$28, 0, 0)</f>
        <v>179.730445551521</v>
      </c>
    </row>
    <row r="302" spans="1:5" ht="15">
      <c r="A302" s="13">
        <v>50709</v>
      </c>
      <c r="B302" s="4">
        <f>29.1961 * CHOOSE(CONTROL!$C$9, $C$13, 100%, $E$13) + CHOOSE(CONTROL!$C$28, 0.0003, 0)</f>
        <v>29.196400000000001</v>
      </c>
      <c r="C302" s="4">
        <f>28.8836 * CHOOSE(CONTROL!$C$9, $C$13, 100%, $E$13) + CHOOSE(CONTROL!$C$28, 0.0003, 0)</f>
        <v>28.883900000000001</v>
      </c>
      <c r="D302" s="4">
        <f>36.3578 * CHOOSE(CONTROL!$C$9, $C$13, 100%, $E$13) + CHOOSE(CONTROL!$C$28, 0, 0)</f>
        <v>36.357799999999997</v>
      </c>
      <c r="E302" s="4">
        <f>173.758819097382 * CHOOSE(CONTROL!$C$9, $C$13, 100%, $E$13) + CHOOSE(CONTROL!$C$28, 0, 0)</f>
        <v>173.758819097382</v>
      </c>
    </row>
    <row r="303" spans="1:5" ht="15">
      <c r="A303" s="13">
        <v>50739</v>
      </c>
      <c r="B303" s="4">
        <f>28.5913 * CHOOSE(CONTROL!$C$9, $C$13, 100%, $E$13) + CHOOSE(CONTROL!$C$28, 0.0003, 0)</f>
        <v>28.5916</v>
      </c>
      <c r="C303" s="4">
        <f>28.2788 * CHOOSE(CONTROL!$C$9, $C$13, 100%, $E$13) + CHOOSE(CONTROL!$C$28, 0.0003, 0)</f>
        <v>28.2791</v>
      </c>
      <c r="D303" s="4">
        <f>36.1881 * CHOOSE(CONTROL!$C$9, $C$13, 100%, $E$13) + CHOOSE(CONTROL!$C$28, 0, 0)</f>
        <v>36.188099999999999</v>
      </c>
      <c r="E303" s="4">
        <f>169.912645727772 * CHOOSE(CONTROL!$C$9, $C$13, 100%, $E$13) + CHOOSE(CONTROL!$C$28, 0, 0)</f>
        <v>169.912645727772</v>
      </c>
    </row>
    <row r="304" spans="1:5" ht="15">
      <c r="A304" s="13">
        <v>50770</v>
      </c>
      <c r="B304" s="4">
        <f>28.1729 * CHOOSE(CONTROL!$C$9, $C$13, 100%, $E$13) + CHOOSE(CONTROL!$C$28, 0.0003, 0)</f>
        <v>28.173199999999998</v>
      </c>
      <c r="C304" s="4">
        <f>27.8604 * CHOOSE(CONTROL!$C$9, $C$13, 100%, $E$13) + CHOOSE(CONTROL!$C$28, 0.0003, 0)</f>
        <v>27.860699999999998</v>
      </c>
      <c r="D304" s="4">
        <f>34.9393 * CHOOSE(CONTROL!$C$9, $C$13, 100%, $E$13) + CHOOSE(CONTROL!$C$28, 0, 0)</f>
        <v>34.939300000000003</v>
      </c>
      <c r="E304" s="4">
        <f>167.25158816014 * CHOOSE(CONTROL!$C$9, $C$13, 100%, $E$13) + CHOOSE(CONTROL!$C$28, 0, 0)</f>
        <v>167.25158816013999</v>
      </c>
    </row>
    <row r="305" spans="1:5" ht="15">
      <c r="A305" s="13">
        <v>50801</v>
      </c>
      <c r="B305" s="4">
        <f>27.4931 * CHOOSE(CONTROL!$C$9, $C$13, 100%, $E$13) + CHOOSE(CONTROL!$C$28, 0.0003, 0)</f>
        <v>27.493399999999998</v>
      </c>
      <c r="C305" s="4">
        <f>27.1806 * CHOOSE(CONTROL!$C$9, $C$13, 100%, $E$13) + CHOOSE(CONTROL!$C$28, 0.0003, 0)</f>
        <v>27.180899999999998</v>
      </c>
      <c r="D305" s="4">
        <f>33.7916 * CHOOSE(CONTROL!$C$9, $C$13, 100%, $E$13) + CHOOSE(CONTROL!$C$28, 0, 0)</f>
        <v>33.791600000000003</v>
      </c>
      <c r="E305" s="4">
        <f>162.455449956807 * CHOOSE(CONTROL!$C$9, $C$13, 100%, $E$13) + CHOOSE(CONTROL!$C$28, 0, 0)</f>
        <v>162.455449956807</v>
      </c>
    </row>
    <row r="306" spans="1:5" ht="15">
      <c r="A306" s="13">
        <v>50829</v>
      </c>
      <c r="B306" s="4">
        <f>28.1014 * CHOOSE(CONTROL!$C$9, $C$13, 100%, $E$13) + CHOOSE(CONTROL!$C$28, 0.0003, 0)</f>
        <v>28.101700000000001</v>
      </c>
      <c r="C306" s="4">
        <f>27.7889 * CHOOSE(CONTROL!$C$9, $C$13, 100%, $E$13) + CHOOSE(CONTROL!$C$28, 0.0003, 0)</f>
        <v>27.789200000000001</v>
      </c>
      <c r="D306" s="4">
        <f>34.9474 * CHOOSE(CONTROL!$C$9, $C$13, 100%, $E$13) + CHOOSE(CONTROL!$C$28, 0, 0)</f>
        <v>34.947400000000002</v>
      </c>
      <c r="E306" s="4">
        <f>166.312782560998 * CHOOSE(CONTROL!$C$9, $C$13, 100%, $E$13) + CHOOSE(CONTROL!$C$28, 0, 0)</f>
        <v>166.31278256099799</v>
      </c>
    </row>
    <row r="307" spans="1:5" ht="15">
      <c r="A307" s="13">
        <v>50860</v>
      </c>
      <c r="B307" s="4">
        <f>29.6987 * CHOOSE(CONTROL!$C$9, $C$13, 100%, $E$13) + CHOOSE(CONTROL!$C$28, 0.0003, 0)</f>
        <v>29.698999999999998</v>
      </c>
      <c r="C307" s="4">
        <f>29.3862 * CHOOSE(CONTROL!$C$9, $C$13, 100%, $E$13) + CHOOSE(CONTROL!$C$28, 0.0003, 0)</f>
        <v>29.386499999999998</v>
      </c>
      <c r="D307" s="4">
        <f>36.7567 * CHOOSE(CONTROL!$C$9, $C$13, 100%, $E$13) + CHOOSE(CONTROL!$C$28, 0, 0)</f>
        <v>36.756700000000002</v>
      </c>
      <c r="E307" s="4">
        <f>176.442342970707 * CHOOSE(CONTROL!$C$9, $C$13, 100%, $E$13) + CHOOSE(CONTROL!$C$28, 0, 0)</f>
        <v>176.44234297070699</v>
      </c>
    </row>
    <row r="308" spans="1:5" ht="15">
      <c r="A308" s="13">
        <v>50890</v>
      </c>
      <c r="B308" s="4">
        <f>30.8337 * CHOOSE(CONTROL!$C$9, $C$13, 100%, $E$13) + CHOOSE(CONTROL!$C$28, 0.0003, 0)</f>
        <v>30.834</v>
      </c>
      <c r="C308" s="4">
        <f>30.5212 * CHOOSE(CONTROL!$C$9, $C$13, 100%, $E$13) + CHOOSE(CONTROL!$C$28, 0.0003, 0)</f>
        <v>30.5215</v>
      </c>
      <c r="D308" s="4">
        <f>37.7989 * CHOOSE(CONTROL!$C$9, $C$13, 100%, $E$13) + CHOOSE(CONTROL!$C$28, 0, 0)</f>
        <v>37.798900000000003</v>
      </c>
      <c r="E308" s="4">
        <f>183.639530635948 * CHOOSE(CONTROL!$C$9, $C$13, 100%, $E$13) + CHOOSE(CONTROL!$C$28, 0, 0)</f>
        <v>183.63953063594801</v>
      </c>
    </row>
    <row r="309" spans="1:5" ht="15">
      <c r="A309" s="13">
        <v>50921</v>
      </c>
      <c r="B309" s="4">
        <f>31.5271 * CHOOSE(CONTROL!$C$9, $C$13, 100%, $E$13) + CHOOSE(CONTROL!$C$28, 0.0271, 0)</f>
        <v>31.554200000000002</v>
      </c>
      <c r="C309" s="4">
        <f>31.2146 * CHOOSE(CONTROL!$C$9, $C$13, 100%, $E$13) + CHOOSE(CONTROL!$C$28, 0.0271, 0)</f>
        <v>31.241700000000002</v>
      </c>
      <c r="D309" s="4">
        <f>37.3871 * CHOOSE(CONTROL!$C$9, $C$13, 100%, $E$13) + CHOOSE(CONTROL!$C$28, 0, 0)</f>
        <v>37.387099999999997</v>
      </c>
      <c r="E309" s="4">
        <f>188.036839806895 * CHOOSE(CONTROL!$C$9, $C$13, 100%, $E$13) + CHOOSE(CONTROL!$C$28, 0, 0)</f>
        <v>188.03683980689499</v>
      </c>
    </row>
    <row r="310" spans="1:5" ht="15">
      <c r="A310" s="13">
        <v>50951</v>
      </c>
      <c r="B310" s="4">
        <f>31.6209 * CHOOSE(CONTROL!$C$9, $C$13, 100%, $E$13) + CHOOSE(CONTROL!$C$28, 0.0271, 0)</f>
        <v>31.648</v>
      </c>
      <c r="C310" s="4">
        <f>31.3084 * CHOOSE(CONTROL!$C$9, $C$13, 100%, $E$13) + CHOOSE(CONTROL!$C$28, 0.0271, 0)</f>
        <v>31.3355</v>
      </c>
      <c r="D310" s="4">
        <f>37.7225 * CHOOSE(CONTROL!$C$9, $C$13, 100%, $E$13) + CHOOSE(CONTROL!$C$28, 0, 0)</f>
        <v>37.722499999999997</v>
      </c>
      <c r="E310" s="4">
        <f>188.631813986933 * CHOOSE(CONTROL!$C$9, $C$13, 100%, $E$13) + CHOOSE(CONTROL!$C$28, 0, 0)</f>
        <v>188.631813986933</v>
      </c>
    </row>
    <row r="311" spans="1:5" ht="15">
      <c r="A311" s="13">
        <v>50982</v>
      </c>
      <c r="B311" s="4">
        <f>31.6115 * CHOOSE(CONTROL!$C$9, $C$13, 100%, $E$13) + CHOOSE(CONTROL!$C$28, 0.0271, 0)</f>
        <v>31.6386</v>
      </c>
      <c r="C311" s="4">
        <f>31.299 * CHOOSE(CONTROL!$C$9, $C$13, 100%, $E$13) + CHOOSE(CONTROL!$C$28, 0.0271, 0)</f>
        <v>31.3261</v>
      </c>
      <c r="D311" s="4">
        <f>38.3277 * CHOOSE(CONTROL!$C$9, $C$13, 100%, $E$13) + CHOOSE(CONTROL!$C$28, 0, 0)</f>
        <v>38.3277</v>
      </c>
      <c r="E311" s="4">
        <f>188.571816590626 * CHOOSE(CONTROL!$C$9, $C$13, 100%, $E$13) + CHOOSE(CONTROL!$C$28, 0, 0)</f>
        <v>188.57181659062601</v>
      </c>
    </row>
    <row r="312" spans="1:5" ht="15">
      <c r="A312" s="13">
        <v>51013</v>
      </c>
      <c r="B312" s="4">
        <f>32.3234 * CHOOSE(CONTROL!$C$9, $C$13, 100%, $E$13) + CHOOSE(CONTROL!$C$28, 0.0271, 0)</f>
        <v>32.350499999999997</v>
      </c>
      <c r="C312" s="4">
        <f>32.0109 * CHOOSE(CONTROL!$C$9, $C$13, 100%, $E$13) + CHOOSE(CONTROL!$C$28, 0.0271, 0)</f>
        <v>32.037999999999997</v>
      </c>
      <c r="D312" s="4">
        <f>37.928 * CHOOSE(CONTROL!$C$9, $C$13, 100%, $E$13) + CHOOSE(CONTROL!$C$28, 0, 0)</f>
        <v>37.927999999999997</v>
      </c>
      <c r="E312" s="4">
        <f>193.086620662674 * CHOOSE(CONTROL!$C$9, $C$13, 100%, $E$13) + CHOOSE(CONTROL!$C$28, 0, 0)</f>
        <v>193.08662066267399</v>
      </c>
    </row>
    <row r="313" spans="1:5" ht="15">
      <c r="A313" s="13">
        <v>51043</v>
      </c>
      <c r="B313" s="4">
        <f>31.11 * CHOOSE(CONTROL!$C$9, $C$13, 100%, $E$13) + CHOOSE(CONTROL!$C$28, 0.0271, 0)</f>
        <v>31.1371</v>
      </c>
      <c r="C313" s="4">
        <f>30.7975 * CHOOSE(CONTROL!$C$9, $C$13, 100%, $E$13) + CHOOSE(CONTROL!$C$28, 0.0271, 0)</f>
        <v>30.8246</v>
      </c>
      <c r="D313" s="4">
        <f>37.7392 * CHOOSE(CONTROL!$C$9, $C$13, 100%, $E$13) + CHOOSE(CONTROL!$C$28, 0, 0)</f>
        <v>37.739199999999997</v>
      </c>
      <c r="E313" s="4">
        <f>185.391954586394 * CHOOSE(CONTROL!$C$9, $C$13, 100%, $E$13) + CHOOSE(CONTROL!$C$28, 0, 0)</f>
        <v>185.39195458639401</v>
      </c>
    </row>
    <row r="314" spans="1:5" ht="15">
      <c r="A314" s="13">
        <v>51074</v>
      </c>
      <c r="B314" s="4">
        <f>30.1387 * CHOOSE(CONTROL!$C$9, $C$13, 100%, $E$13) + CHOOSE(CONTROL!$C$28, 0.0003, 0)</f>
        <v>30.138999999999999</v>
      </c>
      <c r="C314" s="4">
        <f>29.8262 * CHOOSE(CONTROL!$C$9, $C$13, 100%, $E$13) + CHOOSE(CONTROL!$C$28, 0.0003, 0)</f>
        <v>29.826499999999999</v>
      </c>
      <c r="D314" s="4">
        <f>37.2335 * CHOOSE(CONTROL!$C$9, $C$13, 100%, $E$13) + CHOOSE(CONTROL!$C$28, 0, 0)</f>
        <v>37.233499999999999</v>
      </c>
      <c r="E314" s="4">
        <f>179.232221898949 * CHOOSE(CONTROL!$C$9, $C$13, 100%, $E$13) + CHOOSE(CONTROL!$C$28, 0, 0)</f>
        <v>179.23222189894901</v>
      </c>
    </row>
    <row r="315" spans="1:5" ht="15">
      <c r="A315" s="13">
        <v>51104</v>
      </c>
      <c r="B315" s="4">
        <f>29.5131 * CHOOSE(CONTROL!$C$9, $C$13, 100%, $E$13) + CHOOSE(CONTROL!$C$28, 0.0003, 0)</f>
        <v>29.513400000000001</v>
      </c>
      <c r="C315" s="4">
        <f>29.2006 * CHOOSE(CONTROL!$C$9, $C$13, 100%, $E$13) + CHOOSE(CONTROL!$C$28, 0.0003, 0)</f>
        <v>29.200900000000001</v>
      </c>
      <c r="D315" s="4">
        <f>37.0597 * CHOOSE(CONTROL!$C$9, $C$13, 100%, $E$13) + CHOOSE(CONTROL!$C$28, 0, 0)</f>
        <v>37.059699999999999</v>
      </c>
      <c r="E315" s="4">
        <f>175.264894068197 * CHOOSE(CONTROL!$C$9, $C$13, 100%, $E$13) + CHOOSE(CONTROL!$C$28, 0, 0)</f>
        <v>175.26489406819701</v>
      </c>
    </row>
    <row r="316" spans="1:5" ht="15">
      <c r="A316" s="13">
        <v>51135</v>
      </c>
      <c r="B316" s="4">
        <f>29.0802 * CHOOSE(CONTROL!$C$9, $C$13, 100%, $E$13) + CHOOSE(CONTROL!$C$28, 0.0003, 0)</f>
        <v>29.080500000000001</v>
      </c>
      <c r="C316" s="4">
        <f>28.7677 * CHOOSE(CONTROL!$C$9, $C$13, 100%, $E$13) + CHOOSE(CONTROL!$C$28, 0.0003, 0)</f>
        <v>28.768000000000001</v>
      </c>
      <c r="D316" s="4">
        <f>35.7799 * CHOOSE(CONTROL!$C$9, $C$13, 100%, $E$13) + CHOOSE(CONTROL!$C$28, 0, 0)</f>
        <v>35.779899999999998</v>
      </c>
      <c r="E316" s="4">
        <f>172.520013187185 * CHOOSE(CONTROL!$C$9, $C$13, 100%, $E$13) + CHOOSE(CONTROL!$C$28, 0, 0)</f>
        <v>172.52001318718499</v>
      </c>
    </row>
    <row r="317" spans="1:5" ht="15">
      <c r="A317" s="13">
        <v>51166</v>
      </c>
      <c r="B317" s="4">
        <f>28.3769 * CHOOSE(CONTROL!$C$9, $C$13, 100%, $E$13) + CHOOSE(CONTROL!$C$28, 0.0003, 0)</f>
        <v>28.377199999999998</v>
      </c>
      <c r="C317" s="4">
        <f>28.0644 * CHOOSE(CONTROL!$C$9, $C$13, 100%, $E$13) + CHOOSE(CONTROL!$C$28, 0.0003, 0)</f>
        <v>28.064699999999998</v>
      </c>
      <c r="D317" s="4">
        <f>34.6037 * CHOOSE(CONTROL!$C$9, $C$13, 100%, $E$13) + CHOOSE(CONTROL!$C$28, 0, 0)</f>
        <v>34.603700000000003</v>
      </c>
      <c r="E317" s="4">
        <f>167.572796630446 * CHOOSE(CONTROL!$C$9, $C$13, 100%, $E$13) + CHOOSE(CONTROL!$C$28, 0, 0)</f>
        <v>167.57279663044599</v>
      </c>
    </row>
    <row r="318" spans="1:5" ht="15">
      <c r="A318" s="13">
        <v>51194</v>
      </c>
      <c r="B318" s="4">
        <f>29.0062 * CHOOSE(CONTROL!$C$9, $C$13, 100%, $E$13) + CHOOSE(CONTROL!$C$28, 0.0003, 0)</f>
        <v>29.006499999999999</v>
      </c>
      <c r="C318" s="4">
        <f>28.6937 * CHOOSE(CONTROL!$C$9, $C$13, 100%, $E$13) + CHOOSE(CONTROL!$C$28, 0.0003, 0)</f>
        <v>28.693999999999999</v>
      </c>
      <c r="D318" s="4">
        <f>35.7882 * CHOOSE(CONTROL!$C$9, $C$13, 100%, $E$13) + CHOOSE(CONTROL!$C$28, 0, 0)</f>
        <v>35.788200000000003</v>
      </c>
      <c r="E318" s="4">
        <f>171.551635211669 * CHOOSE(CONTROL!$C$9, $C$13, 100%, $E$13) + CHOOSE(CONTROL!$C$28, 0, 0)</f>
        <v>171.55163521166901</v>
      </c>
    </row>
    <row r="319" spans="1:5" ht="15">
      <c r="A319" s="13">
        <v>51226</v>
      </c>
      <c r="B319" s="4">
        <f>30.6587 * CHOOSE(CONTROL!$C$9, $C$13, 100%, $E$13) + CHOOSE(CONTROL!$C$28, 0.0003, 0)</f>
        <v>30.658999999999999</v>
      </c>
      <c r="C319" s="4">
        <f>30.3462 * CHOOSE(CONTROL!$C$9, $C$13, 100%, $E$13) + CHOOSE(CONTROL!$C$28, 0.0003, 0)</f>
        <v>30.346499999999999</v>
      </c>
      <c r="D319" s="4">
        <f>37.6424 * CHOOSE(CONTROL!$C$9, $C$13, 100%, $E$13) + CHOOSE(CONTROL!$C$28, 0, 0)</f>
        <v>37.642400000000002</v>
      </c>
      <c r="E319" s="4">
        <f>182.000276774285 * CHOOSE(CONTROL!$C$9, $C$13, 100%, $E$13) + CHOOSE(CONTROL!$C$28, 0, 0)</f>
        <v>182.000276774285</v>
      </c>
    </row>
    <row r="320" spans="1:5" ht="15">
      <c r="A320" s="13">
        <v>51256</v>
      </c>
      <c r="B320" s="4">
        <f>31.8328 * CHOOSE(CONTROL!$C$9, $C$13, 100%, $E$13) + CHOOSE(CONTROL!$C$28, 0.0003, 0)</f>
        <v>31.833099999999998</v>
      </c>
      <c r="C320" s="4">
        <f>31.5203 * CHOOSE(CONTROL!$C$9, $C$13, 100%, $E$13) + CHOOSE(CONTROL!$C$28, 0.0003, 0)</f>
        <v>31.520599999999998</v>
      </c>
      <c r="D320" s="4">
        <f>38.7104 * CHOOSE(CONTROL!$C$9, $C$13, 100%, $E$13) + CHOOSE(CONTROL!$C$28, 0, 0)</f>
        <v>38.7104</v>
      </c>
      <c r="E320" s="4">
        <f>189.42417585098 * CHOOSE(CONTROL!$C$9, $C$13, 100%, $E$13) + CHOOSE(CONTROL!$C$28, 0, 0)</f>
        <v>189.42417585097999</v>
      </c>
    </row>
    <row r="321" spans="1:5" ht="15">
      <c r="A321" s="13">
        <v>51287</v>
      </c>
      <c r="B321" s="4">
        <f>32.5501 * CHOOSE(CONTROL!$C$9, $C$13, 100%, $E$13) + CHOOSE(CONTROL!$C$28, 0.0271, 0)</f>
        <v>32.577199999999998</v>
      </c>
      <c r="C321" s="4">
        <f>32.2376 * CHOOSE(CONTROL!$C$9, $C$13, 100%, $E$13) + CHOOSE(CONTROL!$C$28, 0.0271, 0)</f>
        <v>32.264699999999998</v>
      </c>
      <c r="D321" s="4">
        <f>38.2884 * CHOOSE(CONTROL!$C$9, $C$13, 100%, $E$13) + CHOOSE(CONTROL!$C$28, 0, 0)</f>
        <v>38.288400000000003</v>
      </c>
      <c r="E321" s="4">
        <f>193.960000260813 * CHOOSE(CONTROL!$C$9, $C$13, 100%, $E$13) + CHOOSE(CONTROL!$C$28, 0, 0)</f>
        <v>193.96000026081299</v>
      </c>
    </row>
    <row r="322" spans="1:5" ht="15">
      <c r="A322" s="13">
        <v>51317</v>
      </c>
      <c r="B322" s="4">
        <f>32.6472 * CHOOSE(CONTROL!$C$9, $C$13, 100%, $E$13) + CHOOSE(CONTROL!$C$28, 0.0271, 0)</f>
        <v>32.674299999999995</v>
      </c>
      <c r="C322" s="4">
        <f>32.3347 * CHOOSE(CONTROL!$C$9, $C$13, 100%, $E$13) + CHOOSE(CONTROL!$C$28, 0.0271, 0)</f>
        <v>32.361799999999995</v>
      </c>
      <c r="D322" s="4">
        <f>38.6321 * CHOOSE(CONTROL!$C$9, $C$13, 100%, $E$13) + CHOOSE(CONTROL!$C$28, 0, 0)</f>
        <v>38.632100000000001</v>
      </c>
      <c r="E322" s="4">
        <f>194.573716127521 * CHOOSE(CONTROL!$C$9, $C$13, 100%, $E$13) + CHOOSE(CONTROL!$C$28, 0, 0)</f>
        <v>194.57371612752101</v>
      </c>
    </row>
    <row r="323" spans="1:5" ht="15">
      <c r="A323" s="13">
        <v>51348</v>
      </c>
      <c r="B323" s="4">
        <f>32.6374 * CHOOSE(CONTROL!$C$9, $C$13, 100%, $E$13) + CHOOSE(CONTROL!$C$28, 0.0271, 0)</f>
        <v>32.664499999999997</v>
      </c>
      <c r="C323" s="4">
        <f>32.3249 * CHOOSE(CONTROL!$C$9, $C$13, 100%, $E$13) + CHOOSE(CONTROL!$C$28, 0.0271, 0)</f>
        <v>32.351999999999997</v>
      </c>
      <c r="D323" s="4">
        <f>39.2523 * CHOOSE(CONTROL!$C$9, $C$13, 100%, $E$13) + CHOOSE(CONTROL!$C$28, 0, 0)</f>
        <v>39.252299999999998</v>
      </c>
      <c r="E323" s="4">
        <f>194.511828813231 * CHOOSE(CONTROL!$C$9, $C$13, 100%, $E$13) + CHOOSE(CONTROL!$C$28, 0, 0)</f>
        <v>194.51182881323101</v>
      </c>
    </row>
    <row r="324" spans="1:5" ht="15">
      <c r="A324" s="13">
        <v>51379</v>
      </c>
      <c r="B324" s="4">
        <f>33.3739 * CHOOSE(CONTROL!$C$9, $C$13, 100%, $E$13) + CHOOSE(CONTROL!$C$28, 0.0271, 0)</f>
        <v>33.400999999999996</v>
      </c>
      <c r="C324" s="4">
        <f>33.0614 * CHOOSE(CONTROL!$C$9, $C$13, 100%, $E$13) + CHOOSE(CONTROL!$C$28, 0.0271, 0)</f>
        <v>33.088499999999996</v>
      </c>
      <c r="D324" s="4">
        <f>38.8427 * CHOOSE(CONTROL!$C$9, $C$13, 100%, $E$13) + CHOOSE(CONTROL!$C$28, 0, 0)</f>
        <v>38.842700000000001</v>
      </c>
      <c r="E324" s="4">
        <f>199.168849213548 * CHOOSE(CONTROL!$C$9, $C$13, 100%, $E$13) + CHOOSE(CONTROL!$C$28, 0, 0)</f>
        <v>199.16884921354799</v>
      </c>
    </row>
    <row r="325" spans="1:5" ht="15">
      <c r="A325" s="13">
        <v>51409</v>
      </c>
      <c r="B325" s="4">
        <f>32.1186 * CHOOSE(CONTROL!$C$9, $C$13, 100%, $E$13) + CHOOSE(CONTROL!$C$28, 0.0271, 0)</f>
        <v>32.145699999999998</v>
      </c>
      <c r="C325" s="4">
        <f>31.8061 * CHOOSE(CONTROL!$C$9, $C$13, 100%, $E$13) + CHOOSE(CONTROL!$C$28, 0.0271, 0)</f>
        <v>31.833200000000001</v>
      </c>
      <c r="D325" s="4">
        <f>38.6492 * CHOOSE(CONTROL!$C$9, $C$13, 100%, $E$13) + CHOOSE(CONTROL!$C$28, 0, 0)</f>
        <v>38.6492</v>
      </c>
      <c r="E325" s="4">
        <f>191.231801155865 * CHOOSE(CONTROL!$C$9, $C$13, 100%, $E$13) + CHOOSE(CONTROL!$C$28, 0, 0)</f>
        <v>191.23180115586501</v>
      </c>
    </row>
    <row r="326" spans="1:5" ht="15">
      <c r="A326" s="13">
        <v>51440</v>
      </c>
      <c r="B326" s="4">
        <f>31.1138 * CHOOSE(CONTROL!$C$9, $C$13, 100%, $E$13) + CHOOSE(CONTROL!$C$28, 0.0003, 0)</f>
        <v>31.114100000000001</v>
      </c>
      <c r="C326" s="4">
        <f>30.8013 * CHOOSE(CONTROL!$C$9, $C$13, 100%, $E$13) + CHOOSE(CONTROL!$C$28, 0.0003, 0)</f>
        <v>30.801600000000001</v>
      </c>
      <c r="D326" s="4">
        <f>38.131 * CHOOSE(CONTROL!$C$9, $C$13, 100%, $E$13) + CHOOSE(CONTROL!$C$28, 0, 0)</f>
        <v>38.131</v>
      </c>
      <c r="E326" s="4">
        <f>184.878036888766 * CHOOSE(CONTROL!$C$9, $C$13, 100%, $E$13) + CHOOSE(CONTROL!$C$28, 0, 0)</f>
        <v>184.87803688876599</v>
      </c>
    </row>
    <row r="327" spans="1:5" ht="15">
      <c r="A327" s="13">
        <v>51470</v>
      </c>
      <c r="B327" s="4">
        <f>30.4666 * CHOOSE(CONTROL!$C$9, $C$13, 100%, $E$13) + CHOOSE(CONTROL!$C$28, 0.0003, 0)</f>
        <v>30.466899999999999</v>
      </c>
      <c r="C327" s="4">
        <f>30.1541 * CHOOSE(CONTROL!$C$9, $C$13, 100%, $E$13) + CHOOSE(CONTROL!$C$28, 0.0003, 0)</f>
        <v>30.154399999999999</v>
      </c>
      <c r="D327" s="4">
        <f>37.9529 * CHOOSE(CONTROL!$C$9, $C$13, 100%, $E$13) + CHOOSE(CONTROL!$C$28, 0, 0)</f>
        <v>37.9529</v>
      </c>
      <c r="E327" s="4">
        <f>180.785738231345 * CHOOSE(CONTROL!$C$9, $C$13, 100%, $E$13) + CHOOSE(CONTROL!$C$28, 0, 0)</f>
        <v>180.78573823134499</v>
      </c>
    </row>
    <row r="328" spans="1:5" ht="15">
      <c r="A328" s="13">
        <v>51501</v>
      </c>
      <c r="B328" s="4">
        <f>30.0188 * CHOOSE(CONTROL!$C$9, $C$13, 100%, $E$13) + CHOOSE(CONTROL!$C$28, 0.0003, 0)</f>
        <v>30.019099999999998</v>
      </c>
      <c r="C328" s="4">
        <f>29.7063 * CHOOSE(CONTROL!$C$9, $C$13, 100%, $E$13) + CHOOSE(CONTROL!$C$28, 0.0003, 0)</f>
        <v>29.706599999999998</v>
      </c>
      <c r="D328" s="4">
        <f>36.6414 * CHOOSE(CONTROL!$C$9, $C$13, 100%, $E$13) + CHOOSE(CONTROL!$C$28, 0, 0)</f>
        <v>36.641399999999997</v>
      </c>
      <c r="E328" s="4">
        <f>177.954393602581 * CHOOSE(CONTROL!$C$9, $C$13, 100%, $E$13) + CHOOSE(CONTROL!$C$28, 0, 0)</f>
        <v>177.95439360258101</v>
      </c>
    </row>
    <row r="329" spans="1:5" ht="15">
      <c r="A329" s="13">
        <v>51532</v>
      </c>
      <c r="B329" s="4">
        <f>29.2912 * CHOOSE(CONTROL!$C$9, $C$13, 100%, $E$13) + CHOOSE(CONTROL!$C$28, 0.0003, 0)</f>
        <v>29.291499999999999</v>
      </c>
      <c r="C329" s="4">
        <f>28.9787 * CHOOSE(CONTROL!$C$9, $C$13, 100%, $E$13) + CHOOSE(CONTROL!$C$28, 0.0003, 0)</f>
        <v>28.978999999999999</v>
      </c>
      <c r="D329" s="4">
        <f>35.436 * CHOOSE(CONTROL!$C$9, $C$13, 100%, $E$13) + CHOOSE(CONTROL!$C$28, 0, 0)</f>
        <v>35.436</v>
      </c>
      <c r="E329" s="4">
        <f>172.851339724305 * CHOOSE(CONTROL!$C$9, $C$13, 100%, $E$13) + CHOOSE(CONTROL!$C$28, 0, 0)</f>
        <v>172.85133972430501</v>
      </c>
    </row>
    <row r="330" spans="1:5" ht="15">
      <c r="A330" s="13">
        <v>51560</v>
      </c>
      <c r="B330" s="4">
        <f>29.9422 * CHOOSE(CONTROL!$C$9, $C$13, 100%, $E$13) + CHOOSE(CONTROL!$C$28, 0.0003, 0)</f>
        <v>29.942499999999999</v>
      </c>
      <c r="C330" s="4">
        <f>29.6297 * CHOOSE(CONTROL!$C$9, $C$13, 100%, $E$13) + CHOOSE(CONTROL!$C$28, 0.0003, 0)</f>
        <v>29.63</v>
      </c>
      <c r="D330" s="4">
        <f>36.6498 * CHOOSE(CONTROL!$C$9, $C$13, 100%, $E$13) + CHOOSE(CONTROL!$C$28, 0, 0)</f>
        <v>36.649799999999999</v>
      </c>
      <c r="E330" s="4">
        <f>176.955511720837 * CHOOSE(CONTROL!$C$9, $C$13, 100%, $E$13) + CHOOSE(CONTROL!$C$28, 0, 0)</f>
        <v>176.95551172083699</v>
      </c>
    </row>
    <row r="331" spans="1:5" ht="15">
      <c r="A331" s="13">
        <v>51591</v>
      </c>
      <c r="B331" s="4">
        <f>31.6517 * CHOOSE(CONTROL!$C$9, $C$13, 100%, $E$13) + CHOOSE(CONTROL!$C$28, 0.0003, 0)</f>
        <v>31.652000000000001</v>
      </c>
      <c r="C331" s="4">
        <f>31.3392 * CHOOSE(CONTROL!$C$9, $C$13, 100%, $E$13) + CHOOSE(CONTROL!$C$28, 0.0003, 0)</f>
        <v>31.339500000000001</v>
      </c>
      <c r="D331" s="4">
        <f>38.55 * CHOOSE(CONTROL!$C$9, $C$13, 100%, $E$13) + CHOOSE(CONTROL!$C$28, 0, 0)</f>
        <v>38.549999999999997</v>
      </c>
      <c r="E331" s="4">
        <f>187.733285492675 * CHOOSE(CONTROL!$C$9, $C$13, 100%, $E$13) + CHOOSE(CONTROL!$C$28, 0, 0)</f>
        <v>187.73328549267501</v>
      </c>
    </row>
    <row r="332" spans="1:5" ht="15">
      <c r="A332" s="13">
        <v>51621</v>
      </c>
      <c r="B332" s="4">
        <f>32.8663 * CHOOSE(CONTROL!$C$9, $C$13, 100%, $E$13) + CHOOSE(CONTROL!$C$28, 0.0003, 0)</f>
        <v>32.866600000000005</v>
      </c>
      <c r="C332" s="4">
        <f>32.5538 * CHOOSE(CONTROL!$C$9, $C$13, 100%, $E$13) + CHOOSE(CONTROL!$C$28, 0.0003, 0)</f>
        <v>32.554100000000005</v>
      </c>
      <c r="D332" s="4">
        <f>39.6445 * CHOOSE(CONTROL!$C$9, $C$13, 100%, $E$13) + CHOOSE(CONTROL!$C$28, 0, 0)</f>
        <v>39.644500000000001</v>
      </c>
      <c r="E332" s="4">
        <f>195.391037390286 * CHOOSE(CONTROL!$C$9, $C$13, 100%, $E$13) + CHOOSE(CONTROL!$C$28, 0, 0)</f>
        <v>195.39103739028599</v>
      </c>
    </row>
    <row r="333" spans="1:5" ht="15">
      <c r="A333" s="13">
        <v>51652</v>
      </c>
      <c r="B333" s="4">
        <f>33.6084 * CHOOSE(CONTROL!$C$9, $C$13, 100%, $E$13) + CHOOSE(CONTROL!$C$28, 0.0271, 0)</f>
        <v>33.6355</v>
      </c>
      <c r="C333" s="4">
        <f>33.2959 * CHOOSE(CONTROL!$C$9, $C$13, 100%, $E$13) + CHOOSE(CONTROL!$C$28, 0.0271, 0)</f>
        <v>33.323</v>
      </c>
      <c r="D333" s="4">
        <f>39.212 * CHOOSE(CONTROL!$C$9, $C$13, 100%, $E$13) + CHOOSE(CONTROL!$C$28, 0, 0)</f>
        <v>39.212000000000003</v>
      </c>
      <c r="E333" s="4">
        <f>200.069740269028 * CHOOSE(CONTROL!$C$9, $C$13, 100%, $E$13) + CHOOSE(CONTROL!$C$28, 0, 0)</f>
        <v>200.06974026902799</v>
      </c>
    </row>
    <row r="334" spans="1:5" ht="15">
      <c r="A334" s="13">
        <v>51682</v>
      </c>
      <c r="B334" s="4">
        <f>33.7088 * CHOOSE(CONTROL!$C$9, $C$13, 100%, $E$13) + CHOOSE(CONTROL!$C$28, 0.0271, 0)</f>
        <v>33.735899999999994</v>
      </c>
      <c r="C334" s="4">
        <f>33.3963 * CHOOSE(CONTROL!$C$9, $C$13, 100%, $E$13) + CHOOSE(CONTROL!$C$28, 0.0271, 0)</f>
        <v>33.423399999999994</v>
      </c>
      <c r="D334" s="4">
        <f>39.5643 * CHOOSE(CONTROL!$C$9, $C$13, 100%, $E$13) + CHOOSE(CONTROL!$C$28, 0, 0)</f>
        <v>39.564300000000003</v>
      </c>
      <c r="E334" s="4">
        <f>200.702788185538 * CHOOSE(CONTROL!$C$9, $C$13, 100%, $E$13) + CHOOSE(CONTROL!$C$28, 0, 0)</f>
        <v>200.702788185538</v>
      </c>
    </row>
    <row r="335" spans="1:5" ht="15">
      <c r="A335" s="13">
        <v>51713</v>
      </c>
      <c r="B335" s="4">
        <f>33.6987 * CHOOSE(CONTROL!$C$9, $C$13, 100%, $E$13) + CHOOSE(CONTROL!$C$28, 0.0271, 0)</f>
        <v>33.7258</v>
      </c>
      <c r="C335" s="4">
        <f>33.3862 * CHOOSE(CONTROL!$C$9, $C$13, 100%, $E$13) + CHOOSE(CONTROL!$C$28, 0.0271, 0)</f>
        <v>33.4133</v>
      </c>
      <c r="D335" s="4">
        <f>40.1999 * CHOOSE(CONTROL!$C$9, $C$13, 100%, $E$13) + CHOOSE(CONTROL!$C$28, 0, 0)</f>
        <v>40.1999</v>
      </c>
      <c r="E335" s="4">
        <f>200.638951420848 * CHOOSE(CONTROL!$C$9, $C$13, 100%, $E$13) + CHOOSE(CONTROL!$C$28, 0, 0)</f>
        <v>200.638951420848</v>
      </c>
    </row>
    <row r="336" spans="1:5" ht="15">
      <c r="A336" s="13">
        <v>51744</v>
      </c>
      <c r="B336" s="4">
        <f>34.4606 * CHOOSE(CONTROL!$C$9, $C$13, 100%, $E$13) + CHOOSE(CONTROL!$C$28, 0.0271, 0)</f>
        <v>34.487699999999997</v>
      </c>
      <c r="C336" s="4">
        <f>34.1481 * CHOOSE(CONTROL!$C$9, $C$13, 100%, $E$13) + CHOOSE(CONTROL!$C$28, 0.0271, 0)</f>
        <v>34.175199999999997</v>
      </c>
      <c r="D336" s="4">
        <f>39.7801 * CHOOSE(CONTROL!$C$9, $C$13, 100%, $E$13) + CHOOSE(CONTROL!$C$28, 0, 0)</f>
        <v>39.780099999999997</v>
      </c>
      <c r="E336" s="4">
        <f>205.442667963775 * CHOOSE(CONTROL!$C$9, $C$13, 100%, $E$13) + CHOOSE(CONTROL!$C$28, 0, 0)</f>
        <v>205.44266796377499</v>
      </c>
    </row>
    <row r="337" spans="1:5" ht="15">
      <c r="A337" s="13">
        <v>51774</v>
      </c>
      <c r="B337" s="4">
        <f>33.162 * CHOOSE(CONTROL!$C$9, $C$13, 100%, $E$13) + CHOOSE(CONTROL!$C$28, 0.0271, 0)</f>
        <v>33.189099999999996</v>
      </c>
      <c r="C337" s="4">
        <f>32.8495 * CHOOSE(CONTROL!$C$9, $C$13, 100%, $E$13) + CHOOSE(CONTROL!$C$28, 0.0271, 0)</f>
        <v>32.876599999999996</v>
      </c>
      <c r="D337" s="4">
        <f>39.5818 * CHOOSE(CONTROL!$C$9, $C$13, 100%, $E$13) + CHOOSE(CONTROL!$C$28, 0, 0)</f>
        <v>39.581800000000001</v>
      </c>
      <c r="E337" s="4">
        <f>197.255602892275 * CHOOSE(CONTROL!$C$9, $C$13, 100%, $E$13) + CHOOSE(CONTROL!$C$28, 0, 0)</f>
        <v>197.25560289227499</v>
      </c>
    </row>
    <row r="338" spans="1:5" ht="15">
      <c r="A338" s="13">
        <v>51805</v>
      </c>
      <c r="B338" s="4">
        <f>32.1225 * CHOOSE(CONTROL!$C$9, $C$13, 100%, $E$13) + CHOOSE(CONTROL!$C$28, 0.0003, 0)</f>
        <v>32.122800000000005</v>
      </c>
      <c r="C338" s="4">
        <f>31.81 * CHOOSE(CONTROL!$C$9, $C$13, 100%, $E$13) + CHOOSE(CONTROL!$C$28, 0.0003, 0)</f>
        <v>31.810299999999998</v>
      </c>
      <c r="D338" s="4">
        <f>39.0508 * CHOOSE(CONTROL!$C$9, $C$13, 100%, $E$13) + CHOOSE(CONTROL!$C$28, 0, 0)</f>
        <v>39.050800000000002</v>
      </c>
      <c r="E338" s="4">
        <f>190.701695050762 * CHOOSE(CONTROL!$C$9, $C$13, 100%, $E$13) + CHOOSE(CONTROL!$C$28, 0, 0)</f>
        <v>190.701695050762</v>
      </c>
    </row>
    <row r="339" spans="1:5" ht="15">
      <c r="A339" s="13">
        <v>51835</v>
      </c>
      <c r="B339" s="4">
        <f>31.453 * CHOOSE(CONTROL!$C$9, $C$13, 100%, $E$13) + CHOOSE(CONTROL!$C$28, 0.0003, 0)</f>
        <v>31.453299999999999</v>
      </c>
      <c r="C339" s="4">
        <f>31.1405 * CHOOSE(CONTROL!$C$9, $C$13, 100%, $E$13) + CHOOSE(CONTROL!$C$28, 0.0003, 0)</f>
        <v>31.140799999999999</v>
      </c>
      <c r="D339" s="4">
        <f>38.8682 * CHOOSE(CONTROL!$C$9, $C$13, 100%, $E$13) + CHOOSE(CONTROL!$C$28, 0, 0)</f>
        <v>38.868200000000002</v>
      </c>
      <c r="E339" s="4">
        <f>186.480488985632 * CHOOSE(CONTROL!$C$9, $C$13, 100%, $E$13) + CHOOSE(CONTROL!$C$28, 0, 0)</f>
        <v>186.48048898563201</v>
      </c>
    </row>
    <row r="340" spans="1:5" ht="15">
      <c r="A340" s="13">
        <v>51866</v>
      </c>
      <c r="B340" s="4">
        <f>30.9897 * CHOOSE(CONTROL!$C$9, $C$13, 100%, $E$13) + CHOOSE(CONTROL!$C$28, 0.0003, 0)</f>
        <v>30.99</v>
      </c>
      <c r="C340" s="4">
        <f>30.6772 * CHOOSE(CONTROL!$C$9, $C$13, 100%, $E$13) + CHOOSE(CONTROL!$C$28, 0.0003, 0)</f>
        <v>30.677499999999998</v>
      </c>
      <c r="D340" s="4">
        <f>37.5242 * CHOOSE(CONTROL!$C$9, $C$13, 100%, $E$13) + CHOOSE(CONTROL!$C$28, 0, 0)</f>
        <v>37.5242</v>
      </c>
      <c r="E340" s="4">
        <f>183.559957001062 * CHOOSE(CONTROL!$C$9, $C$13, 100%, $E$13) + CHOOSE(CONTROL!$C$28, 0, 0)</f>
        <v>183.559957001062</v>
      </c>
    </row>
    <row r="341" spans="1:5" ht="15">
      <c r="A341" s="13">
        <v>51897</v>
      </c>
      <c r="B341" s="4">
        <f>30.2371 * CHOOSE(CONTROL!$C$9, $C$13, 100%, $E$13) + CHOOSE(CONTROL!$C$28, 0.0003, 0)</f>
        <v>30.237400000000001</v>
      </c>
      <c r="C341" s="4">
        <f>29.9246 * CHOOSE(CONTROL!$C$9, $C$13, 100%, $E$13) + CHOOSE(CONTROL!$C$28, 0.0003, 0)</f>
        <v>29.924900000000001</v>
      </c>
      <c r="D341" s="4">
        <f>36.2889 * CHOOSE(CONTROL!$C$9, $C$13, 100%, $E$13) + CHOOSE(CONTROL!$C$28, 0, 0)</f>
        <v>36.288899999999998</v>
      </c>
      <c r="E341" s="4">
        <f>178.296156925621 * CHOOSE(CONTROL!$C$9, $C$13, 100%, $E$13) + CHOOSE(CONTROL!$C$28, 0, 0)</f>
        <v>178.29615692562101</v>
      </c>
    </row>
    <row r="342" spans="1:5" ht="15">
      <c r="A342" s="13">
        <v>51925</v>
      </c>
      <c r="B342" s="4">
        <f>30.9105 * CHOOSE(CONTROL!$C$9, $C$13, 100%, $E$13) + CHOOSE(CONTROL!$C$28, 0.0003, 0)</f>
        <v>30.910799999999998</v>
      </c>
      <c r="C342" s="4">
        <f>30.598 * CHOOSE(CONTROL!$C$9, $C$13, 100%, $E$13) + CHOOSE(CONTROL!$C$28, 0.0003, 0)</f>
        <v>30.598299999999998</v>
      </c>
      <c r="D342" s="4">
        <f>37.5329 * CHOOSE(CONTROL!$C$9, $C$13, 100%, $E$13) + CHOOSE(CONTROL!$C$28, 0, 0)</f>
        <v>37.532899999999998</v>
      </c>
      <c r="E342" s="4">
        <f>182.529610340043 * CHOOSE(CONTROL!$C$9, $C$13, 100%, $E$13) + CHOOSE(CONTROL!$C$28, 0, 0)</f>
        <v>182.52961034004301</v>
      </c>
    </row>
    <row r="343" spans="1:5" ht="15">
      <c r="A343" s="13">
        <v>51956</v>
      </c>
      <c r="B343" s="4">
        <f>32.679 * CHOOSE(CONTROL!$C$9, $C$13, 100%, $E$13) + CHOOSE(CONTROL!$C$28, 0.0003, 0)</f>
        <v>32.679300000000005</v>
      </c>
      <c r="C343" s="4">
        <f>32.3665 * CHOOSE(CONTROL!$C$9, $C$13, 100%, $E$13) + CHOOSE(CONTROL!$C$28, 0.0003, 0)</f>
        <v>32.366800000000005</v>
      </c>
      <c r="D343" s="4">
        <f>39.4801 * CHOOSE(CONTROL!$C$9, $C$13, 100%, $E$13) + CHOOSE(CONTROL!$C$28, 0, 0)</f>
        <v>39.4801</v>
      </c>
      <c r="E343" s="4">
        <f>193.646883985694 * CHOOSE(CONTROL!$C$9, $C$13, 100%, $E$13) + CHOOSE(CONTROL!$C$28, 0, 0)</f>
        <v>193.64688398569399</v>
      </c>
    </row>
    <row r="344" spans="1:5" ht="15">
      <c r="A344" s="13">
        <v>51986</v>
      </c>
      <c r="B344" s="4">
        <f>33.9355 * CHOOSE(CONTROL!$C$9, $C$13, 100%, $E$13) + CHOOSE(CONTROL!$C$28, 0.0003, 0)</f>
        <v>33.9358</v>
      </c>
      <c r="C344" s="4">
        <f>33.623 * CHOOSE(CONTROL!$C$9, $C$13, 100%, $E$13) + CHOOSE(CONTROL!$C$28, 0.0003, 0)</f>
        <v>33.6233</v>
      </c>
      <c r="D344" s="4">
        <f>40.6018 * CHOOSE(CONTROL!$C$9, $C$13, 100%, $E$13) + CHOOSE(CONTROL!$C$28, 0, 0)</f>
        <v>40.601799999999997</v>
      </c>
      <c r="E344" s="4">
        <f>201.54585506808 * CHOOSE(CONTROL!$C$9, $C$13, 100%, $E$13) + CHOOSE(CONTROL!$C$28, 0, 0)</f>
        <v>201.54585506807999</v>
      </c>
    </row>
    <row r="345" spans="1:5" ht="15">
      <c r="A345" s="13">
        <v>52017</v>
      </c>
      <c r="B345" s="4">
        <f>34.7032 * CHOOSE(CONTROL!$C$9, $C$13, 100%, $E$13) + CHOOSE(CONTROL!$C$28, 0.0271, 0)</f>
        <v>34.7303</v>
      </c>
      <c r="C345" s="4">
        <f>34.3907 * CHOOSE(CONTROL!$C$9, $C$13, 100%, $E$13) + CHOOSE(CONTROL!$C$28, 0.0271, 0)</f>
        <v>34.4178</v>
      </c>
      <c r="D345" s="4">
        <f>40.1586 * CHOOSE(CONTROL!$C$9, $C$13, 100%, $E$13) + CHOOSE(CONTROL!$C$28, 0, 0)</f>
        <v>40.1586</v>
      </c>
      <c r="E345" s="4">
        <f>206.371937087503 * CHOOSE(CONTROL!$C$9, $C$13, 100%, $E$13) + CHOOSE(CONTROL!$C$28, 0, 0)</f>
        <v>206.371937087503</v>
      </c>
    </row>
    <row r="346" spans="1:5" ht="15">
      <c r="A346" s="13">
        <v>52047</v>
      </c>
      <c r="B346" s="4">
        <f>34.8071 * CHOOSE(CONTROL!$C$9, $C$13, 100%, $E$13) + CHOOSE(CONTROL!$C$28, 0.0271, 0)</f>
        <v>34.834199999999996</v>
      </c>
      <c r="C346" s="4">
        <f>34.4946 * CHOOSE(CONTROL!$C$9, $C$13, 100%, $E$13) + CHOOSE(CONTROL!$C$28, 0.0271, 0)</f>
        <v>34.521699999999996</v>
      </c>
      <c r="D346" s="4">
        <f>40.5196 * CHOOSE(CONTROL!$C$9, $C$13, 100%, $E$13) + CHOOSE(CONTROL!$C$28, 0, 0)</f>
        <v>40.519599999999997</v>
      </c>
      <c r="E346" s="4">
        <f>207.024926013382 * CHOOSE(CONTROL!$C$9, $C$13, 100%, $E$13) + CHOOSE(CONTROL!$C$28, 0, 0)</f>
        <v>207.02492601338199</v>
      </c>
    </row>
    <row r="347" spans="1:5" ht="15">
      <c r="A347" s="13">
        <v>52078</v>
      </c>
      <c r="B347" s="4">
        <f>34.7966 * CHOOSE(CONTROL!$C$9, $C$13, 100%, $E$13) + CHOOSE(CONTROL!$C$28, 0.0271, 0)</f>
        <v>34.823699999999995</v>
      </c>
      <c r="C347" s="4">
        <f>34.4841 * CHOOSE(CONTROL!$C$9, $C$13, 100%, $E$13) + CHOOSE(CONTROL!$C$28, 0.0271, 0)</f>
        <v>34.511199999999995</v>
      </c>
      <c r="D347" s="4">
        <f>41.1709 * CHOOSE(CONTROL!$C$9, $C$13, 100%, $E$13) + CHOOSE(CONTROL!$C$28, 0, 0)</f>
        <v>41.170900000000003</v>
      </c>
      <c r="E347" s="4">
        <f>206.959078390605 * CHOOSE(CONTROL!$C$9, $C$13, 100%, $E$13) + CHOOSE(CONTROL!$C$28, 0, 0)</f>
        <v>206.95907839060499</v>
      </c>
    </row>
    <row r="348" spans="1:5" ht="15">
      <c r="A348" s="13">
        <v>52109</v>
      </c>
      <c r="B348" s="4">
        <f>35.5848 * CHOOSE(CONTROL!$C$9, $C$13, 100%, $E$13) + CHOOSE(CONTROL!$C$28, 0.0271, 0)</f>
        <v>35.611899999999999</v>
      </c>
      <c r="C348" s="4">
        <f>35.2723 * CHOOSE(CONTROL!$C$9, $C$13, 100%, $E$13) + CHOOSE(CONTROL!$C$28, 0.0271, 0)</f>
        <v>35.299399999999999</v>
      </c>
      <c r="D348" s="4">
        <f>40.7408 * CHOOSE(CONTROL!$C$9, $C$13, 100%, $E$13) + CHOOSE(CONTROL!$C$28, 0, 0)</f>
        <v>40.7408</v>
      </c>
      <c r="E348" s="4">
        <f>211.914112004634 * CHOOSE(CONTROL!$C$9, $C$13, 100%, $E$13) + CHOOSE(CONTROL!$C$28, 0, 0)</f>
        <v>211.91411200463401</v>
      </c>
    </row>
    <row r="349" spans="1:5" ht="15">
      <c r="A349" s="13">
        <v>52139</v>
      </c>
      <c r="B349" s="4">
        <f>34.2414 * CHOOSE(CONTROL!$C$9, $C$13, 100%, $E$13) + CHOOSE(CONTROL!$C$28, 0.0271, 0)</f>
        <v>34.268499999999996</v>
      </c>
      <c r="C349" s="4">
        <f>33.9289 * CHOOSE(CONTROL!$C$9, $C$13, 100%, $E$13) + CHOOSE(CONTROL!$C$28, 0.0271, 0)</f>
        <v>33.955999999999996</v>
      </c>
      <c r="D349" s="4">
        <f>40.5375 * CHOOSE(CONTROL!$C$9, $C$13, 100%, $E$13) + CHOOSE(CONTROL!$C$28, 0, 0)</f>
        <v>40.537500000000001</v>
      </c>
      <c r="E349" s="4">
        <f>203.469154383382 * CHOOSE(CONTROL!$C$9, $C$13, 100%, $E$13) + CHOOSE(CONTROL!$C$28, 0, 0)</f>
        <v>203.469154383382</v>
      </c>
    </row>
    <row r="350" spans="1:5" ht="15">
      <c r="A350" s="13">
        <v>52170</v>
      </c>
      <c r="B350" s="4">
        <f>33.166 * CHOOSE(CONTROL!$C$9, $C$13, 100%, $E$13) + CHOOSE(CONTROL!$C$28, 0.0003, 0)</f>
        <v>33.1663</v>
      </c>
      <c r="C350" s="4">
        <f>32.8535 * CHOOSE(CONTROL!$C$9, $C$13, 100%, $E$13) + CHOOSE(CONTROL!$C$28, 0.0003, 0)</f>
        <v>32.8538</v>
      </c>
      <c r="D350" s="4">
        <f>39.9934 * CHOOSE(CONTROL!$C$9, $C$13, 100%, $E$13) + CHOOSE(CONTROL!$C$28, 0, 0)</f>
        <v>39.993400000000001</v>
      </c>
      <c r="E350" s="4">
        <f>196.708798444861 * CHOOSE(CONTROL!$C$9, $C$13, 100%, $E$13) + CHOOSE(CONTROL!$C$28, 0, 0)</f>
        <v>196.708798444861</v>
      </c>
    </row>
    <row r="351" spans="1:5" ht="15">
      <c r="A351" s="13">
        <v>52200</v>
      </c>
      <c r="B351" s="4">
        <f>32.4734 * CHOOSE(CONTROL!$C$9, $C$13, 100%, $E$13) + CHOOSE(CONTROL!$C$28, 0.0003, 0)</f>
        <v>32.473700000000001</v>
      </c>
      <c r="C351" s="4">
        <f>32.1609 * CHOOSE(CONTROL!$C$9, $C$13, 100%, $E$13) + CHOOSE(CONTROL!$C$28, 0.0003, 0)</f>
        <v>32.161200000000001</v>
      </c>
      <c r="D351" s="4">
        <f>39.8063 * CHOOSE(CONTROL!$C$9, $C$13, 100%, $E$13) + CHOOSE(CONTROL!$C$28, 0, 0)</f>
        <v>39.8063</v>
      </c>
      <c r="E351" s="4">
        <f>192.35462438868 * CHOOSE(CONTROL!$C$9, $C$13, 100%, $E$13) + CHOOSE(CONTROL!$C$28, 0, 0)</f>
        <v>192.35462438868001</v>
      </c>
    </row>
    <row r="352" spans="1:5" ht="15">
      <c r="A352" s="13">
        <v>52231</v>
      </c>
      <c r="B352" s="4">
        <f>31.9942 * CHOOSE(CONTROL!$C$9, $C$13, 100%, $E$13) + CHOOSE(CONTROL!$C$28, 0.0003, 0)</f>
        <v>31.994499999999999</v>
      </c>
      <c r="C352" s="4">
        <f>31.6817 * CHOOSE(CONTROL!$C$9, $C$13, 100%, $E$13) + CHOOSE(CONTROL!$C$28, 0.0003, 0)</f>
        <v>31.681999999999999</v>
      </c>
      <c r="D352" s="4">
        <f>38.4289 * CHOOSE(CONTROL!$C$9, $C$13, 100%, $E$13) + CHOOSE(CONTROL!$C$28, 0, 0)</f>
        <v>38.428899999999999</v>
      </c>
      <c r="E352" s="4">
        <f>189.342095646596 * CHOOSE(CONTROL!$C$9, $C$13, 100%, $E$13) + CHOOSE(CONTROL!$C$28, 0, 0)</f>
        <v>189.34209564659599</v>
      </c>
    </row>
    <row r="353" spans="1:5" ht="15">
      <c r="A353" s="13">
        <v>52262</v>
      </c>
      <c r="B353" s="4">
        <f>31.2156 * CHOOSE(CONTROL!$C$9, $C$13, 100%, $E$13) + CHOOSE(CONTROL!$C$28, 0.0003, 0)</f>
        <v>31.215899999999998</v>
      </c>
      <c r="C353" s="4">
        <f>30.9031 * CHOOSE(CONTROL!$C$9, $C$13, 100%, $E$13) + CHOOSE(CONTROL!$C$28, 0.0003, 0)</f>
        <v>30.903399999999998</v>
      </c>
      <c r="D353" s="4">
        <f>37.163 * CHOOSE(CONTROL!$C$9, $C$13, 100%, $E$13) + CHOOSE(CONTROL!$C$28, 0, 0)</f>
        <v>37.162999999999997</v>
      </c>
      <c r="E353" s="4">
        <f>183.912485868778 * CHOOSE(CONTROL!$C$9, $C$13, 100%, $E$13) + CHOOSE(CONTROL!$C$28, 0, 0)</f>
        <v>183.91248586877799</v>
      </c>
    </row>
    <row r="354" spans="1:5" ht="15">
      <c r="A354" s="13">
        <v>52290</v>
      </c>
      <c r="B354" s="4">
        <f>31.9123 * CHOOSE(CONTROL!$C$9, $C$13, 100%, $E$13) + CHOOSE(CONTROL!$C$28, 0.0003, 0)</f>
        <v>31.912599999999998</v>
      </c>
      <c r="C354" s="4">
        <f>31.5998 * CHOOSE(CONTROL!$C$9, $C$13, 100%, $E$13) + CHOOSE(CONTROL!$C$28, 0.0003, 0)</f>
        <v>31.600099999999998</v>
      </c>
      <c r="D354" s="4">
        <f>38.4378 * CHOOSE(CONTROL!$C$9, $C$13, 100%, $E$13) + CHOOSE(CONTROL!$C$28, 0, 0)</f>
        <v>38.437800000000003</v>
      </c>
      <c r="E354" s="4">
        <f>188.279293065755 * CHOOSE(CONTROL!$C$9, $C$13, 100%, $E$13) + CHOOSE(CONTROL!$C$28, 0, 0)</f>
        <v>188.27929306575501</v>
      </c>
    </row>
    <row r="355" spans="1:5" ht="15">
      <c r="A355" s="13">
        <v>52321</v>
      </c>
      <c r="B355" s="4">
        <f>33.7417 * CHOOSE(CONTROL!$C$9, $C$13, 100%, $E$13) + CHOOSE(CONTROL!$C$28, 0.0003, 0)</f>
        <v>33.742000000000004</v>
      </c>
      <c r="C355" s="4">
        <f>33.4292 * CHOOSE(CONTROL!$C$9, $C$13, 100%, $E$13) + CHOOSE(CONTROL!$C$28, 0.0003, 0)</f>
        <v>33.429500000000004</v>
      </c>
      <c r="D355" s="4">
        <f>40.4334 * CHOOSE(CONTROL!$C$9, $C$13, 100%, $E$13) + CHOOSE(CONTROL!$C$28, 0, 0)</f>
        <v>40.433399999999999</v>
      </c>
      <c r="E355" s="4">
        <f>199.746760831243 * CHOOSE(CONTROL!$C$9, $C$13, 100%, $E$13) + CHOOSE(CONTROL!$C$28, 0, 0)</f>
        <v>199.74676083124299</v>
      </c>
    </row>
    <row r="356" spans="1:5" ht="15">
      <c r="A356" s="13">
        <v>52351</v>
      </c>
      <c r="B356" s="4">
        <f>35.0416 * CHOOSE(CONTROL!$C$9, $C$13, 100%, $E$13) + CHOOSE(CONTROL!$C$28, 0.0003, 0)</f>
        <v>35.041900000000005</v>
      </c>
      <c r="C356" s="4">
        <f>34.7291 * CHOOSE(CONTROL!$C$9, $C$13, 100%, $E$13) + CHOOSE(CONTROL!$C$28, 0.0003, 0)</f>
        <v>34.729400000000005</v>
      </c>
      <c r="D356" s="4">
        <f>41.5829 * CHOOSE(CONTROL!$C$9, $C$13, 100%, $E$13) + CHOOSE(CONTROL!$C$28, 0, 0)</f>
        <v>41.582900000000002</v>
      </c>
      <c r="E356" s="4">
        <f>207.894549502725 * CHOOSE(CONTROL!$C$9, $C$13, 100%, $E$13) + CHOOSE(CONTROL!$C$28, 0, 0)</f>
        <v>207.894549502725</v>
      </c>
    </row>
    <row r="357" spans="1:5" ht="15">
      <c r="A357" s="13">
        <v>52382</v>
      </c>
      <c r="B357" s="4">
        <f>35.8358 * CHOOSE(CONTROL!$C$9, $C$13, 100%, $E$13) + CHOOSE(CONTROL!$C$28, 0.0271, 0)</f>
        <v>35.862899999999996</v>
      </c>
      <c r="C357" s="4">
        <f>35.5233 * CHOOSE(CONTROL!$C$9, $C$13, 100%, $E$13) + CHOOSE(CONTROL!$C$28, 0.0271, 0)</f>
        <v>35.550399999999996</v>
      </c>
      <c r="D357" s="4">
        <f>41.1286 * CHOOSE(CONTROL!$C$9, $C$13, 100%, $E$13) + CHOOSE(CONTROL!$C$28, 0, 0)</f>
        <v>41.128599999999999</v>
      </c>
      <c r="E357" s="4">
        <f>212.872653105759 * CHOOSE(CONTROL!$C$9, $C$13, 100%, $E$13) + CHOOSE(CONTROL!$C$28, 0, 0)</f>
        <v>212.87265310575901</v>
      </c>
    </row>
    <row r="358" spans="1:5" ht="15">
      <c r="A358" s="13">
        <v>52412</v>
      </c>
      <c r="B358" s="4">
        <f>35.9432 * CHOOSE(CONTROL!$C$9, $C$13, 100%, $E$13) + CHOOSE(CONTROL!$C$28, 0.0271, 0)</f>
        <v>35.970299999999995</v>
      </c>
      <c r="C358" s="4">
        <f>35.6307 * CHOOSE(CONTROL!$C$9, $C$13, 100%, $E$13) + CHOOSE(CONTROL!$C$28, 0.0271, 0)</f>
        <v>35.657799999999995</v>
      </c>
      <c r="D358" s="4">
        <f>41.4986 * CHOOSE(CONTROL!$C$9, $C$13, 100%, $E$13) + CHOOSE(CONTROL!$C$28, 0, 0)</f>
        <v>41.498600000000003</v>
      </c>
      <c r="E358" s="4">
        <f>213.546211182804 * CHOOSE(CONTROL!$C$9, $C$13, 100%, $E$13) + CHOOSE(CONTROL!$C$28, 0, 0)</f>
        <v>213.546211182804</v>
      </c>
    </row>
    <row r="359" spans="1:5" ht="15">
      <c r="A359" s="13">
        <v>52443</v>
      </c>
      <c r="B359" s="4">
        <f>35.9324 * CHOOSE(CONTROL!$C$9, $C$13, 100%, $E$13) + CHOOSE(CONTROL!$C$28, 0.0271, 0)</f>
        <v>35.959499999999998</v>
      </c>
      <c r="C359" s="4">
        <f>35.6199 * CHOOSE(CONTROL!$C$9, $C$13, 100%, $E$13) + CHOOSE(CONTROL!$C$28, 0.0271, 0)</f>
        <v>35.646999999999998</v>
      </c>
      <c r="D359" s="4">
        <f>42.1661 * CHOOSE(CONTROL!$C$9, $C$13, 100%, $E$13) + CHOOSE(CONTROL!$C$28, 0, 0)</f>
        <v>42.1661</v>
      </c>
      <c r="E359" s="4">
        <f>213.478289359909 * CHOOSE(CONTROL!$C$9, $C$13, 100%, $E$13) + CHOOSE(CONTROL!$C$28, 0, 0)</f>
        <v>213.47828935990901</v>
      </c>
    </row>
    <row r="360" spans="1:5" ht="15">
      <c r="A360" s="13">
        <v>52474</v>
      </c>
      <c r="B360" s="4">
        <f>36.7478 * CHOOSE(CONTROL!$C$9, $C$13, 100%, $E$13) + CHOOSE(CONTROL!$C$28, 0.0271, 0)</f>
        <v>36.774899999999995</v>
      </c>
      <c r="C360" s="4">
        <f>36.4353 * CHOOSE(CONTROL!$C$9, $C$13, 100%, $E$13) + CHOOSE(CONTROL!$C$28, 0.0271, 0)</f>
        <v>36.462399999999995</v>
      </c>
      <c r="D360" s="4">
        <f>41.7252 * CHOOSE(CONTROL!$C$9, $C$13, 100%, $E$13) + CHOOSE(CONTROL!$C$28, 0, 0)</f>
        <v>41.725200000000001</v>
      </c>
      <c r="E360" s="4">
        <f>218.589406532779 * CHOOSE(CONTROL!$C$9, $C$13, 100%, $E$13) + CHOOSE(CONTROL!$C$28, 0, 0)</f>
        <v>218.58940653277901</v>
      </c>
    </row>
    <row r="361" spans="1:5" ht="15">
      <c r="A361" s="13">
        <v>52504</v>
      </c>
      <c r="B361" s="4">
        <f>35.3581 * CHOOSE(CONTROL!$C$9, $C$13, 100%, $E$13) + CHOOSE(CONTROL!$C$28, 0.0271, 0)</f>
        <v>35.385199999999998</v>
      </c>
      <c r="C361" s="4">
        <f>35.0456 * CHOOSE(CONTROL!$C$9, $C$13, 100%, $E$13) + CHOOSE(CONTROL!$C$28, 0.0271, 0)</f>
        <v>35.072699999999998</v>
      </c>
      <c r="D361" s="4">
        <f>41.517 * CHOOSE(CONTROL!$C$9, $C$13, 100%, $E$13) + CHOOSE(CONTROL!$C$28, 0, 0)</f>
        <v>41.517000000000003</v>
      </c>
      <c r="E361" s="4">
        <f>209.878432746458 * CHOOSE(CONTROL!$C$9, $C$13, 100%, $E$13) + CHOOSE(CONTROL!$C$28, 0, 0)</f>
        <v>209.878432746458</v>
      </c>
    </row>
    <row r="362" spans="1:5" ht="15">
      <c r="A362" s="13">
        <v>52535</v>
      </c>
      <c r="B362" s="4">
        <f>34.2456 * CHOOSE(CONTROL!$C$9, $C$13, 100%, $E$13) + CHOOSE(CONTROL!$C$28, 0.0003, 0)</f>
        <v>34.245900000000006</v>
      </c>
      <c r="C362" s="4">
        <f>33.9331 * CHOOSE(CONTROL!$C$9, $C$13, 100%, $E$13) + CHOOSE(CONTROL!$C$28, 0.0003, 0)</f>
        <v>33.933400000000006</v>
      </c>
      <c r="D362" s="4">
        <f>40.9593 * CHOOSE(CONTROL!$C$9, $C$13, 100%, $E$13) + CHOOSE(CONTROL!$C$28, 0, 0)</f>
        <v>40.959299999999999</v>
      </c>
      <c r="E362" s="4">
        <f>202.905125595875 * CHOOSE(CONTROL!$C$9, $C$13, 100%, $E$13) + CHOOSE(CONTROL!$C$28, 0, 0)</f>
        <v>202.90512559587501</v>
      </c>
    </row>
    <row r="363" spans="1:5" ht="15">
      <c r="A363" s="13">
        <v>52565</v>
      </c>
      <c r="B363" s="4">
        <f>33.5291 * CHOOSE(CONTROL!$C$9, $C$13, 100%, $E$13) + CHOOSE(CONTROL!$C$28, 0.0003, 0)</f>
        <v>33.529400000000003</v>
      </c>
      <c r="C363" s="4">
        <f>33.2166 * CHOOSE(CONTROL!$C$9, $C$13, 100%, $E$13) + CHOOSE(CONTROL!$C$28, 0.0003, 0)</f>
        <v>33.216900000000003</v>
      </c>
      <c r="D363" s="4">
        <f>40.7676 * CHOOSE(CONTROL!$C$9, $C$13, 100%, $E$13) + CHOOSE(CONTROL!$C$28, 0, 0)</f>
        <v>40.767600000000002</v>
      </c>
      <c r="E363" s="4">
        <f>198.413795056923 * CHOOSE(CONTROL!$C$9, $C$13, 100%, $E$13) + CHOOSE(CONTROL!$C$28, 0, 0)</f>
        <v>198.41379505692299</v>
      </c>
    </row>
    <row r="364" spans="1:5" ht="15">
      <c r="A364" s="13">
        <v>52596</v>
      </c>
      <c r="B364" s="4">
        <f>33.0333 * CHOOSE(CONTROL!$C$9, $C$13, 100%, $E$13) + CHOOSE(CONTROL!$C$28, 0.0003, 0)</f>
        <v>33.0336</v>
      </c>
      <c r="C364" s="4">
        <f>32.7208 * CHOOSE(CONTROL!$C$9, $C$13, 100%, $E$13) + CHOOSE(CONTROL!$C$28, 0.0003, 0)</f>
        <v>32.7211</v>
      </c>
      <c r="D364" s="4">
        <f>39.3561 * CHOOSE(CONTROL!$C$9, $C$13, 100%, $E$13) + CHOOSE(CONTROL!$C$28, 0, 0)</f>
        <v>39.356099999999998</v>
      </c>
      <c r="E364" s="4">
        <f>195.306371659464 * CHOOSE(CONTROL!$C$9, $C$13, 100%, $E$13) + CHOOSE(CONTROL!$C$28, 0, 0)</f>
        <v>195.30637165946399</v>
      </c>
    </row>
    <row r="365" spans="1:5" ht="15">
      <c r="A365" s="13">
        <v>52627</v>
      </c>
      <c r="B365" s="4">
        <f>32.2278 * CHOOSE(CONTROL!$C$9, $C$13, 100%, $E$13) + CHOOSE(CONTROL!$C$28, 0.0003, 0)</f>
        <v>32.228100000000005</v>
      </c>
      <c r="C365" s="4">
        <f>31.9153 * CHOOSE(CONTROL!$C$9, $C$13, 100%, $E$13) + CHOOSE(CONTROL!$C$28, 0.0003, 0)</f>
        <v>31.915599999999998</v>
      </c>
      <c r="D365" s="4">
        <f>38.0588 * CHOOSE(CONTROL!$C$9, $C$13, 100%, $E$13) + CHOOSE(CONTROL!$C$28, 0, 0)</f>
        <v>38.058799999999998</v>
      </c>
      <c r="E365" s="4">
        <f>189.705729173645 * CHOOSE(CONTROL!$C$9, $C$13, 100%, $E$13) + CHOOSE(CONTROL!$C$28, 0, 0)</f>
        <v>189.70572917364501</v>
      </c>
    </row>
    <row r="366" spans="1:5" ht="15">
      <c r="A366" s="13">
        <v>52655</v>
      </c>
      <c r="B366" s="4">
        <f>32.9485 * CHOOSE(CONTROL!$C$9, $C$13, 100%, $E$13) + CHOOSE(CONTROL!$C$28, 0.0003, 0)</f>
        <v>32.948800000000006</v>
      </c>
      <c r="C366" s="4">
        <f>32.636 * CHOOSE(CONTROL!$C$9, $C$13, 100%, $E$13) + CHOOSE(CONTROL!$C$28, 0.0003, 0)</f>
        <v>32.636300000000006</v>
      </c>
      <c r="D366" s="4">
        <f>39.3651 * CHOOSE(CONTROL!$C$9, $C$13, 100%, $E$13) + CHOOSE(CONTROL!$C$28, 0, 0)</f>
        <v>39.365099999999998</v>
      </c>
      <c r="E366" s="4">
        <f>194.210090797326 * CHOOSE(CONTROL!$C$9, $C$13, 100%, $E$13) + CHOOSE(CONTROL!$C$28, 0, 0)</f>
        <v>194.21009079732599</v>
      </c>
    </row>
    <row r="367" spans="1:5" ht="15">
      <c r="A367" s="13">
        <v>52687</v>
      </c>
      <c r="B367" s="4">
        <f>34.8411 * CHOOSE(CONTROL!$C$9, $C$13, 100%, $E$13) + CHOOSE(CONTROL!$C$28, 0.0003, 0)</f>
        <v>34.8414</v>
      </c>
      <c r="C367" s="4">
        <f>34.5286 * CHOOSE(CONTROL!$C$9, $C$13, 100%, $E$13) + CHOOSE(CONTROL!$C$28, 0.0003, 0)</f>
        <v>34.5289</v>
      </c>
      <c r="D367" s="4">
        <f>41.4102 * CHOOSE(CONTROL!$C$9, $C$13, 100%, $E$13) + CHOOSE(CONTROL!$C$28, 0, 0)</f>
        <v>41.410200000000003</v>
      </c>
      <c r="E367" s="4">
        <f>206.038783797428 * CHOOSE(CONTROL!$C$9, $C$13, 100%, $E$13) + CHOOSE(CONTROL!$C$28, 0, 0)</f>
        <v>206.03878379742801</v>
      </c>
    </row>
    <row r="368" spans="1:5" ht="15">
      <c r="A368" s="13">
        <v>52717</v>
      </c>
      <c r="B368" s="4">
        <f>36.1858 * CHOOSE(CONTROL!$C$9, $C$13, 100%, $E$13) + CHOOSE(CONTROL!$C$28, 0.0003, 0)</f>
        <v>36.186100000000003</v>
      </c>
      <c r="C368" s="4">
        <f>35.8733 * CHOOSE(CONTROL!$C$9, $C$13, 100%, $E$13) + CHOOSE(CONTROL!$C$28, 0.0003, 0)</f>
        <v>35.873600000000003</v>
      </c>
      <c r="D368" s="4">
        <f>42.5882 * CHOOSE(CONTROL!$C$9, $C$13, 100%, $E$13) + CHOOSE(CONTROL!$C$28, 0, 0)</f>
        <v>42.588200000000001</v>
      </c>
      <c r="E368" s="4">
        <f>214.443227812061 * CHOOSE(CONTROL!$C$9, $C$13, 100%, $E$13) + CHOOSE(CONTROL!$C$28, 0, 0)</f>
        <v>214.443227812061</v>
      </c>
    </row>
    <row r="369" spans="1:5" ht="15">
      <c r="A369" s="13">
        <v>52748</v>
      </c>
      <c r="B369" s="4">
        <f>37.0074 * CHOOSE(CONTROL!$C$9, $C$13, 100%, $E$13) + CHOOSE(CONTROL!$C$28, 0.0271, 0)</f>
        <v>37.034499999999994</v>
      </c>
      <c r="C369" s="4">
        <f>36.6949 * CHOOSE(CONTROL!$C$9, $C$13, 100%, $E$13) + CHOOSE(CONTROL!$C$28, 0.0271, 0)</f>
        <v>36.721999999999994</v>
      </c>
      <c r="D369" s="4">
        <f>42.1227 * CHOOSE(CONTROL!$C$9, $C$13, 100%, $E$13) + CHOOSE(CONTROL!$C$28, 0, 0)</f>
        <v>42.122700000000002</v>
      </c>
      <c r="E369" s="4">
        <f>219.57814167859 * CHOOSE(CONTROL!$C$9, $C$13, 100%, $E$13) + CHOOSE(CONTROL!$C$28, 0, 0)</f>
        <v>219.57814167858999</v>
      </c>
    </row>
    <row r="370" spans="1:5" ht="15">
      <c r="A370" s="13">
        <v>52778</v>
      </c>
      <c r="B370" s="4">
        <f>37.1186 * CHOOSE(CONTROL!$C$9, $C$13, 100%, $E$13) + CHOOSE(CONTROL!$C$28, 0.0271, 0)</f>
        <v>37.145699999999998</v>
      </c>
      <c r="C370" s="4">
        <f>36.8061 * CHOOSE(CONTROL!$C$9, $C$13, 100%, $E$13) + CHOOSE(CONTROL!$C$28, 0.0271, 0)</f>
        <v>36.833199999999998</v>
      </c>
      <c r="D370" s="4">
        <f>42.5018 * CHOOSE(CONTROL!$C$9, $C$13, 100%, $E$13) + CHOOSE(CONTROL!$C$28, 0, 0)</f>
        <v>42.501800000000003</v>
      </c>
      <c r="E370" s="4">
        <f>220.272916835062 * CHOOSE(CONTROL!$C$9, $C$13, 100%, $E$13) + CHOOSE(CONTROL!$C$28, 0, 0)</f>
        <v>220.27291683506201</v>
      </c>
    </row>
    <row r="371" spans="1:5" ht="15">
      <c r="A371" s="13">
        <v>52809</v>
      </c>
      <c r="B371" s="4">
        <f>37.1074 * CHOOSE(CONTROL!$C$9, $C$13, 100%, $E$13) + CHOOSE(CONTROL!$C$28, 0.0271, 0)</f>
        <v>37.134499999999996</v>
      </c>
      <c r="C371" s="4">
        <f>36.7949 * CHOOSE(CONTROL!$C$9, $C$13, 100%, $E$13) + CHOOSE(CONTROL!$C$28, 0.0271, 0)</f>
        <v>36.821999999999996</v>
      </c>
      <c r="D371" s="4">
        <f>43.1859 * CHOOSE(CONTROL!$C$9, $C$13, 100%, $E$13) + CHOOSE(CONTROL!$C$28, 0, 0)</f>
        <v>43.185899999999997</v>
      </c>
      <c r="E371" s="4">
        <f>220.202855474746 * CHOOSE(CONTROL!$C$9, $C$13, 100%, $E$13) + CHOOSE(CONTROL!$C$28, 0, 0)</f>
        <v>220.202855474746</v>
      </c>
    </row>
    <row r="372" spans="1:5" ht="15">
      <c r="A372" s="13">
        <v>52840</v>
      </c>
      <c r="B372" s="4">
        <f>37.9509 * CHOOSE(CONTROL!$C$9, $C$13, 100%, $E$13) + CHOOSE(CONTROL!$C$28, 0.0271, 0)</f>
        <v>37.977999999999994</v>
      </c>
      <c r="C372" s="4">
        <f>37.6384 * CHOOSE(CONTROL!$C$9, $C$13, 100%, $E$13) + CHOOSE(CONTROL!$C$28, 0.0271, 0)</f>
        <v>37.665499999999994</v>
      </c>
      <c r="D372" s="4">
        <f>42.7341 * CHOOSE(CONTROL!$C$9, $C$13, 100%, $E$13) + CHOOSE(CONTROL!$C$28, 0, 0)</f>
        <v>42.734099999999998</v>
      </c>
      <c r="E372" s="4">
        <f>225.474972838562 * CHOOSE(CONTROL!$C$9, $C$13, 100%, $E$13) + CHOOSE(CONTROL!$C$28, 0, 0)</f>
        <v>225.474972838562</v>
      </c>
    </row>
    <row r="373" spans="1:5" ht="15">
      <c r="A373" s="13">
        <v>52870</v>
      </c>
      <c r="B373" s="4">
        <f>36.5132 * CHOOSE(CONTROL!$C$9, $C$13, 100%, $E$13) + CHOOSE(CONTROL!$C$28, 0.0271, 0)</f>
        <v>36.540299999999995</v>
      </c>
      <c r="C373" s="4">
        <f>36.2007 * CHOOSE(CONTROL!$C$9, $C$13, 100%, $E$13) + CHOOSE(CONTROL!$C$28, 0.0271, 0)</f>
        <v>36.227799999999995</v>
      </c>
      <c r="D373" s="4">
        <f>42.5207 * CHOOSE(CONTROL!$C$9, $C$13, 100%, $E$13) + CHOOSE(CONTROL!$C$28, 0, 0)</f>
        <v>42.520699999999998</v>
      </c>
      <c r="E373" s="4">
        <f>216.489603377972 * CHOOSE(CONTROL!$C$9, $C$13, 100%, $E$13) + CHOOSE(CONTROL!$C$28, 0, 0)</f>
        <v>216.489603377972</v>
      </c>
    </row>
    <row r="374" spans="1:5" ht="15">
      <c r="A374" s="13">
        <v>52901</v>
      </c>
      <c r="B374" s="4">
        <f>35.3624 * CHOOSE(CONTROL!$C$9, $C$13, 100%, $E$13) + CHOOSE(CONTROL!$C$28, 0.0003, 0)</f>
        <v>35.362700000000004</v>
      </c>
      <c r="C374" s="4">
        <f>35.0499 * CHOOSE(CONTROL!$C$9, $C$13, 100%, $E$13) + CHOOSE(CONTROL!$C$28, 0.0003, 0)</f>
        <v>35.050200000000004</v>
      </c>
      <c r="D374" s="4">
        <f>41.9492 * CHOOSE(CONTROL!$C$9, $C$13, 100%, $E$13) + CHOOSE(CONTROL!$C$28, 0, 0)</f>
        <v>41.949199999999998</v>
      </c>
      <c r="E374" s="4">
        <f>209.296637052145 * CHOOSE(CONTROL!$C$9, $C$13, 100%, $E$13) + CHOOSE(CONTROL!$C$28, 0, 0)</f>
        <v>209.296637052145</v>
      </c>
    </row>
    <row r="375" spans="1:5" ht="15">
      <c r="A375" s="13">
        <v>52931</v>
      </c>
      <c r="B375" s="4">
        <f>34.6211 * CHOOSE(CONTROL!$C$9, $C$13, 100%, $E$13) + CHOOSE(CONTROL!$C$28, 0.0003, 0)</f>
        <v>34.621400000000001</v>
      </c>
      <c r="C375" s="4">
        <f>34.3086 * CHOOSE(CONTROL!$C$9, $C$13, 100%, $E$13) + CHOOSE(CONTROL!$C$28, 0.0003, 0)</f>
        <v>34.308900000000001</v>
      </c>
      <c r="D375" s="4">
        <f>41.7527 * CHOOSE(CONTROL!$C$9, $C$13, 100%, $E$13) + CHOOSE(CONTROL!$C$28, 0, 0)</f>
        <v>41.752699999999997</v>
      </c>
      <c r="E375" s="4">
        <f>204.663829601216 * CHOOSE(CONTROL!$C$9, $C$13, 100%, $E$13) + CHOOSE(CONTROL!$C$28, 0, 0)</f>
        <v>204.66382960121601</v>
      </c>
    </row>
    <row r="376" spans="1:5" ht="15">
      <c r="A376" s="13">
        <v>52962</v>
      </c>
      <c r="B376" s="4">
        <f>34.1083 * CHOOSE(CONTROL!$C$9, $C$13, 100%, $E$13) + CHOOSE(CONTROL!$C$28, 0.0003, 0)</f>
        <v>34.108600000000003</v>
      </c>
      <c r="C376" s="4">
        <f>33.7958 * CHOOSE(CONTROL!$C$9, $C$13, 100%, $E$13) + CHOOSE(CONTROL!$C$28, 0.0003, 0)</f>
        <v>33.796100000000003</v>
      </c>
      <c r="D376" s="4">
        <f>40.3062 * CHOOSE(CONTROL!$C$9, $C$13, 100%, $E$13) + CHOOSE(CONTROL!$C$28, 0, 0)</f>
        <v>40.306199999999997</v>
      </c>
      <c r="E376" s="4">
        <f>201.458522366737 * CHOOSE(CONTROL!$C$9, $C$13, 100%, $E$13) + CHOOSE(CONTROL!$C$28, 0, 0)</f>
        <v>201.45852236673699</v>
      </c>
    </row>
    <row r="377" spans="1:5" ht="15">
      <c r="A377" s="13">
        <v>52993</v>
      </c>
      <c r="B377" s="4">
        <f>33.275 * CHOOSE(CONTROL!$C$9, $C$13, 100%, $E$13) + CHOOSE(CONTROL!$C$28, 0.0003, 0)</f>
        <v>33.275300000000001</v>
      </c>
      <c r="C377" s="4">
        <f>32.9625 * CHOOSE(CONTROL!$C$9, $C$13, 100%, $E$13) + CHOOSE(CONTROL!$C$28, 0.0003, 0)</f>
        <v>32.962800000000001</v>
      </c>
      <c r="D377" s="4">
        <f>38.9767 * CHOOSE(CONTROL!$C$9, $C$13, 100%, $E$13) + CHOOSE(CONTROL!$C$28, 0, 0)</f>
        <v>38.976700000000001</v>
      </c>
      <c r="E377" s="4">
        <f>195.681459642614 * CHOOSE(CONTROL!$C$9, $C$13, 100%, $E$13) + CHOOSE(CONTROL!$C$28, 0, 0)</f>
        <v>195.68145964261399</v>
      </c>
    </row>
    <row r="378" spans="1:5" ht="15">
      <c r="A378" s="13">
        <v>53021</v>
      </c>
      <c r="B378" s="4">
        <f>34.0206 * CHOOSE(CONTROL!$C$9, $C$13, 100%, $E$13) + CHOOSE(CONTROL!$C$28, 0.0003, 0)</f>
        <v>34.020900000000005</v>
      </c>
      <c r="C378" s="4">
        <f>33.7081 * CHOOSE(CONTROL!$C$9, $C$13, 100%, $E$13) + CHOOSE(CONTROL!$C$28, 0.0003, 0)</f>
        <v>33.708400000000005</v>
      </c>
      <c r="D378" s="4">
        <f>40.3155 * CHOOSE(CONTROL!$C$9, $C$13, 100%, $E$13) + CHOOSE(CONTROL!$C$28, 0, 0)</f>
        <v>40.3155</v>
      </c>
      <c r="E378" s="4">
        <f>200.327708657442 * CHOOSE(CONTROL!$C$9, $C$13, 100%, $E$13) + CHOOSE(CONTROL!$C$28, 0, 0)</f>
        <v>200.327708657442</v>
      </c>
    </row>
    <row r="379" spans="1:5" ht="15">
      <c r="A379" s="13">
        <v>53052</v>
      </c>
      <c r="B379" s="4">
        <f>35.9785 * CHOOSE(CONTROL!$C$9, $C$13, 100%, $E$13) + CHOOSE(CONTROL!$C$28, 0.0003, 0)</f>
        <v>35.9788</v>
      </c>
      <c r="C379" s="4">
        <f>35.666 * CHOOSE(CONTROL!$C$9, $C$13, 100%, $E$13) + CHOOSE(CONTROL!$C$28, 0.0003, 0)</f>
        <v>35.6663</v>
      </c>
      <c r="D379" s="4">
        <f>42.4113 * CHOOSE(CONTROL!$C$9, $C$13, 100%, $E$13) + CHOOSE(CONTROL!$C$28, 0, 0)</f>
        <v>42.411299999999997</v>
      </c>
      <c r="E379" s="4">
        <f>212.529005487047 * CHOOSE(CONTROL!$C$9, $C$13, 100%, $E$13) + CHOOSE(CONTROL!$C$28, 0, 0)</f>
        <v>212.52900548704699</v>
      </c>
    </row>
    <row r="380" spans="1:5" ht="15">
      <c r="A380" s="13">
        <v>53082</v>
      </c>
      <c r="B380" s="4">
        <f>37.3696 * CHOOSE(CONTROL!$C$9, $C$13, 100%, $E$13) + CHOOSE(CONTROL!$C$28, 0.0003, 0)</f>
        <v>37.369900000000001</v>
      </c>
      <c r="C380" s="4">
        <f>37.0571 * CHOOSE(CONTROL!$C$9, $C$13, 100%, $E$13) + CHOOSE(CONTROL!$C$28, 0.0003, 0)</f>
        <v>37.057400000000001</v>
      </c>
      <c r="D380" s="4">
        <f>43.6185 * CHOOSE(CONTROL!$C$9, $C$13, 100%, $E$13) + CHOOSE(CONTROL!$C$28, 0, 0)</f>
        <v>43.618499999999997</v>
      </c>
      <c r="E380" s="4">
        <f>221.198189488141 * CHOOSE(CONTROL!$C$9, $C$13, 100%, $E$13) + CHOOSE(CONTROL!$C$28, 0, 0)</f>
        <v>221.198189488141</v>
      </c>
    </row>
    <row r="381" spans="1:5" ht="15">
      <c r="A381" s="13">
        <v>53113</v>
      </c>
      <c r="B381" s="4">
        <f>38.2195 * CHOOSE(CONTROL!$C$9, $C$13, 100%, $E$13) + CHOOSE(CONTROL!$C$28, 0.0271, 0)</f>
        <v>38.246599999999994</v>
      </c>
      <c r="C381" s="4">
        <f>37.907 * CHOOSE(CONTROL!$C$9, $C$13, 100%, $E$13) + CHOOSE(CONTROL!$C$28, 0.0271, 0)</f>
        <v>37.934099999999994</v>
      </c>
      <c r="D381" s="4">
        <f>43.1415 * CHOOSE(CONTROL!$C$9, $C$13, 100%, $E$13) + CHOOSE(CONTROL!$C$28, 0, 0)</f>
        <v>43.141500000000001</v>
      </c>
      <c r="E381" s="4">
        <f>226.494853141466 * CHOOSE(CONTROL!$C$9, $C$13, 100%, $E$13) + CHOOSE(CONTROL!$C$28, 0, 0)</f>
        <v>226.494853141466</v>
      </c>
    </row>
    <row r="382" spans="1:5" ht="15">
      <c r="A382" s="13">
        <v>53143</v>
      </c>
      <c r="B382" s="4">
        <f>38.3345 * CHOOSE(CONTROL!$C$9, $C$13, 100%, $E$13) + CHOOSE(CONTROL!$C$28, 0.0271, 0)</f>
        <v>38.361599999999996</v>
      </c>
      <c r="C382" s="4">
        <f>38.022 * CHOOSE(CONTROL!$C$9, $C$13, 100%, $E$13) + CHOOSE(CONTROL!$C$28, 0.0271, 0)</f>
        <v>38.049099999999996</v>
      </c>
      <c r="D382" s="4">
        <f>43.53 * CHOOSE(CONTROL!$C$9, $C$13, 100%, $E$13) + CHOOSE(CONTROL!$C$28, 0, 0)</f>
        <v>43.53</v>
      </c>
      <c r="E382" s="4">
        <f>227.211513715367 * CHOOSE(CONTROL!$C$9, $C$13, 100%, $E$13) + CHOOSE(CONTROL!$C$28, 0, 0)</f>
        <v>227.211513715367</v>
      </c>
    </row>
    <row r="383" spans="1:5" ht="15">
      <c r="A383" s="13">
        <v>53174</v>
      </c>
      <c r="B383" s="4">
        <f>38.3229 * CHOOSE(CONTROL!$C$9, $C$13, 100%, $E$13) + CHOOSE(CONTROL!$C$28, 0.0271, 0)</f>
        <v>38.349999999999994</v>
      </c>
      <c r="C383" s="4">
        <f>38.0104 * CHOOSE(CONTROL!$C$9, $C$13, 100%, $E$13) + CHOOSE(CONTROL!$C$28, 0.0271, 0)</f>
        <v>38.037499999999994</v>
      </c>
      <c r="D383" s="4">
        <f>44.231 * CHOOSE(CONTROL!$C$9, $C$13, 100%, $E$13) + CHOOSE(CONTROL!$C$28, 0, 0)</f>
        <v>44.231000000000002</v>
      </c>
      <c r="E383" s="4">
        <f>227.1392454222 * CHOOSE(CONTROL!$C$9, $C$13, 100%, $E$13) + CHOOSE(CONTROL!$C$28, 0, 0)</f>
        <v>227.13924542219999</v>
      </c>
    </row>
    <row r="384" spans="1:5" ht="15">
      <c r="A384" s="13">
        <v>53205</v>
      </c>
      <c r="B384" s="4">
        <f>39.1955 * CHOOSE(CONTROL!$C$9, $C$13, 100%, $E$13) + CHOOSE(CONTROL!$C$28, 0.0271, 0)</f>
        <v>39.2226</v>
      </c>
      <c r="C384" s="4">
        <f>38.883 * CHOOSE(CONTROL!$C$9, $C$13, 100%, $E$13) + CHOOSE(CONTROL!$C$28, 0.0271, 0)</f>
        <v>38.9101</v>
      </c>
      <c r="D384" s="4">
        <f>43.7681 * CHOOSE(CONTROL!$C$9, $C$13, 100%, $E$13) + CHOOSE(CONTROL!$C$28, 0, 0)</f>
        <v>43.768099999999997</v>
      </c>
      <c r="E384" s="4">
        <f>232.577434482977 * CHOOSE(CONTROL!$C$9, $C$13, 100%, $E$13) + CHOOSE(CONTROL!$C$28, 0, 0)</f>
        <v>232.577434482977</v>
      </c>
    </row>
    <row r="385" spans="1:5" ht="15">
      <c r="A385" s="13">
        <v>53235</v>
      </c>
      <c r="B385" s="4">
        <f>37.7083 * CHOOSE(CONTROL!$C$9, $C$13, 100%, $E$13) + CHOOSE(CONTROL!$C$28, 0.0271, 0)</f>
        <v>37.735399999999998</v>
      </c>
      <c r="C385" s="4">
        <f>37.3958 * CHOOSE(CONTROL!$C$9, $C$13, 100%, $E$13) + CHOOSE(CONTROL!$C$28, 0.0271, 0)</f>
        <v>37.422899999999998</v>
      </c>
      <c r="D385" s="4">
        <f>43.5493 * CHOOSE(CONTROL!$C$9, $C$13, 100%, $E$13) + CHOOSE(CONTROL!$C$28, 0, 0)</f>
        <v>43.549300000000002</v>
      </c>
      <c r="E385" s="4">
        <f>223.309025884378 * CHOOSE(CONTROL!$C$9, $C$13, 100%, $E$13) + CHOOSE(CONTROL!$C$28, 0, 0)</f>
        <v>223.309025884378</v>
      </c>
    </row>
    <row r="386" spans="1:5" ht="15">
      <c r="A386" s="13">
        <v>53266</v>
      </c>
      <c r="B386" s="4">
        <f>36.5177 * CHOOSE(CONTROL!$C$9, $C$13, 100%, $E$13) + CHOOSE(CONTROL!$C$28, 0.0003, 0)</f>
        <v>36.518000000000001</v>
      </c>
      <c r="C386" s="4">
        <f>36.2052 * CHOOSE(CONTROL!$C$9, $C$13, 100%, $E$13) + CHOOSE(CONTROL!$C$28, 0.0003, 0)</f>
        <v>36.205500000000001</v>
      </c>
      <c r="D386" s="4">
        <f>42.9636 * CHOOSE(CONTROL!$C$9, $C$13, 100%, $E$13) + CHOOSE(CONTROL!$C$28, 0, 0)</f>
        <v>42.9636</v>
      </c>
      <c r="E386" s="4">
        <f>215.889481119287 * CHOOSE(CONTROL!$C$9, $C$13, 100%, $E$13) + CHOOSE(CONTROL!$C$28, 0, 0)</f>
        <v>215.88948111928701</v>
      </c>
    </row>
    <row r="387" spans="1:5" ht="15">
      <c r="A387" s="13">
        <v>53296</v>
      </c>
      <c r="B387" s="4">
        <f>35.7509 * CHOOSE(CONTROL!$C$9, $C$13, 100%, $E$13) + CHOOSE(CONTROL!$C$28, 0.0003, 0)</f>
        <v>35.751200000000004</v>
      </c>
      <c r="C387" s="4">
        <f>35.4384 * CHOOSE(CONTROL!$C$9, $C$13, 100%, $E$13) + CHOOSE(CONTROL!$C$28, 0.0003, 0)</f>
        <v>35.438700000000004</v>
      </c>
      <c r="D387" s="4">
        <f>42.7623 * CHOOSE(CONTROL!$C$9, $C$13, 100%, $E$13) + CHOOSE(CONTROL!$C$28, 0, 0)</f>
        <v>42.762300000000003</v>
      </c>
      <c r="E387" s="4">
        <f>211.110740233655 * CHOOSE(CONTROL!$C$9, $C$13, 100%, $E$13) + CHOOSE(CONTROL!$C$28, 0, 0)</f>
        <v>211.11074023365501</v>
      </c>
    </row>
    <row r="388" spans="1:5" ht="15">
      <c r="A388" s="13">
        <v>53327</v>
      </c>
      <c r="B388" s="4">
        <f>35.2203 * CHOOSE(CONTROL!$C$9, $C$13, 100%, $E$13) + CHOOSE(CONTROL!$C$28, 0.0003, 0)</f>
        <v>35.220600000000005</v>
      </c>
      <c r="C388" s="4">
        <f>34.9078 * CHOOSE(CONTROL!$C$9, $C$13, 100%, $E$13) + CHOOSE(CONTROL!$C$28, 0.0003, 0)</f>
        <v>34.908100000000005</v>
      </c>
      <c r="D388" s="4">
        <f>41.2799 * CHOOSE(CONTROL!$C$9, $C$13, 100%, $E$13) + CHOOSE(CONTROL!$C$28, 0, 0)</f>
        <v>41.279899999999998</v>
      </c>
      <c r="E388" s="4">
        <f>207.804465821289 * CHOOSE(CONTROL!$C$9, $C$13, 100%, $E$13) + CHOOSE(CONTROL!$C$28, 0, 0)</f>
        <v>207.804465821289</v>
      </c>
    </row>
    <row r="389" spans="1:5" ht="15">
      <c r="A389" s="13">
        <v>53358</v>
      </c>
      <c r="B389" s="4">
        <f>34.3583 * CHOOSE(CONTROL!$C$9, $C$13, 100%, $E$13) + CHOOSE(CONTROL!$C$28, 0.0003, 0)</f>
        <v>34.358600000000003</v>
      </c>
      <c r="C389" s="4">
        <f>34.0458 * CHOOSE(CONTROL!$C$9, $C$13, 100%, $E$13) + CHOOSE(CONTROL!$C$28, 0.0003, 0)</f>
        <v>34.046100000000003</v>
      </c>
      <c r="D389" s="4">
        <f>39.9174 * CHOOSE(CONTROL!$C$9, $C$13, 100%, $E$13) + CHOOSE(CONTROL!$C$28, 0, 0)</f>
        <v>39.917400000000001</v>
      </c>
      <c r="E389" s="4">
        <f>201.845425621357 * CHOOSE(CONTROL!$C$9, $C$13, 100%, $E$13) + CHOOSE(CONTROL!$C$28, 0, 0)</f>
        <v>201.84542562135701</v>
      </c>
    </row>
    <row r="390" spans="1:5" ht="15">
      <c r="A390" s="13">
        <v>53386</v>
      </c>
      <c r="B390" s="4">
        <f>35.1296 * CHOOSE(CONTROL!$C$9, $C$13, 100%, $E$13) + CHOOSE(CONTROL!$C$28, 0.0003, 0)</f>
        <v>35.129900000000006</v>
      </c>
      <c r="C390" s="4">
        <f>34.8171 * CHOOSE(CONTROL!$C$9, $C$13, 100%, $E$13) + CHOOSE(CONTROL!$C$28, 0.0003, 0)</f>
        <v>34.817400000000006</v>
      </c>
      <c r="D390" s="4">
        <f>41.2894 * CHOOSE(CONTROL!$C$9, $C$13, 100%, $E$13) + CHOOSE(CONTROL!$C$28, 0, 0)</f>
        <v>41.289400000000001</v>
      </c>
      <c r="E390" s="4">
        <f>206.638031480151 * CHOOSE(CONTROL!$C$9, $C$13, 100%, $E$13) + CHOOSE(CONTROL!$C$28, 0, 0)</f>
        <v>206.638031480151</v>
      </c>
    </row>
    <row r="391" spans="1:5" ht="15">
      <c r="A391" s="13">
        <v>53417</v>
      </c>
      <c r="B391" s="4">
        <f>37.155 * CHOOSE(CONTROL!$C$9, $C$13, 100%, $E$13) + CHOOSE(CONTROL!$C$28, 0.0003, 0)</f>
        <v>37.155300000000004</v>
      </c>
      <c r="C391" s="4">
        <f>36.8425 * CHOOSE(CONTROL!$C$9, $C$13, 100%, $E$13) + CHOOSE(CONTROL!$C$28, 0.0003, 0)</f>
        <v>36.842800000000004</v>
      </c>
      <c r="D391" s="4">
        <f>43.4372 * CHOOSE(CONTROL!$C$9, $C$13, 100%, $E$13) + CHOOSE(CONTROL!$C$28, 0, 0)</f>
        <v>43.437199999999997</v>
      </c>
      <c r="E391" s="4">
        <f>219.223669159889 * CHOOSE(CONTROL!$C$9, $C$13, 100%, $E$13) + CHOOSE(CONTROL!$C$28, 0, 0)</f>
        <v>219.223669159889</v>
      </c>
    </row>
    <row r="392" spans="1:5" ht="15">
      <c r="A392" s="13">
        <v>53447</v>
      </c>
      <c r="B392" s="4">
        <f>38.5941 * CHOOSE(CONTROL!$C$9, $C$13, 100%, $E$13) + CHOOSE(CONTROL!$C$28, 0.0003, 0)</f>
        <v>38.5944</v>
      </c>
      <c r="C392" s="4">
        <f>38.2816 * CHOOSE(CONTROL!$C$9, $C$13, 100%, $E$13) + CHOOSE(CONTROL!$C$28, 0.0003, 0)</f>
        <v>38.2819</v>
      </c>
      <c r="D392" s="4">
        <f>44.6744 * CHOOSE(CONTROL!$C$9, $C$13, 100%, $E$13) + CHOOSE(CONTROL!$C$28, 0, 0)</f>
        <v>44.674399999999999</v>
      </c>
      <c r="E392" s="4">
        <f>228.165932457017 * CHOOSE(CONTROL!$C$9, $C$13, 100%, $E$13) + CHOOSE(CONTROL!$C$28, 0, 0)</f>
        <v>228.16593245701699</v>
      </c>
    </row>
    <row r="393" spans="1:5" ht="15">
      <c r="A393" s="13">
        <v>53478</v>
      </c>
      <c r="B393" s="4">
        <f>39.4734 * CHOOSE(CONTROL!$C$9, $C$13, 100%, $E$13) + CHOOSE(CONTROL!$C$28, 0.0271, 0)</f>
        <v>39.500499999999995</v>
      </c>
      <c r="C393" s="4">
        <f>39.1609 * CHOOSE(CONTROL!$C$9, $C$13, 100%, $E$13) + CHOOSE(CONTROL!$C$28, 0.0271, 0)</f>
        <v>39.187999999999995</v>
      </c>
      <c r="D393" s="4">
        <f>44.1855 * CHOOSE(CONTROL!$C$9, $C$13, 100%, $E$13) + CHOOSE(CONTROL!$C$28, 0, 0)</f>
        <v>44.185499999999998</v>
      </c>
      <c r="E393" s="4">
        <f>233.629441015422 * CHOOSE(CONTROL!$C$9, $C$13, 100%, $E$13) + CHOOSE(CONTROL!$C$28, 0, 0)</f>
        <v>233.629441015422</v>
      </c>
    </row>
    <row r="394" spans="1:5" ht="15">
      <c r="A394" s="13">
        <v>53508</v>
      </c>
      <c r="B394" s="4">
        <f>39.5923 * CHOOSE(CONTROL!$C$9, $C$13, 100%, $E$13) + CHOOSE(CONTROL!$C$28, 0.0271, 0)</f>
        <v>39.619399999999999</v>
      </c>
      <c r="C394" s="4">
        <f>39.2798 * CHOOSE(CONTROL!$C$9, $C$13, 100%, $E$13) + CHOOSE(CONTROL!$C$28, 0.0271, 0)</f>
        <v>39.306899999999999</v>
      </c>
      <c r="D394" s="4">
        <f>44.5836 * CHOOSE(CONTROL!$C$9, $C$13, 100%, $E$13) + CHOOSE(CONTROL!$C$28, 0, 0)</f>
        <v>44.583599999999997</v>
      </c>
      <c r="E394" s="4">
        <f>234.368676397401 * CHOOSE(CONTROL!$C$9, $C$13, 100%, $E$13) + CHOOSE(CONTROL!$C$28, 0, 0)</f>
        <v>234.368676397401</v>
      </c>
    </row>
    <row r="395" spans="1:5" ht="15">
      <c r="A395" s="13">
        <v>53539</v>
      </c>
      <c r="B395" s="4">
        <f>39.5803 * CHOOSE(CONTROL!$C$9, $C$13, 100%, $E$13) + CHOOSE(CONTROL!$C$28, 0.0271, 0)</f>
        <v>39.607399999999998</v>
      </c>
      <c r="C395" s="4">
        <f>39.2678 * CHOOSE(CONTROL!$C$9, $C$13, 100%, $E$13) + CHOOSE(CONTROL!$C$28, 0.0271, 0)</f>
        <v>39.294899999999998</v>
      </c>
      <c r="D395" s="4">
        <f>45.302 * CHOOSE(CONTROL!$C$9, $C$13, 100%, $E$13) + CHOOSE(CONTROL!$C$28, 0, 0)</f>
        <v>45.302</v>
      </c>
      <c r="E395" s="4">
        <f>234.294131653 * CHOOSE(CONTROL!$C$9, $C$13, 100%, $E$13) + CHOOSE(CONTROL!$C$28, 0, 0)</f>
        <v>234.29413165299999</v>
      </c>
    </row>
    <row r="396" spans="1:5" ht="15">
      <c r="A396" s="13">
        <v>53570</v>
      </c>
      <c r="B396" s="4">
        <f>40.4831 * CHOOSE(CONTROL!$C$9, $C$13, 100%, $E$13) + CHOOSE(CONTROL!$C$28, 0.0271, 0)</f>
        <v>40.510199999999998</v>
      </c>
      <c r="C396" s="4">
        <f>40.1706 * CHOOSE(CONTROL!$C$9, $C$13, 100%, $E$13) + CHOOSE(CONTROL!$C$28, 0.0271, 0)</f>
        <v>40.197699999999998</v>
      </c>
      <c r="D396" s="4">
        <f>44.8276 * CHOOSE(CONTROL!$C$9, $C$13, 100%, $E$13) + CHOOSE(CONTROL!$C$28, 0, 0)</f>
        <v>44.827599999999997</v>
      </c>
      <c r="E396" s="4">
        <f>239.903623669191 * CHOOSE(CONTROL!$C$9, $C$13, 100%, $E$13) + CHOOSE(CONTROL!$C$28, 0, 0)</f>
        <v>239.90362366919101</v>
      </c>
    </row>
    <row r="397" spans="1:5" ht="15">
      <c r="A397" s="13">
        <v>53600</v>
      </c>
      <c r="B397" s="4">
        <f>38.9445 * CHOOSE(CONTROL!$C$9, $C$13, 100%, $E$13) + CHOOSE(CONTROL!$C$28, 0.0271, 0)</f>
        <v>38.971599999999995</v>
      </c>
      <c r="C397" s="4">
        <f>38.632 * CHOOSE(CONTROL!$C$9, $C$13, 100%, $E$13) + CHOOSE(CONTROL!$C$28, 0.0271, 0)</f>
        <v>38.659099999999995</v>
      </c>
      <c r="D397" s="4">
        <f>44.6035 * CHOOSE(CONTROL!$C$9, $C$13, 100%, $E$13) + CHOOSE(CONTROL!$C$28, 0, 0)</f>
        <v>44.603499999999997</v>
      </c>
      <c r="E397" s="4">
        <f>230.343260199736 * CHOOSE(CONTROL!$C$9, $C$13, 100%, $E$13) + CHOOSE(CONTROL!$C$28, 0, 0)</f>
        <v>230.34326019973599</v>
      </c>
    </row>
    <row r="398" spans="1:5" ht="15">
      <c r="A398" s="13">
        <v>53631</v>
      </c>
      <c r="B398" s="4">
        <f>37.7129 * CHOOSE(CONTROL!$C$9, $C$13, 100%, $E$13) + CHOOSE(CONTROL!$C$28, 0.0003, 0)</f>
        <v>37.713200000000001</v>
      </c>
      <c r="C398" s="4">
        <f>37.4004 * CHOOSE(CONTROL!$C$9, $C$13, 100%, $E$13) + CHOOSE(CONTROL!$C$28, 0.0003, 0)</f>
        <v>37.400700000000001</v>
      </c>
      <c r="D398" s="4">
        <f>44.0033 * CHOOSE(CONTROL!$C$9, $C$13, 100%, $E$13) + CHOOSE(CONTROL!$C$28, 0, 0)</f>
        <v>44.003300000000003</v>
      </c>
      <c r="E398" s="4">
        <f>222.689999774545 * CHOOSE(CONTROL!$C$9, $C$13, 100%, $E$13) + CHOOSE(CONTROL!$C$28, 0, 0)</f>
        <v>222.68999977454499</v>
      </c>
    </row>
    <row r="399" spans="1:5" ht="15">
      <c r="A399" s="13">
        <v>53661</v>
      </c>
      <c r="B399" s="4">
        <f>36.9196 * CHOOSE(CONTROL!$C$9, $C$13, 100%, $E$13) + CHOOSE(CONTROL!$C$28, 0.0003, 0)</f>
        <v>36.919900000000005</v>
      </c>
      <c r="C399" s="4">
        <f>36.6071 * CHOOSE(CONTROL!$C$9, $C$13, 100%, $E$13) + CHOOSE(CONTROL!$C$28, 0.0003, 0)</f>
        <v>36.607400000000005</v>
      </c>
      <c r="D399" s="4">
        <f>43.7969 * CHOOSE(CONTROL!$C$9, $C$13, 100%, $E$13) + CHOOSE(CONTROL!$C$28, 0, 0)</f>
        <v>43.796900000000001</v>
      </c>
      <c r="E399" s="4">
        <f>217.760728551015 * CHOOSE(CONTROL!$C$9, $C$13, 100%, $E$13) + CHOOSE(CONTROL!$C$28, 0, 0)</f>
        <v>217.76072855101501</v>
      </c>
    </row>
    <row r="400" spans="1:5" ht="15">
      <c r="A400" s="13">
        <v>53692</v>
      </c>
      <c r="B400" s="4">
        <f>36.3707 * CHOOSE(CONTROL!$C$9, $C$13, 100%, $E$13) + CHOOSE(CONTROL!$C$28, 0.0003, 0)</f>
        <v>36.371000000000002</v>
      </c>
      <c r="C400" s="4">
        <f>36.0582 * CHOOSE(CONTROL!$C$9, $C$13, 100%, $E$13) + CHOOSE(CONTROL!$C$28, 0.0003, 0)</f>
        <v>36.058500000000002</v>
      </c>
      <c r="D400" s="4">
        <f>42.2777 * CHOOSE(CONTROL!$C$9, $C$13, 100%, $E$13) + CHOOSE(CONTROL!$C$28, 0, 0)</f>
        <v>42.277700000000003</v>
      </c>
      <c r="E400" s="4">
        <f>214.35030649466 * CHOOSE(CONTROL!$C$9, $C$13, 100%, $E$13) + CHOOSE(CONTROL!$C$28, 0, 0)</f>
        <v>214.35030649466</v>
      </c>
    </row>
    <row r="401" spans="1:5" ht="15">
      <c r="A401" s="13">
        <v>53723</v>
      </c>
      <c r="B401" s="4">
        <f>35.479 * CHOOSE(CONTROL!$C$9, $C$13, 100%, $E$13) + CHOOSE(CONTROL!$C$28, 0.0003, 0)</f>
        <v>35.479300000000002</v>
      </c>
      <c r="C401" s="4">
        <f>35.1665 * CHOOSE(CONTROL!$C$9, $C$13, 100%, $E$13) + CHOOSE(CONTROL!$C$28, 0.0003, 0)</f>
        <v>35.166800000000002</v>
      </c>
      <c r="D401" s="4">
        <f>40.8815 * CHOOSE(CONTROL!$C$9, $C$13, 100%, $E$13) + CHOOSE(CONTROL!$C$28, 0, 0)</f>
        <v>40.881500000000003</v>
      </c>
      <c r="E401" s="4">
        <f>208.203556528429 * CHOOSE(CONTROL!$C$9, $C$13, 100%, $E$13) + CHOOSE(CONTROL!$C$28, 0, 0)</f>
        <v>208.203556528429</v>
      </c>
    </row>
    <row r="402" spans="1:5" ht="15">
      <c r="A402" s="13">
        <v>53751</v>
      </c>
      <c r="B402" s="4">
        <f>36.2769 * CHOOSE(CONTROL!$C$9, $C$13, 100%, $E$13) + CHOOSE(CONTROL!$C$28, 0.0003, 0)</f>
        <v>36.277200000000001</v>
      </c>
      <c r="C402" s="4">
        <f>35.9644 * CHOOSE(CONTROL!$C$9, $C$13, 100%, $E$13) + CHOOSE(CONTROL!$C$28, 0.0003, 0)</f>
        <v>35.964700000000001</v>
      </c>
      <c r="D402" s="4">
        <f>42.2875 * CHOOSE(CONTROL!$C$9, $C$13, 100%, $E$13) + CHOOSE(CONTROL!$C$28, 0, 0)</f>
        <v>42.287500000000001</v>
      </c>
      <c r="E402" s="4">
        <f>213.147129471776 * CHOOSE(CONTROL!$C$9, $C$13, 100%, $E$13) + CHOOSE(CONTROL!$C$28, 0, 0)</f>
        <v>213.147129471776</v>
      </c>
    </row>
    <row r="403" spans="1:5" ht="15">
      <c r="A403" s="13">
        <v>53782</v>
      </c>
      <c r="B403" s="4">
        <f>38.3722 * CHOOSE(CONTROL!$C$9, $C$13, 100%, $E$13) + CHOOSE(CONTROL!$C$28, 0.0003, 0)</f>
        <v>38.372500000000002</v>
      </c>
      <c r="C403" s="4">
        <f>38.0597 * CHOOSE(CONTROL!$C$9, $C$13, 100%, $E$13) + CHOOSE(CONTROL!$C$28, 0.0003, 0)</f>
        <v>38.06</v>
      </c>
      <c r="D403" s="4">
        <f>44.4885 * CHOOSE(CONTROL!$C$9, $C$13, 100%, $E$13) + CHOOSE(CONTROL!$C$28, 0, 0)</f>
        <v>44.488500000000002</v>
      </c>
      <c r="E403" s="4">
        <f>226.129214738425 * CHOOSE(CONTROL!$C$9, $C$13, 100%, $E$13) + CHOOSE(CONTROL!$C$28, 0, 0)</f>
        <v>226.12921473842499</v>
      </c>
    </row>
    <row r="404" spans="1:5" ht="15">
      <c r="A404" s="13">
        <v>53812</v>
      </c>
      <c r="B404" s="4">
        <f>39.8609 * CHOOSE(CONTROL!$C$9, $C$13, 100%, $E$13) + CHOOSE(CONTROL!$C$28, 0.0003, 0)</f>
        <v>39.861200000000004</v>
      </c>
      <c r="C404" s="4">
        <f>39.5484 * CHOOSE(CONTROL!$C$9, $C$13, 100%, $E$13) + CHOOSE(CONTROL!$C$28, 0.0003, 0)</f>
        <v>39.548700000000004</v>
      </c>
      <c r="D404" s="4">
        <f>45.7564 * CHOOSE(CONTROL!$C$9, $C$13, 100%, $E$13) + CHOOSE(CONTROL!$C$28, 0, 0)</f>
        <v>45.756399999999999</v>
      </c>
      <c r="E404" s="4">
        <f>235.353159329413 * CHOOSE(CONTROL!$C$9, $C$13, 100%, $E$13) + CHOOSE(CONTROL!$C$28, 0, 0)</f>
        <v>235.35315932941299</v>
      </c>
    </row>
    <row r="405" spans="1:5" ht="15">
      <c r="A405" s="13">
        <v>53843</v>
      </c>
      <c r="B405" s="4">
        <f>40.7705 * CHOOSE(CONTROL!$C$9, $C$13, 100%, $E$13) + CHOOSE(CONTROL!$C$28, 0.0271, 0)</f>
        <v>40.797599999999996</v>
      </c>
      <c r="C405" s="4">
        <f>40.458 * CHOOSE(CONTROL!$C$9, $C$13, 100%, $E$13) + CHOOSE(CONTROL!$C$28, 0.0271, 0)</f>
        <v>40.485099999999996</v>
      </c>
      <c r="D405" s="4">
        <f>45.2554 * CHOOSE(CONTROL!$C$9, $C$13, 100%, $E$13) + CHOOSE(CONTROL!$C$28, 0, 0)</f>
        <v>45.255400000000002</v>
      </c>
      <c r="E405" s="4">
        <f>240.988768407408 * CHOOSE(CONTROL!$C$9, $C$13, 100%, $E$13) + CHOOSE(CONTROL!$C$28, 0, 0)</f>
        <v>240.988768407408</v>
      </c>
    </row>
    <row r="406" spans="1:5" ht="15">
      <c r="A406" s="13">
        <v>53873</v>
      </c>
      <c r="B406" s="4">
        <f>40.8936 * CHOOSE(CONTROL!$C$9, $C$13, 100%, $E$13) + CHOOSE(CONTROL!$C$28, 0.0271, 0)</f>
        <v>40.920699999999997</v>
      </c>
      <c r="C406" s="4">
        <f>40.5811 * CHOOSE(CONTROL!$C$9, $C$13, 100%, $E$13) + CHOOSE(CONTROL!$C$28, 0.0271, 0)</f>
        <v>40.608199999999997</v>
      </c>
      <c r="D406" s="4">
        <f>45.6634 * CHOOSE(CONTROL!$C$9, $C$13, 100%, $E$13) + CHOOSE(CONTROL!$C$28, 0, 0)</f>
        <v>45.663400000000003</v>
      </c>
      <c r="E406" s="4">
        <f>241.751289703919 * CHOOSE(CONTROL!$C$9, $C$13, 100%, $E$13) + CHOOSE(CONTROL!$C$28, 0, 0)</f>
        <v>241.75128970391901</v>
      </c>
    </row>
    <row r="407" spans="1:5" ht="15">
      <c r="A407" s="13">
        <v>53904</v>
      </c>
      <c r="B407" s="4">
        <f>40.8812 * CHOOSE(CONTROL!$C$9, $C$13, 100%, $E$13) + CHOOSE(CONTROL!$C$28, 0.0271, 0)</f>
        <v>40.908299999999997</v>
      </c>
      <c r="C407" s="4">
        <f>40.5687 * CHOOSE(CONTROL!$C$9, $C$13, 100%, $E$13) + CHOOSE(CONTROL!$C$28, 0.0271, 0)</f>
        <v>40.595799999999997</v>
      </c>
      <c r="D407" s="4">
        <f>46.3996 * CHOOSE(CONTROL!$C$9, $C$13, 100%, $E$13) + CHOOSE(CONTROL!$C$28, 0, 0)</f>
        <v>46.3996</v>
      </c>
      <c r="E407" s="4">
        <f>241.674396800069 * CHOOSE(CONTROL!$C$9, $C$13, 100%, $E$13) + CHOOSE(CONTROL!$C$28, 0, 0)</f>
        <v>241.67439680006899</v>
      </c>
    </row>
    <row r="408" spans="1:5" ht="15">
      <c r="A408" s="13">
        <v>53935</v>
      </c>
      <c r="B408" s="4">
        <f>41.8151 * CHOOSE(CONTROL!$C$9, $C$13, 100%, $E$13) + CHOOSE(CONTROL!$C$28, 0.0271, 0)</f>
        <v>41.842199999999998</v>
      </c>
      <c r="C408" s="4">
        <f>41.5026 * CHOOSE(CONTROL!$C$9, $C$13, 100%, $E$13) + CHOOSE(CONTROL!$C$28, 0.0271, 0)</f>
        <v>41.529699999999998</v>
      </c>
      <c r="D408" s="4">
        <f>45.9134 * CHOOSE(CONTROL!$C$9, $C$13, 100%, $E$13) + CHOOSE(CONTROL!$C$28, 0, 0)</f>
        <v>45.913400000000003</v>
      </c>
      <c r="E408" s="4">
        <f>247.46058781477 * CHOOSE(CONTROL!$C$9, $C$13, 100%, $E$13) + CHOOSE(CONTROL!$C$28, 0, 0)</f>
        <v>247.46058781477001</v>
      </c>
    </row>
    <row r="409" spans="1:5" ht="15">
      <c r="A409" s="13">
        <v>53965</v>
      </c>
      <c r="B409" s="4">
        <f>40.2234 * CHOOSE(CONTROL!$C$9, $C$13, 100%, $E$13) + CHOOSE(CONTROL!$C$28, 0.0271, 0)</f>
        <v>40.250499999999995</v>
      </c>
      <c r="C409" s="4">
        <f>39.9109 * CHOOSE(CONTROL!$C$9, $C$13, 100%, $E$13) + CHOOSE(CONTROL!$C$28, 0.0271, 0)</f>
        <v>39.937999999999995</v>
      </c>
      <c r="D409" s="4">
        <f>45.6837 * CHOOSE(CONTROL!$C$9, $C$13, 100%, $E$13) + CHOOSE(CONTROL!$C$28, 0, 0)</f>
        <v>45.683700000000002</v>
      </c>
      <c r="E409" s="4">
        <f>237.599072896027 * CHOOSE(CONTROL!$C$9, $C$13, 100%, $E$13) + CHOOSE(CONTROL!$C$28, 0, 0)</f>
        <v>237.599072896027</v>
      </c>
    </row>
    <row r="410" spans="1:5" ht="15">
      <c r="A410" s="13">
        <v>53996</v>
      </c>
      <c r="B410" s="4">
        <f>38.9493 * CHOOSE(CONTROL!$C$9, $C$13, 100%, $E$13) + CHOOSE(CONTROL!$C$28, 0.0003, 0)</f>
        <v>38.949600000000004</v>
      </c>
      <c r="C410" s="4">
        <f>38.6368 * CHOOSE(CONTROL!$C$9, $C$13, 100%, $E$13) + CHOOSE(CONTROL!$C$28, 0.0003, 0)</f>
        <v>38.637100000000004</v>
      </c>
      <c r="D410" s="4">
        <f>45.0686 * CHOOSE(CONTROL!$C$9, $C$13, 100%, $E$13) + CHOOSE(CONTROL!$C$28, 0, 0)</f>
        <v>45.068600000000004</v>
      </c>
      <c r="E410" s="4">
        <f>229.704734767443 * CHOOSE(CONTROL!$C$9, $C$13, 100%, $E$13) + CHOOSE(CONTROL!$C$28, 0, 0)</f>
        <v>229.704734767443</v>
      </c>
    </row>
    <row r="411" spans="1:5" ht="15">
      <c r="A411" s="13">
        <v>54026</v>
      </c>
      <c r="B411" s="4">
        <f>38.1286 * CHOOSE(CONTROL!$C$9, $C$13, 100%, $E$13) + CHOOSE(CONTROL!$C$28, 0.0003, 0)</f>
        <v>38.128900000000002</v>
      </c>
      <c r="C411" s="4">
        <f>37.8161 * CHOOSE(CONTROL!$C$9, $C$13, 100%, $E$13) + CHOOSE(CONTROL!$C$28, 0.0003, 0)</f>
        <v>37.816400000000002</v>
      </c>
      <c r="D411" s="4">
        <f>44.8572 * CHOOSE(CONTROL!$C$9, $C$13, 100%, $E$13) + CHOOSE(CONTROL!$C$28, 0, 0)</f>
        <v>44.857199999999999</v>
      </c>
      <c r="E411" s="4">
        <f>224.620191500372 * CHOOSE(CONTROL!$C$9, $C$13, 100%, $E$13) + CHOOSE(CONTROL!$C$28, 0, 0)</f>
        <v>224.62019150037199</v>
      </c>
    </row>
    <row r="412" spans="1:5" ht="15">
      <c r="A412" s="13">
        <v>54057</v>
      </c>
      <c r="B412" s="4">
        <f>37.5608 * CHOOSE(CONTROL!$C$9, $C$13, 100%, $E$13) + CHOOSE(CONTROL!$C$28, 0.0003, 0)</f>
        <v>37.561100000000003</v>
      </c>
      <c r="C412" s="4">
        <f>37.2483 * CHOOSE(CONTROL!$C$9, $C$13, 100%, $E$13) + CHOOSE(CONTROL!$C$28, 0.0003, 0)</f>
        <v>37.248600000000003</v>
      </c>
      <c r="D412" s="4">
        <f>43.3003 * CHOOSE(CONTROL!$C$9, $C$13, 100%, $E$13) + CHOOSE(CONTROL!$C$28, 0, 0)</f>
        <v>43.3003</v>
      </c>
      <c r="E412" s="4">
        <f>221.102341149241 * CHOOSE(CONTROL!$C$9, $C$13, 100%, $E$13) + CHOOSE(CONTROL!$C$28, 0, 0)</f>
        <v>221.102341149241</v>
      </c>
    </row>
    <row r="413" spans="1:5" ht="15">
      <c r="A413" s="13">
        <v>54088</v>
      </c>
      <c r="B413" s="4">
        <f>36.6383 * CHOOSE(CONTROL!$C$9, $C$13, 100%, $E$13) + CHOOSE(CONTROL!$C$28, 0.0003, 0)</f>
        <v>36.638600000000004</v>
      </c>
      <c r="C413" s="4">
        <f>36.3258 * CHOOSE(CONTROL!$C$9, $C$13, 100%, $E$13) + CHOOSE(CONTROL!$C$28, 0.0003, 0)</f>
        <v>36.326100000000004</v>
      </c>
      <c r="D413" s="4">
        <f>41.8695 * CHOOSE(CONTROL!$C$9, $C$13, 100%, $E$13) + CHOOSE(CONTROL!$C$28, 0, 0)</f>
        <v>41.869500000000002</v>
      </c>
      <c r="E413" s="4">
        <f>214.761968559075 * CHOOSE(CONTROL!$C$9, $C$13, 100%, $E$13) + CHOOSE(CONTROL!$C$28, 0, 0)</f>
        <v>214.761968559075</v>
      </c>
    </row>
    <row r="414" spans="1:5" ht="15">
      <c r="A414" s="13">
        <v>54116</v>
      </c>
      <c r="B414" s="4">
        <f>37.4637 * CHOOSE(CONTROL!$C$9, $C$13, 100%, $E$13) + CHOOSE(CONTROL!$C$28, 0.0003, 0)</f>
        <v>37.464000000000006</v>
      </c>
      <c r="C414" s="4">
        <f>37.1512 * CHOOSE(CONTROL!$C$9, $C$13, 100%, $E$13) + CHOOSE(CONTROL!$C$28, 0.0003, 0)</f>
        <v>37.151500000000006</v>
      </c>
      <c r="D414" s="4">
        <f>43.3104 * CHOOSE(CONTROL!$C$9, $C$13, 100%, $E$13) + CHOOSE(CONTROL!$C$28, 0, 0)</f>
        <v>43.310400000000001</v>
      </c>
      <c r="E414" s="4">
        <f>219.861264050137 * CHOOSE(CONTROL!$C$9, $C$13, 100%, $E$13) + CHOOSE(CONTROL!$C$28, 0, 0)</f>
        <v>219.86126405013701</v>
      </c>
    </row>
    <row r="415" spans="1:5" ht="15">
      <c r="A415" s="13">
        <v>54148</v>
      </c>
      <c r="B415" s="4">
        <f>39.6313 * CHOOSE(CONTROL!$C$9, $C$13, 100%, $E$13) + CHOOSE(CONTROL!$C$28, 0.0003, 0)</f>
        <v>39.631600000000006</v>
      </c>
      <c r="C415" s="4">
        <f>39.3188 * CHOOSE(CONTROL!$C$9, $C$13, 100%, $E$13) + CHOOSE(CONTROL!$C$28, 0.0003, 0)</f>
        <v>39.319100000000006</v>
      </c>
      <c r="D415" s="4">
        <f>45.566 * CHOOSE(CONTROL!$C$9, $C$13, 100%, $E$13) + CHOOSE(CONTROL!$C$28, 0, 0)</f>
        <v>45.566000000000003</v>
      </c>
      <c r="E415" s="4">
        <f>233.252285002685 * CHOOSE(CONTROL!$C$9, $C$13, 100%, $E$13) + CHOOSE(CONTROL!$C$28, 0, 0)</f>
        <v>233.252285002685</v>
      </c>
    </row>
    <row r="416" spans="1:5" ht="15">
      <c r="A416" s="13">
        <v>54178</v>
      </c>
      <c r="B416" s="4">
        <f>41.1714 * CHOOSE(CONTROL!$C$9, $C$13, 100%, $E$13) + CHOOSE(CONTROL!$C$28, 0.0003, 0)</f>
        <v>41.171700000000001</v>
      </c>
      <c r="C416" s="4">
        <f>40.8589 * CHOOSE(CONTROL!$C$9, $C$13, 100%, $E$13) + CHOOSE(CONTROL!$C$28, 0.0003, 0)</f>
        <v>40.859200000000001</v>
      </c>
      <c r="D416" s="4">
        <f>46.8653 * CHOOSE(CONTROL!$C$9, $C$13, 100%, $E$13) + CHOOSE(CONTROL!$C$28, 0, 0)</f>
        <v>46.865299999999998</v>
      </c>
      <c r="E416" s="4">
        <f>242.76678384829 * CHOOSE(CONTROL!$C$9, $C$13, 100%, $E$13) + CHOOSE(CONTROL!$C$28, 0, 0)</f>
        <v>242.76678384829</v>
      </c>
    </row>
    <row r="417" spans="1:5" ht="15">
      <c r="A417" s="13">
        <v>54209</v>
      </c>
      <c r="B417" s="4">
        <f>42.1124 * CHOOSE(CONTROL!$C$9, $C$13, 100%, $E$13) + CHOOSE(CONTROL!$C$28, 0.0271, 0)</f>
        <v>42.139499999999998</v>
      </c>
      <c r="C417" s="4">
        <f>41.7999 * CHOOSE(CONTROL!$C$9, $C$13, 100%, $E$13) + CHOOSE(CONTROL!$C$28, 0.0271, 0)</f>
        <v>41.826999999999998</v>
      </c>
      <c r="D417" s="4">
        <f>46.3518 * CHOOSE(CONTROL!$C$9, $C$13, 100%, $E$13) + CHOOSE(CONTROL!$C$28, 0, 0)</f>
        <v>46.351799999999997</v>
      </c>
      <c r="E417" s="4">
        <f>248.579914612241 * CHOOSE(CONTROL!$C$9, $C$13, 100%, $E$13) + CHOOSE(CONTROL!$C$28, 0, 0)</f>
        <v>248.579914612241</v>
      </c>
    </row>
    <row r="418" spans="1:5" ht="15">
      <c r="A418" s="13">
        <v>54239</v>
      </c>
      <c r="B418" s="4">
        <f>42.2397 * CHOOSE(CONTROL!$C$9, $C$13, 100%, $E$13) + CHOOSE(CONTROL!$C$28, 0.0271, 0)</f>
        <v>42.266799999999996</v>
      </c>
      <c r="C418" s="4">
        <f>41.9272 * CHOOSE(CONTROL!$C$9, $C$13, 100%, $E$13) + CHOOSE(CONTROL!$C$28, 0.0271, 0)</f>
        <v>41.954299999999996</v>
      </c>
      <c r="D418" s="4">
        <f>46.77 * CHOOSE(CONTROL!$C$9, $C$13, 100%, $E$13) + CHOOSE(CONTROL!$C$28, 0, 0)</f>
        <v>46.77</v>
      </c>
      <c r="E418" s="4">
        <f>249.366455329592 * CHOOSE(CONTROL!$C$9, $C$13, 100%, $E$13) + CHOOSE(CONTROL!$C$28, 0, 0)</f>
        <v>249.36645532959199</v>
      </c>
    </row>
    <row r="419" spans="1:5" ht="15">
      <c r="A419" s="13">
        <v>54270</v>
      </c>
      <c r="B419" s="4">
        <f>42.2269 * CHOOSE(CONTROL!$C$9, $C$13, 100%, $E$13) + CHOOSE(CONTROL!$C$28, 0.0271, 0)</f>
        <v>42.253999999999998</v>
      </c>
      <c r="C419" s="4">
        <f>41.9144 * CHOOSE(CONTROL!$C$9, $C$13, 100%, $E$13) + CHOOSE(CONTROL!$C$28, 0.0271, 0)</f>
        <v>41.941499999999998</v>
      </c>
      <c r="D419" s="4">
        <f>47.5245 * CHOOSE(CONTROL!$C$9, $C$13, 100%, $E$13) + CHOOSE(CONTROL!$C$28, 0, 0)</f>
        <v>47.524500000000003</v>
      </c>
      <c r="E419" s="4">
        <f>249.287140299271 * CHOOSE(CONTROL!$C$9, $C$13, 100%, $E$13) + CHOOSE(CONTROL!$C$28, 0, 0)</f>
        <v>249.28714029927099</v>
      </c>
    </row>
    <row r="420" spans="1:5" ht="15">
      <c r="A420" s="13">
        <v>54301</v>
      </c>
      <c r="B420" s="4">
        <f>43.193 * CHOOSE(CONTROL!$C$9, $C$13, 100%, $E$13) + CHOOSE(CONTROL!$C$28, 0.0271, 0)</f>
        <v>43.220099999999995</v>
      </c>
      <c r="C420" s="4">
        <f>42.8805 * CHOOSE(CONTROL!$C$9, $C$13, 100%, $E$13) + CHOOSE(CONTROL!$C$28, 0.0271, 0)</f>
        <v>42.907599999999995</v>
      </c>
      <c r="D420" s="4">
        <f>47.0262 * CHOOSE(CONTROL!$C$9, $C$13, 100%, $E$13) + CHOOSE(CONTROL!$C$28, 0, 0)</f>
        <v>47.026200000000003</v>
      </c>
      <c r="E420" s="4">
        <f>255.255596330935 * CHOOSE(CONTROL!$C$9, $C$13, 100%, $E$13) + CHOOSE(CONTROL!$C$28, 0, 0)</f>
        <v>255.25559633093499</v>
      </c>
    </row>
    <row r="421" spans="1:5" ht="15">
      <c r="A421" s="13">
        <v>54331</v>
      </c>
      <c r="B421" s="4">
        <f>41.5464 * CHOOSE(CONTROL!$C$9, $C$13, 100%, $E$13) + CHOOSE(CONTROL!$C$28, 0.0271, 0)</f>
        <v>41.573499999999996</v>
      </c>
      <c r="C421" s="4">
        <f>41.2339 * CHOOSE(CONTROL!$C$9, $C$13, 100%, $E$13) + CHOOSE(CONTROL!$C$28, 0.0271, 0)</f>
        <v>41.260999999999996</v>
      </c>
      <c r="D421" s="4">
        <f>46.7908 * CHOOSE(CONTROL!$C$9, $C$13, 100%, $E$13) + CHOOSE(CONTROL!$C$28, 0, 0)</f>
        <v>46.790799999999997</v>
      </c>
      <c r="E421" s="4">
        <f>245.083443692252 * CHOOSE(CONTROL!$C$9, $C$13, 100%, $E$13) + CHOOSE(CONTROL!$C$28, 0, 0)</f>
        <v>245.08344369225199</v>
      </c>
    </row>
    <row r="422" spans="1:5" ht="15">
      <c r="A422" s="13">
        <v>54362</v>
      </c>
      <c r="B422" s="4">
        <f>40.2283 * CHOOSE(CONTROL!$C$9, $C$13, 100%, $E$13) + CHOOSE(CONTROL!$C$28, 0.0003, 0)</f>
        <v>40.2286</v>
      </c>
      <c r="C422" s="4">
        <f>39.9158 * CHOOSE(CONTROL!$C$9, $C$13, 100%, $E$13) + CHOOSE(CONTROL!$C$28, 0.0003, 0)</f>
        <v>39.9161</v>
      </c>
      <c r="D422" s="4">
        <f>46.1604 * CHOOSE(CONTROL!$C$9, $C$13, 100%, $E$13) + CHOOSE(CONTROL!$C$28, 0, 0)</f>
        <v>46.160400000000003</v>
      </c>
      <c r="E422" s="4">
        <f>236.940433912617 * CHOOSE(CONTROL!$C$9, $C$13, 100%, $E$13) + CHOOSE(CONTROL!$C$28, 0, 0)</f>
        <v>236.94043391261701</v>
      </c>
    </row>
    <row r="423" spans="1:5" ht="15">
      <c r="A423" s="13">
        <v>54392</v>
      </c>
      <c r="B423" s="4">
        <f>39.3794 * CHOOSE(CONTROL!$C$9, $C$13, 100%, $E$13) + CHOOSE(CONTROL!$C$28, 0.0003, 0)</f>
        <v>39.3797</v>
      </c>
      <c r="C423" s="4">
        <f>39.0669 * CHOOSE(CONTROL!$C$9, $C$13, 100%, $E$13) + CHOOSE(CONTROL!$C$28, 0.0003, 0)</f>
        <v>39.0672</v>
      </c>
      <c r="D423" s="4">
        <f>45.9437 * CHOOSE(CONTROL!$C$9, $C$13, 100%, $E$13) + CHOOSE(CONTROL!$C$28, 0, 0)</f>
        <v>45.9437</v>
      </c>
      <c r="E423" s="4">
        <f>231.695727532634 * CHOOSE(CONTROL!$C$9, $C$13, 100%, $E$13) + CHOOSE(CONTROL!$C$28, 0, 0)</f>
        <v>231.69572753263401</v>
      </c>
    </row>
    <row r="424" spans="1:5" ht="15">
      <c r="A424" s="13">
        <v>54423</v>
      </c>
      <c r="B424" s="4">
        <f>38.792 * CHOOSE(CONTROL!$C$9, $C$13, 100%, $E$13) + CHOOSE(CONTROL!$C$28, 0.0003, 0)</f>
        <v>38.792300000000004</v>
      </c>
      <c r="C424" s="4">
        <f>38.4795 * CHOOSE(CONTROL!$C$9, $C$13, 100%, $E$13) + CHOOSE(CONTROL!$C$28, 0.0003, 0)</f>
        <v>38.479800000000004</v>
      </c>
      <c r="D424" s="4">
        <f>44.3483 * CHOOSE(CONTROL!$C$9, $C$13, 100%, $E$13) + CHOOSE(CONTROL!$C$28, 0, 0)</f>
        <v>44.348300000000002</v>
      </c>
      <c r="E424" s="4">
        <f>228.067064895442 * CHOOSE(CONTROL!$C$9, $C$13, 100%, $E$13) + CHOOSE(CONTROL!$C$28, 0, 0)</f>
        <v>228.067064895442</v>
      </c>
    </row>
    <row r="425" spans="1:5" ht="15">
      <c r="A425" s="13">
        <v>54454</v>
      </c>
      <c r="B425" s="4">
        <f>37.8377 * CHOOSE(CONTROL!$C$9, $C$13, 100%, $E$13) + CHOOSE(CONTROL!$C$28, 0.0003, 0)</f>
        <v>37.838000000000001</v>
      </c>
      <c r="C425" s="4">
        <f>37.5252 * CHOOSE(CONTROL!$C$9, $C$13, 100%, $E$13) + CHOOSE(CONTROL!$C$28, 0.0003, 0)</f>
        <v>37.525500000000001</v>
      </c>
      <c r="D425" s="4">
        <f>42.8819 * CHOOSE(CONTROL!$C$9, $C$13, 100%, $E$13) + CHOOSE(CONTROL!$C$28, 0, 0)</f>
        <v>42.881900000000002</v>
      </c>
      <c r="E425" s="4">
        <f>221.526970568686 * CHOOSE(CONTROL!$C$9, $C$13, 100%, $E$13) + CHOOSE(CONTROL!$C$28, 0, 0)</f>
        <v>221.52697056868601</v>
      </c>
    </row>
    <row r="426" spans="1:5" ht="15">
      <c r="A426" s="13">
        <v>54482</v>
      </c>
      <c r="B426" s="4">
        <f>38.6916 * CHOOSE(CONTROL!$C$9, $C$13, 100%, $E$13) + CHOOSE(CONTROL!$C$28, 0.0003, 0)</f>
        <v>38.691900000000004</v>
      </c>
      <c r="C426" s="4">
        <f>38.3791 * CHOOSE(CONTROL!$C$9, $C$13, 100%, $E$13) + CHOOSE(CONTROL!$C$28, 0.0003, 0)</f>
        <v>38.379400000000004</v>
      </c>
      <c r="D426" s="4">
        <f>44.3586 * CHOOSE(CONTROL!$C$9, $C$13, 100%, $E$13) + CHOOSE(CONTROL!$C$28, 0, 0)</f>
        <v>44.358600000000003</v>
      </c>
      <c r="E426" s="4">
        <f>226.786893867716 * CHOOSE(CONTROL!$C$9, $C$13, 100%, $E$13) + CHOOSE(CONTROL!$C$28, 0, 0)</f>
        <v>226.786893867716</v>
      </c>
    </row>
    <row r="427" spans="1:5" ht="15">
      <c r="A427" s="13">
        <v>54513</v>
      </c>
      <c r="B427" s="4">
        <f>40.9339 * CHOOSE(CONTROL!$C$9, $C$13, 100%, $E$13) + CHOOSE(CONTROL!$C$28, 0.0003, 0)</f>
        <v>40.934200000000004</v>
      </c>
      <c r="C427" s="4">
        <f>40.6214 * CHOOSE(CONTROL!$C$9, $C$13, 100%, $E$13) + CHOOSE(CONTROL!$C$28, 0.0003, 0)</f>
        <v>40.621700000000004</v>
      </c>
      <c r="D427" s="4">
        <f>46.6701 * CHOOSE(CONTROL!$C$9, $C$13, 100%, $E$13) + CHOOSE(CONTROL!$C$28, 0, 0)</f>
        <v>46.670099999999998</v>
      </c>
      <c r="E427" s="4">
        <f>240.59973198027 * CHOOSE(CONTROL!$C$9, $C$13, 100%, $E$13) + CHOOSE(CONTROL!$C$28, 0, 0)</f>
        <v>240.59973198027001</v>
      </c>
    </row>
    <row r="428" spans="1:5" ht="15">
      <c r="A428" s="13">
        <v>54543</v>
      </c>
      <c r="B428" s="4">
        <f>42.5272 * CHOOSE(CONTROL!$C$9, $C$13, 100%, $E$13) + CHOOSE(CONTROL!$C$28, 0.0003, 0)</f>
        <v>42.527500000000003</v>
      </c>
      <c r="C428" s="4">
        <f>42.2147 * CHOOSE(CONTROL!$C$9, $C$13, 100%, $E$13) + CHOOSE(CONTROL!$C$28, 0.0003, 0)</f>
        <v>42.215000000000003</v>
      </c>
      <c r="D428" s="4">
        <f>48.0016 * CHOOSE(CONTROL!$C$9, $C$13, 100%, $E$13) + CHOOSE(CONTROL!$C$28, 0, 0)</f>
        <v>48.001600000000003</v>
      </c>
      <c r="E428" s="4">
        <f>250.413937539511 * CHOOSE(CONTROL!$C$9, $C$13, 100%, $E$13) + CHOOSE(CONTROL!$C$28, 0, 0)</f>
        <v>250.41393753951101</v>
      </c>
    </row>
    <row r="429" spans="1:5" ht="15">
      <c r="A429" s="13">
        <v>54574</v>
      </c>
      <c r="B429" s="4">
        <f>43.5006 * CHOOSE(CONTROL!$C$9, $C$13, 100%, $E$13) + CHOOSE(CONTROL!$C$28, 0.0271, 0)</f>
        <v>43.527699999999996</v>
      </c>
      <c r="C429" s="4">
        <f>43.1881 * CHOOSE(CONTROL!$C$9, $C$13, 100%, $E$13) + CHOOSE(CONTROL!$C$28, 0.0271, 0)</f>
        <v>43.215199999999996</v>
      </c>
      <c r="D429" s="4">
        <f>47.4755 * CHOOSE(CONTROL!$C$9, $C$13, 100%, $E$13) + CHOOSE(CONTROL!$C$28, 0, 0)</f>
        <v>47.475499999999997</v>
      </c>
      <c r="E429" s="4">
        <f>256.410181922527 * CHOOSE(CONTROL!$C$9, $C$13, 100%, $E$13) + CHOOSE(CONTROL!$C$28, 0, 0)</f>
        <v>256.41018192252699</v>
      </c>
    </row>
    <row r="430" spans="1:5" ht="15">
      <c r="A430" s="13">
        <v>54604</v>
      </c>
      <c r="B430" s="4">
        <f>43.6323 * CHOOSE(CONTROL!$C$9, $C$13, 100%, $E$13) + CHOOSE(CONTROL!$C$28, 0.0271, 0)</f>
        <v>43.659399999999998</v>
      </c>
      <c r="C430" s="4">
        <f>43.3198 * CHOOSE(CONTROL!$C$9, $C$13, 100%, $E$13) + CHOOSE(CONTROL!$C$28, 0.0271, 0)</f>
        <v>43.346899999999998</v>
      </c>
      <c r="D430" s="4">
        <f>47.904 * CHOOSE(CONTROL!$C$9, $C$13, 100%, $E$13) + CHOOSE(CONTROL!$C$28, 0, 0)</f>
        <v>47.904000000000003</v>
      </c>
      <c r="E430" s="4">
        <f>257.221498672475 * CHOOSE(CONTROL!$C$9, $C$13, 100%, $E$13) + CHOOSE(CONTROL!$C$28, 0, 0)</f>
        <v>257.22149867247498</v>
      </c>
    </row>
    <row r="431" spans="1:5" ht="15">
      <c r="A431" s="13">
        <v>54635</v>
      </c>
      <c r="B431" s="4">
        <f>43.619 * CHOOSE(CONTROL!$C$9, $C$13, 100%, $E$13) + CHOOSE(CONTROL!$C$28, 0.0271, 0)</f>
        <v>43.646099999999997</v>
      </c>
      <c r="C431" s="4">
        <f>43.3065 * CHOOSE(CONTROL!$C$9, $C$13, 100%, $E$13) + CHOOSE(CONTROL!$C$28, 0.0271, 0)</f>
        <v>43.333599999999997</v>
      </c>
      <c r="D431" s="4">
        <f>48.6772 * CHOOSE(CONTROL!$C$9, $C$13, 100%, $E$13) + CHOOSE(CONTROL!$C$28, 0, 0)</f>
        <v>48.677199999999999</v>
      </c>
      <c r="E431" s="4">
        <f>257.139685218698 * CHOOSE(CONTROL!$C$9, $C$13, 100%, $E$13) + CHOOSE(CONTROL!$C$28, 0, 0)</f>
        <v>257.13968521869799</v>
      </c>
    </row>
    <row r="432" spans="1:5" ht="15">
      <c r="A432" s="13">
        <v>54666</v>
      </c>
      <c r="B432" s="4">
        <f>44.6185 * CHOOSE(CONTROL!$C$9, $C$13, 100%, $E$13) + CHOOSE(CONTROL!$C$28, 0.0271, 0)</f>
        <v>44.645599999999995</v>
      </c>
      <c r="C432" s="4">
        <f>44.306 * CHOOSE(CONTROL!$C$9, $C$13, 100%, $E$13) + CHOOSE(CONTROL!$C$28, 0.0271, 0)</f>
        <v>44.333099999999995</v>
      </c>
      <c r="D432" s="4">
        <f>48.1666 * CHOOSE(CONTROL!$C$9, $C$13, 100%, $E$13) + CHOOSE(CONTROL!$C$28, 0, 0)</f>
        <v>48.166600000000003</v>
      </c>
      <c r="E432" s="4">
        <f>263.29614761536 * CHOOSE(CONTROL!$C$9, $C$13, 100%, $E$13) + CHOOSE(CONTROL!$C$28, 0, 0)</f>
        <v>263.29614761535998</v>
      </c>
    </row>
    <row r="433" spans="1:5" ht="15">
      <c r="A433" s="13">
        <v>54696</v>
      </c>
      <c r="B433" s="4">
        <f>42.9151 * CHOOSE(CONTROL!$C$9, $C$13, 100%, $E$13) + CHOOSE(CONTROL!$C$28, 0.0271, 0)</f>
        <v>42.9422</v>
      </c>
      <c r="C433" s="4">
        <f>42.6026 * CHOOSE(CONTROL!$C$9, $C$13, 100%, $E$13) + CHOOSE(CONTROL!$C$28, 0.0271, 0)</f>
        <v>42.6297</v>
      </c>
      <c r="D433" s="4">
        <f>47.9253 * CHOOSE(CONTROL!$C$9, $C$13, 100%, $E$13) + CHOOSE(CONTROL!$C$28, 0, 0)</f>
        <v>47.9253</v>
      </c>
      <c r="E433" s="4">
        <f>252.803572168558 * CHOOSE(CONTROL!$C$9, $C$13, 100%, $E$13) + CHOOSE(CONTROL!$C$28, 0, 0)</f>
        <v>252.80357216855799</v>
      </c>
    </row>
    <row r="434" spans="1:5" ht="15">
      <c r="A434" s="13">
        <v>54727</v>
      </c>
      <c r="B434" s="4">
        <f>41.5515 * CHOOSE(CONTROL!$C$9, $C$13, 100%, $E$13) + CHOOSE(CONTROL!$C$28, 0.0003, 0)</f>
        <v>41.5518</v>
      </c>
      <c r="C434" s="4">
        <f>41.239 * CHOOSE(CONTROL!$C$9, $C$13, 100%, $E$13) + CHOOSE(CONTROL!$C$28, 0.0003, 0)</f>
        <v>41.2393</v>
      </c>
      <c r="D434" s="4">
        <f>47.2793 * CHOOSE(CONTROL!$C$9, $C$13, 100%, $E$13) + CHOOSE(CONTROL!$C$28, 0, 0)</f>
        <v>47.279299999999999</v>
      </c>
      <c r="E434" s="4">
        <f>244.404057580865 * CHOOSE(CONTROL!$C$9, $C$13, 100%, $E$13) + CHOOSE(CONTROL!$C$28, 0, 0)</f>
        <v>244.40405758086499</v>
      </c>
    </row>
    <row r="435" spans="1:5" ht="15">
      <c r="A435" s="13">
        <v>54757</v>
      </c>
      <c r="B435" s="4">
        <f>40.6733 * CHOOSE(CONTROL!$C$9, $C$13, 100%, $E$13) + CHOOSE(CONTROL!$C$28, 0.0003, 0)</f>
        <v>40.6736</v>
      </c>
      <c r="C435" s="4">
        <f>40.3608 * CHOOSE(CONTROL!$C$9, $C$13, 100%, $E$13) + CHOOSE(CONTROL!$C$28, 0.0003, 0)</f>
        <v>40.3611</v>
      </c>
      <c r="D435" s="4">
        <f>47.0573 * CHOOSE(CONTROL!$C$9, $C$13, 100%, $E$13) + CHOOSE(CONTROL!$C$28, 0, 0)</f>
        <v>47.057299999999998</v>
      </c>
      <c r="E435" s="4">
        <f>238.994142949911 * CHOOSE(CONTROL!$C$9, $C$13, 100%, $E$13) + CHOOSE(CONTROL!$C$28, 0, 0)</f>
        <v>238.99414294991101</v>
      </c>
    </row>
    <row r="436" spans="1:5" ht="15">
      <c r="A436" s="13">
        <v>54788</v>
      </c>
      <c r="B436" s="4">
        <f>40.0656 * CHOOSE(CONTROL!$C$9, $C$13, 100%, $E$13) + CHOOSE(CONTROL!$C$28, 0.0003, 0)</f>
        <v>40.065900000000006</v>
      </c>
      <c r="C436" s="4">
        <f>39.7531 * CHOOSE(CONTROL!$C$9, $C$13, 100%, $E$13) + CHOOSE(CONTROL!$C$28, 0.0003, 0)</f>
        <v>39.753400000000006</v>
      </c>
      <c r="D436" s="4">
        <f>45.4222 * CHOOSE(CONTROL!$C$9, $C$13, 100%, $E$13) + CHOOSE(CONTROL!$C$28, 0, 0)</f>
        <v>45.422199999999997</v>
      </c>
      <c r="E436" s="4">
        <f>235.251177439649 * CHOOSE(CONTROL!$C$9, $C$13, 100%, $E$13) + CHOOSE(CONTROL!$C$28, 0, 0)</f>
        <v>235.25117743964901</v>
      </c>
    </row>
    <row r="437" spans="1:5" ht="15">
      <c r="A437" s="13">
        <v>54819</v>
      </c>
      <c r="B437" s="4">
        <f>39.0784 * CHOOSE(CONTROL!$C$9, $C$13, 100%, $E$13) + CHOOSE(CONTROL!$C$28, 0.0003, 0)</f>
        <v>39.078700000000005</v>
      </c>
      <c r="C437" s="4">
        <f>38.7659 * CHOOSE(CONTROL!$C$9, $C$13, 100%, $E$13) + CHOOSE(CONTROL!$C$28, 0.0003, 0)</f>
        <v>38.766200000000005</v>
      </c>
      <c r="D437" s="4">
        <f>43.9195 * CHOOSE(CONTROL!$C$9, $C$13, 100%, $E$13) + CHOOSE(CONTROL!$C$28, 0, 0)</f>
        <v>43.919499999999999</v>
      </c>
      <c r="E437" s="4">
        <f>228.5050701416 * CHOOSE(CONTROL!$C$9, $C$13, 100%, $E$13) + CHOOSE(CONTROL!$C$28, 0, 0)</f>
        <v>228.50507014159999</v>
      </c>
    </row>
    <row r="438" spans="1:5" ht="15">
      <c r="A438" s="13">
        <v>54847</v>
      </c>
      <c r="B438" s="4">
        <f>39.9617 * CHOOSE(CONTROL!$C$9, $C$13, 100%, $E$13) + CHOOSE(CONTROL!$C$28, 0.0003, 0)</f>
        <v>39.962000000000003</v>
      </c>
      <c r="C438" s="4">
        <f>39.6492 * CHOOSE(CONTROL!$C$9, $C$13, 100%, $E$13) + CHOOSE(CONTROL!$C$28, 0.0003, 0)</f>
        <v>39.649500000000003</v>
      </c>
      <c r="D438" s="4">
        <f>45.4328 * CHOOSE(CONTROL!$C$9, $C$13, 100%, $E$13) + CHOOSE(CONTROL!$C$28, 0, 0)</f>
        <v>45.4328</v>
      </c>
      <c r="E438" s="4">
        <f>233.930681024549 * CHOOSE(CONTROL!$C$9, $C$13, 100%, $E$13) + CHOOSE(CONTROL!$C$28, 0, 0)</f>
        <v>233.93068102454899</v>
      </c>
    </row>
    <row r="439" spans="1:5" ht="15">
      <c r="A439" s="13">
        <v>54878</v>
      </c>
      <c r="B439" s="4">
        <f>42.2815 * CHOOSE(CONTROL!$C$9, $C$13, 100%, $E$13) + CHOOSE(CONTROL!$C$28, 0.0003, 0)</f>
        <v>42.281800000000004</v>
      </c>
      <c r="C439" s="4">
        <f>41.969 * CHOOSE(CONTROL!$C$9, $C$13, 100%, $E$13) + CHOOSE(CONTROL!$C$28, 0.0003, 0)</f>
        <v>41.969300000000004</v>
      </c>
      <c r="D439" s="4">
        <f>47.8016 * CHOOSE(CONTROL!$C$9, $C$13, 100%, $E$13) + CHOOSE(CONTROL!$C$28, 0, 0)</f>
        <v>47.801600000000001</v>
      </c>
      <c r="E439" s="4">
        <f>248.178623537649 * CHOOSE(CONTROL!$C$9, $C$13, 100%, $E$13) + CHOOSE(CONTROL!$C$28, 0, 0)</f>
        <v>248.178623537649</v>
      </c>
    </row>
    <row r="440" spans="1:5" ht="15">
      <c r="A440" s="13">
        <v>54908</v>
      </c>
      <c r="B440" s="4">
        <f>43.9297 * CHOOSE(CONTROL!$C$9, $C$13, 100%, $E$13) + CHOOSE(CONTROL!$C$28, 0.0003, 0)</f>
        <v>43.93</v>
      </c>
      <c r="C440" s="4">
        <f>43.6172 * CHOOSE(CONTROL!$C$9, $C$13, 100%, $E$13) + CHOOSE(CONTROL!$C$28, 0.0003, 0)</f>
        <v>43.6175</v>
      </c>
      <c r="D440" s="4">
        <f>49.1662 * CHOOSE(CONTROL!$C$9, $C$13, 100%, $E$13) + CHOOSE(CONTROL!$C$28, 0, 0)</f>
        <v>49.166200000000003</v>
      </c>
      <c r="E440" s="4">
        <f>258.301976572005 * CHOOSE(CONTROL!$C$9, $C$13, 100%, $E$13) + CHOOSE(CONTROL!$C$28, 0, 0)</f>
        <v>258.301976572005</v>
      </c>
    </row>
    <row r="441" spans="1:5" ht="15">
      <c r="A441" s="13">
        <v>54939</v>
      </c>
      <c r="B441" s="4">
        <f>44.9367 * CHOOSE(CONTROL!$C$9, $C$13, 100%, $E$13) + CHOOSE(CONTROL!$C$28, 0.0271, 0)</f>
        <v>44.963799999999999</v>
      </c>
      <c r="C441" s="4">
        <f>44.6242 * CHOOSE(CONTROL!$C$9, $C$13, 100%, $E$13) + CHOOSE(CONTROL!$C$28, 0.0271, 0)</f>
        <v>44.651299999999999</v>
      </c>
      <c r="D441" s="4">
        <f>48.627 * CHOOSE(CONTROL!$C$9, $C$13, 100%, $E$13) + CHOOSE(CONTROL!$C$28, 0, 0)</f>
        <v>48.627000000000002</v>
      </c>
      <c r="E441" s="4">
        <f>264.487102653087 * CHOOSE(CONTROL!$C$9, $C$13, 100%, $E$13) + CHOOSE(CONTROL!$C$28, 0, 0)</f>
        <v>264.48710265308699</v>
      </c>
    </row>
    <row r="442" spans="1:5" ht="15">
      <c r="A442" s="13">
        <v>54969</v>
      </c>
      <c r="B442" s="4">
        <f>45.0729 * CHOOSE(CONTROL!$C$9, $C$13, 100%, $E$13) + CHOOSE(CONTROL!$C$28, 0.0271, 0)</f>
        <v>45.099999999999994</v>
      </c>
      <c r="C442" s="4">
        <f>44.7604 * CHOOSE(CONTROL!$C$9, $C$13, 100%, $E$13) + CHOOSE(CONTROL!$C$28, 0.0271, 0)</f>
        <v>44.787499999999994</v>
      </c>
      <c r="D442" s="4">
        <f>49.0661 * CHOOSE(CONTROL!$C$9, $C$13, 100%, $E$13) + CHOOSE(CONTROL!$C$28, 0, 0)</f>
        <v>49.066099999999999</v>
      </c>
      <c r="E442" s="4">
        <f>265.323975880658 * CHOOSE(CONTROL!$C$9, $C$13, 100%, $E$13) + CHOOSE(CONTROL!$C$28, 0, 0)</f>
        <v>265.323975880658</v>
      </c>
    </row>
    <row r="443" spans="1:5" ht="15">
      <c r="A443" s="13">
        <v>55000</v>
      </c>
      <c r="B443" s="4">
        <f>45.0592 * CHOOSE(CONTROL!$C$9, $C$13, 100%, $E$13) + CHOOSE(CONTROL!$C$28, 0.0271, 0)</f>
        <v>45.086299999999994</v>
      </c>
      <c r="C443" s="4">
        <f>44.7467 * CHOOSE(CONTROL!$C$9, $C$13, 100%, $E$13) + CHOOSE(CONTROL!$C$28, 0.0271, 0)</f>
        <v>44.773799999999994</v>
      </c>
      <c r="D443" s="4">
        <f>49.8585 * CHOOSE(CONTROL!$C$9, $C$13, 100%, $E$13) + CHOOSE(CONTROL!$C$28, 0, 0)</f>
        <v>49.858499999999999</v>
      </c>
      <c r="E443" s="4">
        <f>265.239585303087 * CHOOSE(CONTROL!$C$9, $C$13, 100%, $E$13) + CHOOSE(CONTROL!$C$28, 0, 0)</f>
        <v>265.23958530308698</v>
      </c>
    </row>
    <row r="444" spans="1:5" ht="15">
      <c r="A444" s="13">
        <v>55031</v>
      </c>
      <c r="B444" s="4">
        <f>46.0931 * CHOOSE(CONTROL!$C$9, $C$13, 100%, $E$13) + CHOOSE(CONTROL!$C$28, 0.0271, 0)</f>
        <v>46.120199999999997</v>
      </c>
      <c r="C444" s="4">
        <f>45.7806 * CHOOSE(CONTROL!$C$9, $C$13, 100%, $E$13) + CHOOSE(CONTROL!$C$28, 0.0271, 0)</f>
        <v>45.807699999999997</v>
      </c>
      <c r="D444" s="4">
        <f>49.3352 * CHOOSE(CONTROL!$C$9, $C$13, 100%, $E$13) + CHOOSE(CONTROL!$C$28, 0, 0)</f>
        <v>49.3352</v>
      </c>
      <c r="E444" s="4">
        <f>271.589976265244 * CHOOSE(CONTROL!$C$9, $C$13, 100%, $E$13) + CHOOSE(CONTROL!$C$28, 0, 0)</f>
        <v>271.58997626524399</v>
      </c>
    </row>
    <row r="445" spans="1:5" ht="15">
      <c r="A445" s="13">
        <v>55061</v>
      </c>
      <c r="B445" s="4">
        <f>44.331 * CHOOSE(CONTROL!$C$9, $C$13, 100%, $E$13) + CHOOSE(CONTROL!$C$28, 0.0271, 0)</f>
        <v>44.3581</v>
      </c>
      <c r="C445" s="4">
        <f>44.0185 * CHOOSE(CONTROL!$C$9, $C$13, 100%, $E$13) + CHOOSE(CONTROL!$C$28, 0.0271, 0)</f>
        <v>44.0456</v>
      </c>
      <c r="D445" s="4">
        <f>49.088 * CHOOSE(CONTROL!$C$9, $C$13, 100%, $E$13) + CHOOSE(CONTROL!$C$28, 0, 0)</f>
        <v>49.088000000000001</v>
      </c>
      <c r="E445" s="4">
        <f>260.766884691868 * CHOOSE(CONTROL!$C$9, $C$13, 100%, $E$13) + CHOOSE(CONTROL!$C$28, 0, 0)</f>
        <v>260.76688469186797</v>
      </c>
    </row>
    <row r="446" spans="1:5" ht="15">
      <c r="A446" s="13">
        <v>55092</v>
      </c>
      <c r="B446" s="4">
        <f>42.9204 * CHOOSE(CONTROL!$C$9, $C$13, 100%, $E$13) + CHOOSE(CONTROL!$C$28, 0.0003, 0)</f>
        <v>42.920700000000004</v>
      </c>
      <c r="C446" s="4">
        <f>42.6079 * CHOOSE(CONTROL!$C$9, $C$13, 100%, $E$13) + CHOOSE(CONTROL!$C$28, 0.0003, 0)</f>
        <v>42.608200000000004</v>
      </c>
      <c r="D446" s="4">
        <f>48.426 * CHOOSE(CONTROL!$C$9, $C$13, 100%, $E$13) + CHOOSE(CONTROL!$C$28, 0, 0)</f>
        <v>48.426000000000002</v>
      </c>
      <c r="E446" s="4">
        <f>252.102785394662 * CHOOSE(CONTROL!$C$9, $C$13, 100%, $E$13) + CHOOSE(CONTROL!$C$28, 0, 0)</f>
        <v>252.10278539466199</v>
      </c>
    </row>
    <row r="447" spans="1:5" ht="15">
      <c r="A447" s="13">
        <v>55122</v>
      </c>
      <c r="B447" s="4">
        <f>42.0118 * CHOOSE(CONTROL!$C$9, $C$13, 100%, $E$13) + CHOOSE(CONTROL!$C$28, 0.0003, 0)</f>
        <v>42.012100000000004</v>
      </c>
      <c r="C447" s="4">
        <f>41.6993 * CHOOSE(CONTROL!$C$9, $C$13, 100%, $E$13) + CHOOSE(CONTROL!$C$28, 0.0003, 0)</f>
        <v>41.699600000000004</v>
      </c>
      <c r="D447" s="4">
        <f>48.1984 * CHOOSE(CONTROL!$C$9, $C$13, 100%, $E$13) + CHOOSE(CONTROL!$C$28, 0, 0)</f>
        <v>48.198399999999999</v>
      </c>
      <c r="E447" s="4">
        <f>246.522458452834 * CHOOSE(CONTROL!$C$9, $C$13, 100%, $E$13) + CHOOSE(CONTROL!$C$28, 0, 0)</f>
        <v>246.522458452834</v>
      </c>
    </row>
    <row r="448" spans="1:5" ht="15">
      <c r="A448" s="13">
        <v>55153</v>
      </c>
      <c r="B448" s="4">
        <f>41.3832 * CHOOSE(CONTROL!$C$9, $C$13, 100%, $E$13) + CHOOSE(CONTROL!$C$28, 0.0003, 0)</f>
        <v>41.383500000000005</v>
      </c>
      <c r="C448" s="4">
        <f>41.0707 * CHOOSE(CONTROL!$C$9, $C$13, 100%, $E$13) + CHOOSE(CONTROL!$C$28, 0.0003, 0)</f>
        <v>41.071000000000005</v>
      </c>
      <c r="D448" s="4">
        <f>46.5228 * CHOOSE(CONTROL!$C$9, $C$13, 100%, $E$13) + CHOOSE(CONTROL!$C$28, 0, 0)</f>
        <v>46.522799999999997</v>
      </c>
      <c r="E448" s="4">
        <f>242.661589528998 * CHOOSE(CONTROL!$C$9, $C$13, 100%, $E$13) + CHOOSE(CONTROL!$C$28, 0, 0)</f>
        <v>242.66158952899801</v>
      </c>
    </row>
    <row r="449" spans="1:5" ht="15">
      <c r="A449" s="13">
        <v>55184</v>
      </c>
      <c r="B449" s="4">
        <f>40.3619 * CHOOSE(CONTROL!$C$9, $C$13, 100%, $E$13) + CHOOSE(CONTROL!$C$28, 0.0003, 0)</f>
        <v>40.362200000000001</v>
      </c>
      <c r="C449" s="4">
        <f>40.0494 * CHOOSE(CONTROL!$C$9, $C$13, 100%, $E$13) + CHOOSE(CONTROL!$C$28, 0.0003, 0)</f>
        <v>40.049700000000001</v>
      </c>
      <c r="D449" s="4">
        <f>44.9828 * CHOOSE(CONTROL!$C$9, $C$13, 100%, $E$13) + CHOOSE(CONTROL!$C$28, 0, 0)</f>
        <v>44.982799999999997</v>
      </c>
      <c r="E449" s="4">
        <f>235.70297985106 * CHOOSE(CONTROL!$C$9, $C$13, 100%, $E$13) + CHOOSE(CONTROL!$C$28, 0, 0)</f>
        <v>235.70297985106001</v>
      </c>
    </row>
    <row r="450" spans="1:5" ht="15">
      <c r="A450" s="13">
        <v>55212</v>
      </c>
      <c r="B450" s="4">
        <f>41.2757 * CHOOSE(CONTROL!$C$9, $C$13, 100%, $E$13) + CHOOSE(CONTROL!$C$28, 0.0003, 0)</f>
        <v>41.276000000000003</v>
      </c>
      <c r="C450" s="4">
        <f>40.9632 * CHOOSE(CONTROL!$C$9, $C$13, 100%, $E$13) + CHOOSE(CONTROL!$C$28, 0.0003, 0)</f>
        <v>40.963500000000003</v>
      </c>
      <c r="D450" s="4">
        <f>46.5336 * CHOOSE(CONTROL!$C$9, $C$13, 100%, $E$13) + CHOOSE(CONTROL!$C$28, 0, 0)</f>
        <v>46.5336</v>
      </c>
      <c r="E450" s="4">
        <f>241.299497476823 * CHOOSE(CONTROL!$C$9, $C$13, 100%, $E$13) + CHOOSE(CONTROL!$C$28, 0, 0)</f>
        <v>241.29949747682301</v>
      </c>
    </row>
    <row r="451" spans="1:5" ht="15">
      <c r="A451" s="13">
        <v>55243</v>
      </c>
      <c r="B451" s="4">
        <f>43.6755 * CHOOSE(CONTROL!$C$9, $C$13, 100%, $E$13) + CHOOSE(CONTROL!$C$28, 0.0003, 0)</f>
        <v>43.675800000000002</v>
      </c>
      <c r="C451" s="4">
        <f>43.363 * CHOOSE(CONTROL!$C$9, $C$13, 100%, $E$13) + CHOOSE(CONTROL!$C$28, 0.0003, 0)</f>
        <v>43.363300000000002</v>
      </c>
      <c r="D451" s="4">
        <f>48.9612 * CHOOSE(CONTROL!$C$9, $C$13, 100%, $E$13) + CHOOSE(CONTROL!$C$28, 0, 0)</f>
        <v>48.961199999999998</v>
      </c>
      <c r="E451" s="4">
        <f>255.996250179085 * CHOOSE(CONTROL!$C$9, $C$13, 100%, $E$13) + CHOOSE(CONTROL!$C$28, 0, 0)</f>
        <v>255.996250179085</v>
      </c>
    </row>
    <row r="452" spans="1:5" ht="15">
      <c r="A452" s="13">
        <v>55273</v>
      </c>
      <c r="B452" s="4">
        <f>45.3806 * CHOOSE(CONTROL!$C$9, $C$13, 100%, $E$13) + CHOOSE(CONTROL!$C$28, 0.0003, 0)</f>
        <v>45.380900000000004</v>
      </c>
      <c r="C452" s="4">
        <f>45.0681 * CHOOSE(CONTROL!$C$9, $C$13, 100%, $E$13) + CHOOSE(CONTROL!$C$28, 0.0003, 0)</f>
        <v>45.068400000000004</v>
      </c>
      <c r="D452" s="4">
        <f>50.3596 * CHOOSE(CONTROL!$C$9, $C$13, 100%, $E$13) + CHOOSE(CONTROL!$C$28, 0, 0)</f>
        <v>50.3596</v>
      </c>
      <c r="E452" s="4">
        <f>266.438488834023 * CHOOSE(CONTROL!$C$9, $C$13, 100%, $E$13) + CHOOSE(CONTROL!$C$28, 0, 0)</f>
        <v>266.43848883402302</v>
      </c>
    </row>
    <row r="453" spans="1:5" ht="15">
      <c r="A453" s="13">
        <v>55304</v>
      </c>
      <c r="B453" s="4">
        <f>46.4223 * CHOOSE(CONTROL!$C$9, $C$13, 100%, $E$13) + CHOOSE(CONTROL!$C$28, 0.0271, 0)</f>
        <v>46.449399999999997</v>
      </c>
      <c r="C453" s="4">
        <f>46.1098 * CHOOSE(CONTROL!$C$9, $C$13, 100%, $E$13) + CHOOSE(CONTROL!$C$28, 0.0271, 0)</f>
        <v>46.136899999999997</v>
      </c>
      <c r="D453" s="4">
        <f>49.807 * CHOOSE(CONTROL!$C$9, $C$13, 100%, $E$13) + CHOOSE(CONTROL!$C$28, 0, 0)</f>
        <v>49.807000000000002</v>
      </c>
      <c r="E453" s="4">
        <f>272.818446386659 * CHOOSE(CONTROL!$C$9, $C$13, 100%, $E$13) + CHOOSE(CONTROL!$C$28, 0, 0)</f>
        <v>272.81844638665899</v>
      </c>
    </row>
    <row r="454" spans="1:5" ht="15">
      <c r="A454" s="13">
        <v>55334</v>
      </c>
      <c r="B454" s="4">
        <f>46.5633 * CHOOSE(CONTROL!$C$9, $C$13, 100%, $E$13) + CHOOSE(CONTROL!$C$28, 0.0271, 0)</f>
        <v>46.590399999999995</v>
      </c>
      <c r="C454" s="4">
        <f>46.2508 * CHOOSE(CONTROL!$C$9, $C$13, 100%, $E$13) + CHOOSE(CONTROL!$C$28, 0.0271, 0)</f>
        <v>46.277899999999995</v>
      </c>
      <c r="D454" s="4">
        <f>50.2571 * CHOOSE(CONTROL!$C$9, $C$13, 100%, $E$13) + CHOOSE(CONTROL!$C$28, 0, 0)</f>
        <v>50.257100000000001</v>
      </c>
      <c r="E454" s="4">
        <f>273.681681120898 * CHOOSE(CONTROL!$C$9, $C$13, 100%, $E$13) + CHOOSE(CONTROL!$C$28, 0, 0)</f>
        <v>273.68168112089802</v>
      </c>
    </row>
    <row r="455" spans="1:5" ht="15">
      <c r="A455" s="13">
        <v>55365</v>
      </c>
      <c r="B455" s="4">
        <f>46.549 * CHOOSE(CONTROL!$C$9, $C$13, 100%, $E$13) + CHOOSE(CONTROL!$C$28, 0.0271, 0)</f>
        <v>46.576099999999997</v>
      </c>
      <c r="C455" s="4">
        <f>46.2365 * CHOOSE(CONTROL!$C$9, $C$13, 100%, $E$13) + CHOOSE(CONTROL!$C$28, 0.0271, 0)</f>
        <v>46.263599999999997</v>
      </c>
      <c r="D455" s="4">
        <f>51.0691 * CHOOSE(CONTROL!$C$9, $C$13, 100%, $E$13) + CHOOSE(CONTROL!$C$28, 0, 0)</f>
        <v>51.069099999999999</v>
      </c>
      <c r="E455" s="4">
        <f>273.594632240135 * CHOOSE(CONTROL!$C$9, $C$13, 100%, $E$13) + CHOOSE(CONTROL!$C$28, 0, 0)</f>
        <v>273.59463224013501</v>
      </c>
    </row>
    <row r="456" spans="1:5" ht="15">
      <c r="A456" s="13">
        <v>55396</v>
      </c>
      <c r="B456" s="4">
        <f>47.6186 * CHOOSE(CONTROL!$C$9, $C$13, 100%, $E$13) + CHOOSE(CONTROL!$C$28, 0.0271, 0)</f>
        <v>47.645699999999998</v>
      </c>
      <c r="C456" s="4">
        <f>47.3061 * CHOOSE(CONTROL!$C$9, $C$13, 100%, $E$13) + CHOOSE(CONTROL!$C$28, 0.0271, 0)</f>
        <v>47.333199999999998</v>
      </c>
      <c r="D456" s="4">
        <f>50.5328 * CHOOSE(CONTROL!$C$9, $C$13, 100%, $E$13) + CHOOSE(CONTROL!$C$28, 0, 0)</f>
        <v>50.532800000000002</v>
      </c>
      <c r="E456" s="4">
        <f>280.145060517599 * CHOOSE(CONTROL!$C$9, $C$13, 100%, $E$13) + CHOOSE(CONTROL!$C$28, 0, 0)</f>
        <v>280.14506051759901</v>
      </c>
    </row>
    <row r="457" spans="1:5" ht="15">
      <c r="A457" s="13">
        <v>55426</v>
      </c>
      <c r="B457" s="4">
        <f>45.7957 * CHOOSE(CONTROL!$C$9, $C$13, 100%, $E$13) + CHOOSE(CONTROL!$C$28, 0.0271, 0)</f>
        <v>45.822799999999994</v>
      </c>
      <c r="C457" s="4">
        <f>45.4832 * CHOOSE(CONTROL!$C$9, $C$13, 100%, $E$13) + CHOOSE(CONTROL!$C$28, 0.0271, 0)</f>
        <v>45.510299999999994</v>
      </c>
      <c r="D457" s="4">
        <f>50.2795 * CHOOSE(CONTROL!$C$9, $C$13, 100%, $E$13) + CHOOSE(CONTROL!$C$28, 0, 0)</f>
        <v>50.279499999999999</v>
      </c>
      <c r="E457" s="4">
        <f>268.981041559662 * CHOOSE(CONTROL!$C$9, $C$13, 100%, $E$13) + CHOOSE(CONTROL!$C$28, 0, 0)</f>
        <v>268.981041559662</v>
      </c>
    </row>
    <row r="458" spans="1:5" ht="15">
      <c r="A458" s="13">
        <v>55457</v>
      </c>
      <c r="B458" s="4">
        <f>44.3364 * CHOOSE(CONTROL!$C$9, $C$13, 100%, $E$13) + CHOOSE(CONTROL!$C$28, 0.0003, 0)</f>
        <v>44.3367</v>
      </c>
      <c r="C458" s="4">
        <f>44.0239 * CHOOSE(CONTROL!$C$9, $C$13, 100%, $E$13) + CHOOSE(CONTROL!$C$28, 0.0003, 0)</f>
        <v>44.0242</v>
      </c>
      <c r="D458" s="4">
        <f>49.601 * CHOOSE(CONTROL!$C$9, $C$13, 100%, $E$13) + CHOOSE(CONTROL!$C$28, 0, 0)</f>
        <v>49.600999999999999</v>
      </c>
      <c r="E458" s="4">
        <f>260.044023134594 * CHOOSE(CONTROL!$C$9, $C$13, 100%, $E$13) + CHOOSE(CONTROL!$C$28, 0, 0)</f>
        <v>260.044023134594</v>
      </c>
    </row>
    <row r="459" spans="1:5" ht="15">
      <c r="A459" s="13">
        <v>55487</v>
      </c>
      <c r="B459" s="4">
        <f>43.3965 * CHOOSE(CONTROL!$C$9, $C$13, 100%, $E$13) + CHOOSE(CONTROL!$C$28, 0.0003, 0)</f>
        <v>43.396800000000006</v>
      </c>
      <c r="C459" s="4">
        <f>43.084 * CHOOSE(CONTROL!$C$9, $C$13, 100%, $E$13) + CHOOSE(CONTROL!$C$28, 0.0003, 0)</f>
        <v>43.084300000000006</v>
      </c>
      <c r="D459" s="4">
        <f>49.3678 * CHOOSE(CONTROL!$C$9, $C$13, 100%, $E$13) + CHOOSE(CONTROL!$C$28, 0, 0)</f>
        <v>49.367800000000003</v>
      </c>
      <c r="E459" s="4">
        <f>254.287915894098 * CHOOSE(CONTROL!$C$9, $C$13, 100%, $E$13) + CHOOSE(CONTROL!$C$28, 0, 0)</f>
        <v>254.28791589409801</v>
      </c>
    </row>
    <row r="460" spans="1:5" ht="15">
      <c r="A460" s="13">
        <v>55518</v>
      </c>
      <c r="B460" s="4">
        <f>42.7463 * CHOOSE(CONTROL!$C$9, $C$13, 100%, $E$13) + CHOOSE(CONTROL!$C$28, 0.0003, 0)</f>
        <v>42.746600000000001</v>
      </c>
      <c r="C460" s="4">
        <f>42.4338 * CHOOSE(CONTROL!$C$9, $C$13, 100%, $E$13) + CHOOSE(CONTROL!$C$28, 0.0003, 0)</f>
        <v>42.434100000000001</v>
      </c>
      <c r="D460" s="4">
        <f>47.6507 * CHOOSE(CONTROL!$C$9, $C$13, 100%, $E$13) + CHOOSE(CONTROL!$C$28, 0, 0)</f>
        <v>47.650700000000001</v>
      </c>
      <c r="E460" s="4">
        <f>250.305429599161 * CHOOSE(CONTROL!$C$9, $C$13, 100%, $E$13) + CHOOSE(CONTROL!$C$28, 0, 0)</f>
        <v>250.30542959916099</v>
      </c>
    </row>
    <row r="461" spans="1:5" ht="15">
      <c r="A461" s="13">
        <v>55549</v>
      </c>
      <c r="B461" s="4">
        <f>41.6897 * CHOOSE(CONTROL!$C$9, $C$13, 100%, $E$13) + CHOOSE(CONTROL!$C$28, 0.0003, 0)</f>
        <v>41.690000000000005</v>
      </c>
      <c r="C461" s="4">
        <f>41.3772 * CHOOSE(CONTROL!$C$9, $C$13, 100%, $E$13) + CHOOSE(CONTROL!$C$28, 0.0003, 0)</f>
        <v>41.377500000000005</v>
      </c>
      <c r="D461" s="4">
        <f>46.0725 * CHOOSE(CONTROL!$C$9, $C$13, 100%, $E$13) + CHOOSE(CONTROL!$C$28, 0, 0)</f>
        <v>46.072499999999998</v>
      </c>
      <c r="E461" s="4">
        <f>243.127623716368 * CHOOSE(CONTROL!$C$9, $C$13, 100%, $E$13) + CHOOSE(CONTROL!$C$28, 0, 0)</f>
        <v>243.12762371636799</v>
      </c>
    </row>
    <row r="462" spans="1:5" ht="15">
      <c r="A462" s="13">
        <v>55577</v>
      </c>
      <c r="B462" s="4">
        <f>42.635 * CHOOSE(CONTROL!$C$9, $C$13, 100%, $E$13) + CHOOSE(CONTROL!$C$28, 0.0003, 0)</f>
        <v>42.635300000000001</v>
      </c>
      <c r="C462" s="4">
        <f>42.3225 * CHOOSE(CONTROL!$C$9, $C$13, 100%, $E$13) + CHOOSE(CONTROL!$C$28, 0.0003, 0)</f>
        <v>42.322800000000001</v>
      </c>
      <c r="D462" s="4">
        <f>47.6618 * CHOOSE(CONTROL!$C$9, $C$13, 100%, $E$13) + CHOOSE(CONTROL!$C$28, 0, 0)</f>
        <v>47.661799999999999</v>
      </c>
      <c r="E462" s="4">
        <f>248.900431647343 * CHOOSE(CONTROL!$C$9, $C$13, 100%, $E$13) + CHOOSE(CONTROL!$C$28, 0, 0)</f>
        <v>248.900431647343</v>
      </c>
    </row>
    <row r="463" spans="1:5" ht="15">
      <c r="A463" s="13">
        <v>55609</v>
      </c>
      <c r="B463" s="4">
        <f>45.1176 * CHOOSE(CONTROL!$C$9, $C$13, 100%, $E$13) + CHOOSE(CONTROL!$C$28, 0.0003, 0)</f>
        <v>45.117900000000006</v>
      </c>
      <c r="C463" s="4">
        <f>44.8051 * CHOOSE(CONTROL!$C$9, $C$13, 100%, $E$13) + CHOOSE(CONTROL!$C$28, 0.0003, 0)</f>
        <v>44.805400000000006</v>
      </c>
      <c r="D463" s="4">
        <f>50.1496 * CHOOSE(CONTROL!$C$9, $C$13, 100%, $E$13) + CHOOSE(CONTROL!$C$28, 0, 0)</f>
        <v>50.1496</v>
      </c>
      <c r="E463" s="4">
        <f>264.060132059726 * CHOOSE(CONTROL!$C$9, $C$13, 100%, $E$13) + CHOOSE(CONTROL!$C$28, 0, 0)</f>
        <v>264.06013205972602</v>
      </c>
    </row>
    <row r="464" spans="1:5" ht="15">
      <c r="A464" s="13">
        <v>55639</v>
      </c>
      <c r="B464" s="4">
        <f>46.8815 * CHOOSE(CONTROL!$C$9, $C$13, 100%, $E$13) + CHOOSE(CONTROL!$C$28, 0.0003, 0)</f>
        <v>46.881800000000005</v>
      </c>
      <c r="C464" s="4">
        <f>46.569 * CHOOSE(CONTROL!$C$9, $C$13, 100%, $E$13) + CHOOSE(CONTROL!$C$28, 0.0003, 0)</f>
        <v>46.569300000000005</v>
      </c>
      <c r="D464" s="4">
        <f>51.5826 * CHOOSE(CONTROL!$C$9, $C$13, 100%, $E$13) + CHOOSE(CONTROL!$C$28, 0, 0)</f>
        <v>51.582599999999999</v>
      </c>
      <c r="E464" s="4">
        <f>274.831301232295 * CHOOSE(CONTROL!$C$9, $C$13, 100%, $E$13) + CHOOSE(CONTROL!$C$28, 0, 0)</f>
        <v>274.831301232295</v>
      </c>
    </row>
    <row r="465" spans="1:5" ht="15">
      <c r="A465" s="13">
        <v>55670</v>
      </c>
      <c r="B465" s="4">
        <f>47.9592 * CHOOSE(CONTROL!$C$9, $C$13, 100%, $E$13) + CHOOSE(CONTROL!$C$28, 0.0271, 0)</f>
        <v>47.9863</v>
      </c>
      <c r="C465" s="4">
        <f>47.6467 * CHOOSE(CONTROL!$C$9, $C$13, 100%, $E$13) + CHOOSE(CONTROL!$C$28, 0.0271, 0)</f>
        <v>47.6738</v>
      </c>
      <c r="D465" s="4">
        <f>51.0164 * CHOOSE(CONTROL!$C$9, $C$13, 100%, $E$13) + CHOOSE(CONTROL!$C$28, 0, 0)</f>
        <v>51.016399999999997</v>
      </c>
      <c r="E465" s="4">
        <f>281.412227447839 * CHOOSE(CONTROL!$C$9, $C$13, 100%, $E$13) + CHOOSE(CONTROL!$C$28, 0, 0)</f>
        <v>281.41222744783897</v>
      </c>
    </row>
    <row r="466" spans="1:5" ht="15">
      <c r="A466" s="13">
        <v>55700</v>
      </c>
      <c r="B466" s="4">
        <f>48.105 * CHOOSE(CONTROL!$C$9, $C$13, 100%, $E$13) + CHOOSE(CONTROL!$C$28, 0.0271, 0)</f>
        <v>48.132099999999994</v>
      </c>
      <c r="C466" s="4">
        <f>47.7925 * CHOOSE(CONTROL!$C$9, $C$13, 100%, $E$13) + CHOOSE(CONTROL!$C$28, 0.0271, 0)</f>
        <v>47.819599999999994</v>
      </c>
      <c r="D466" s="4">
        <f>51.4775 * CHOOSE(CONTROL!$C$9, $C$13, 100%, $E$13) + CHOOSE(CONTROL!$C$28, 0, 0)</f>
        <v>51.477499999999999</v>
      </c>
      <c r="E466" s="4">
        <f>282.302654076207 * CHOOSE(CONTROL!$C$9, $C$13, 100%, $E$13) + CHOOSE(CONTROL!$C$28, 0, 0)</f>
        <v>282.30265407620698</v>
      </c>
    </row>
    <row r="467" spans="1:5" ht="15">
      <c r="A467" s="13">
        <v>55731</v>
      </c>
      <c r="B467" s="4">
        <f>48.0903 * CHOOSE(CONTROL!$C$9, $C$13, 100%, $E$13) + CHOOSE(CONTROL!$C$28, 0.0271, 0)</f>
        <v>48.117399999999996</v>
      </c>
      <c r="C467" s="4">
        <f>47.7778 * CHOOSE(CONTROL!$C$9, $C$13, 100%, $E$13) + CHOOSE(CONTROL!$C$28, 0.0271, 0)</f>
        <v>47.804899999999996</v>
      </c>
      <c r="D467" s="4">
        <f>52.3097 * CHOOSE(CONTROL!$C$9, $C$13, 100%, $E$13) + CHOOSE(CONTROL!$C$28, 0, 0)</f>
        <v>52.309699999999999</v>
      </c>
      <c r="E467" s="4">
        <f>282.212863155699 * CHOOSE(CONTROL!$C$9, $C$13, 100%, $E$13) + CHOOSE(CONTROL!$C$28, 0, 0)</f>
        <v>282.21286315569898</v>
      </c>
    </row>
    <row r="468" spans="1:5" ht="15">
      <c r="A468" s="13">
        <v>55762</v>
      </c>
      <c r="B468" s="4">
        <f>49.1968 * CHOOSE(CONTROL!$C$9, $C$13, 100%, $E$13) + CHOOSE(CONTROL!$C$28, 0.0271, 0)</f>
        <v>49.2239</v>
      </c>
      <c r="C468" s="4">
        <f>48.8843 * CHOOSE(CONTROL!$C$9, $C$13, 100%, $E$13) + CHOOSE(CONTROL!$C$28, 0.0271, 0)</f>
        <v>48.9114</v>
      </c>
      <c r="D468" s="4">
        <f>51.7601 * CHOOSE(CONTROL!$C$9, $C$13, 100%, $E$13) + CHOOSE(CONTROL!$C$28, 0, 0)</f>
        <v>51.760100000000001</v>
      </c>
      <c r="E468" s="4">
        <f>288.969629923903 * CHOOSE(CONTROL!$C$9, $C$13, 100%, $E$13) + CHOOSE(CONTROL!$C$28, 0, 0)</f>
        <v>288.96962992390303</v>
      </c>
    </row>
    <row r="469" spans="1:5" ht="15">
      <c r="A469" s="13">
        <v>55792</v>
      </c>
      <c r="B469" s="4">
        <f>47.311 * CHOOSE(CONTROL!$C$9, $C$13, 100%, $E$13) + CHOOSE(CONTROL!$C$28, 0.0271, 0)</f>
        <v>47.338099999999997</v>
      </c>
      <c r="C469" s="4">
        <f>46.9985 * CHOOSE(CONTROL!$C$9, $C$13, 100%, $E$13) + CHOOSE(CONTROL!$C$28, 0.0271, 0)</f>
        <v>47.025599999999997</v>
      </c>
      <c r="D469" s="4">
        <f>51.5005 * CHOOSE(CONTROL!$C$9, $C$13, 100%, $E$13) + CHOOSE(CONTROL!$C$28, 0, 0)</f>
        <v>51.500500000000002</v>
      </c>
      <c r="E469" s="4">
        <f>277.453944368791 * CHOOSE(CONTROL!$C$9, $C$13, 100%, $E$13) + CHOOSE(CONTROL!$C$28, 0, 0)</f>
        <v>277.45394436879099</v>
      </c>
    </row>
    <row r="470" spans="1:5" ht="15">
      <c r="A470" s="13">
        <v>55823</v>
      </c>
      <c r="B470" s="4">
        <f>45.8013 * CHOOSE(CONTROL!$C$9, $C$13, 100%, $E$13) + CHOOSE(CONTROL!$C$28, 0.0003, 0)</f>
        <v>45.801600000000001</v>
      </c>
      <c r="C470" s="4">
        <f>45.4888 * CHOOSE(CONTROL!$C$9, $C$13, 100%, $E$13) + CHOOSE(CONTROL!$C$28, 0.0003, 0)</f>
        <v>45.489100000000001</v>
      </c>
      <c r="D470" s="4">
        <f>50.8053 * CHOOSE(CONTROL!$C$9, $C$13, 100%, $E$13) + CHOOSE(CONTROL!$C$28, 0, 0)</f>
        <v>50.805300000000003</v>
      </c>
      <c r="E470" s="4">
        <f>268.235409863334 * CHOOSE(CONTROL!$C$9, $C$13, 100%, $E$13) + CHOOSE(CONTROL!$C$28, 0, 0)</f>
        <v>268.23540986333398</v>
      </c>
    </row>
    <row r="471" spans="1:5" ht="15">
      <c r="A471" s="13">
        <v>55853</v>
      </c>
      <c r="B471" s="4">
        <f>44.829 * CHOOSE(CONTROL!$C$9, $C$13, 100%, $E$13) + CHOOSE(CONTROL!$C$28, 0.0003, 0)</f>
        <v>44.829300000000003</v>
      </c>
      <c r="C471" s="4">
        <f>44.5165 * CHOOSE(CONTROL!$C$9, $C$13, 100%, $E$13) + CHOOSE(CONTROL!$C$28, 0.0003, 0)</f>
        <v>44.516800000000003</v>
      </c>
      <c r="D471" s="4">
        <f>50.5662 * CHOOSE(CONTROL!$C$9, $C$13, 100%, $E$13) + CHOOSE(CONTROL!$C$28, 0, 0)</f>
        <v>50.566200000000002</v>
      </c>
      <c r="E471" s="4">
        <f>262.297985244762 * CHOOSE(CONTROL!$C$9, $C$13, 100%, $E$13) + CHOOSE(CONTROL!$C$28, 0, 0)</f>
        <v>262.297985244762</v>
      </c>
    </row>
    <row r="472" spans="1:5" ht="15">
      <c r="A472" s="13">
        <v>55884</v>
      </c>
      <c r="B472" s="4">
        <f>44.1563 * CHOOSE(CONTROL!$C$9, $C$13, 100%, $E$13) + CHOOSE(CONTROL!$C$28, 0.0003, 0)</f>
        <v>44.156600000000005</v>
      </c>
      <c r="C472" s="4">
        <f>43.8438 * CHOOSE(CONTROL!$C$9, $C$13, 100%, $E$13) + CHOOSE(CONTROL!$C$28, 0.0003, 0)</f>
        <v>43.844100000000005</v>
      </c>
      <c r="D472" s="4">
        <f>48.8065 * CHOOSE(CONTROL!$C$9, $C$13, 100%, $E$13) + CHOOSE(CONTROL!$C$28, 0, 0)</f>
        <v>48.8065</v>
      </c>
      <c r="E472" s="4">
        <f>258.190050631535 * CHOOSE(CONTROL!$C$9, $C$13, 100%, $E$13) + CHOOSE(CONTROL!$C$28, 0, 0)</f>
        <v>258.19005063153497</v>
      </c>
    </row>
    <row r="473" spans="1:5" ht="15">
      <c r="A473" s="13">
        <v>55915</v>
      </c>
      <c r="B473" s="4">
        <f>43.0633 * CHOOSE(CONTROL!$C$9, $C$13, 100%, $E$13) + CHOOSE(CONTROL!$C$28, 0.0003, 0)</f>
        <v>43.063600000000001</v>
      </c>
      <c r="C473" s="4">
        <f>42.7508 * CHOOSE(CONTROL!$C$9, $C$13, 100%, $E$13) + CHOOSE(CONTROL!$C$28, 0.0003, 0)</f>
        <v>42.751100000000001</v>
      </c>
      <c r="D473" s="4">
        <f>47.1892 * CHOOSE(CONTROL!$C$9, $C$13, 100%, $E$13) + CHOOSE(CONTROL!$C$28, 0, 0)</f>
        <v>47.1892</v>
      </c>
      <c r="E473" s="4">
        <f>250.786143863434 * CHOOSE(CONTROL!$C$9, $C$13, 100%, $E$13) + CHOOSE(CONTROL!$C$28, 0, 0)</f>
        <v>250.78614386343401</v>
      </c>
    </row>
    <row r="474" spans="1:5" ht="15">
      <c r="A474" s="13">
        <v>55943</v>
      </c>
      <c r="B474" s="4">
        <f>44.0413 * CHOOSE(CONTROL!$C$9, $C$13, 100%, $E$13) + CHOOSE(CONTROL!$C$28, 0.0003, 0)</f>
        <v>44.041600000000003</v>
      </c>
      <c r="C474" s="4">
        <f>43.7288 * CHOOSE(CONTROL!$C$9, $C$13, 100%, $E$13) + CHOOSE(CONTROL!$C$28, 0.0003, 0)</f>
        <v>43.729100000000003</v>
      </c>
      <c r="D474" s="4">
        <f>48.8179 * CHOOSE(CONTROL!$C$9, $C$13, 100%, $E$13) + CHOOSE(CONTROL!$C$28, 0, 0)</f>
        <v>48.817900000000002</v>
      </c>
      <c r="E474" s="4">
        <f>256.740795244234 * CHOOSE(CONTROL!$C$9, $C$13, 100%, $E$13) + CHOOSE(CONTROL!$C$28, 0, 0)</f>
        <v>256.74079524423399</v>
      </c>
    </row>
    <row r="475" spans="1:5" ht="15">
      <c r="A475" s="13">
        <v>55974</v>
      </c>
      <c r="B475" s="4">
        <f>46.6095 * CHOOSE(CONTROL!$C$9, $C$13, 100%, $E$13) + CHOOSE(CONTROL!$C$28, 0.0003, 0)</f>
        <v>46.6098</v>
      </c>
      <c r="C475" s="4">
        <f>46.297 * CHOOSE(CONTROL!$C$9, $C$13, 100%, $E$13) + CHOOSE(CONTROL!$C$28, 0.0003, 0)</f>
        <v>46.2973</v>
      </c>
      <c r="D475" s="4">
        <f>51.3674 * CHOOSE(CONTROL!$C$9, $C$13, 100%, $E$13) + CHOOSE(CONTROL!$C$28, 0, 0)</f>
        <v>51.367400000000004</v>
      </c>
      <c r="E475" s="4">
        <f>272.378026219607 * CHOOSE(CONTROL!$C$9, $C$13, 100%, $E$13) + CHOOSE(CONTROL!$C$28, 0, 0)</f>
        <v>272.37802621960702</v>
      </c>
    </row>
    <row r="476" spans="1:5" ht="15">
      <c r="A476" s="13">
        <v>56004</v>
      </c>
      <c r="B476" s="4">
        <f>48.4342 * CHOOSE(CONTROL!$C$9, $C$13, 100%, $E$13) + CHOOSE(CONTROL!$C$28, 0.0003, 0)</f>
        <v>48.4345</v>
      </c>
      <c r="C476" s="4">
        <f>48.1217 * CHOOSE(CONTROL!$C$9, $C$13, 100%, $E$13) + CHOOSE(CONTROL!$C$28, 0.0003, 0)</f>
        <v>48.122</v>
      </c>
      <c r="D476" s="4">
        <f>52.836 * CHOOSE(CONTROL!$C$9, $C$13, 100%, $E$13) + CHOOSE(CONTROL!$C$28, 0, 0)</f>
        <v>52.835999999999999</v>
      </c>
      <c r="E476" s="4">
        <f>283.488487221113 * CHOOSE(CONTROL!$C$9, $C$13, 100%, $E$13) + CHOOSE(CONTROL!$C$28, 0, 0)</f>
        <v>283.48848722111302</v>
      </c>
    </row>
    <row r="477" spans="1:5" ht="15">
      <c r="A477" s="13">
        <v>56035</v>
      </c>
      <c r="B477" s="4">
        <f>49.5491 * CHOOSE(CONTROL!$C$9, $C$13, 100%, $E$13) + CHOOSE(CONTROL!$C$28, 0.0271, 0)</f>
        <v>49.5762</v>
      </c>
      <c r="C477" s="4">
        <f>49.2366 * CHOOSE(CONTROL!$C$9, $C$13, 100%, $E$13) + CHOOSE(CONTROL!$C$28, 0.0271, 0)</f>
        <v>49.2637</v>
      </c>
      <c r="D477" s="4">
        <f>52.2557 * CHOOSE(CONTROL!$C$9, $C$13, 100%, $E$13) + CHOOSE(CONTROL!$C$28, 0, 0)</f>
        <v>52.255699999999997</v>
      </c>
      <c r="E477" s="4">
        <f>290.276712612446 * CHOOSE(CONTROL!$C$9, $C$13, 100%, $E$13) + CHOOSE(CONTROL!$C$28, 0, 0)</f>
        <v>290.27671261244598</v>
      </c>
    </row>
    <row r="478" spans="1:5" ht="15">
      <c r="A478" s="13">
        <v>56065</v>
      </c>
      <c r="B478" s="4">
        <f>49.6999 * CHOOSE(CONTROL!$C$9, $C$13, 100%, $E$13) + CHOOSE(CONTROL!$C$28, 0.0271, 0)</f>
        <v>49.726999999999997</v>
      </c>
      <c r="C478" s="4">
        <f>49.3874 * CHOOSE(CONTROL!$C$9, $C$13, 100%, $E$13) + CHOOSE(CONTROL!$C$28, 0.0271, 0)</f>
        <v>49.414499999999997</v>
      </c>
      <c r="D478" s="4">
        <f>52.7283 * CHOOSE(CONTROL!$C$9, $C$13, 100%, $E$13) + CHOOSE(CONTROL!$C$28, 0, 0)</f>
        <v>52.728299999999997</v>
      </c>
      <c r="E478" s="4">
        <f>291.195187679607 * CHOOSE(CONTROL!$C$9, $C$13, 100%, $E$13) + CHOOSE(CONTROL!$C$28, 0, 0)</f>
        <v>291.19518767960699</v>
      </c>
    </row>
    <row r="479" spans="1:5" ht="15">
      <c r="A479" s="13">
        <v>56096</v>
      </c>
      <c r="B479" s="4">
        <f>49.6847 * CHOOSE(CONTROL!$C$9, $C$13, 100%, $E$13) + CHOOSE(CONTROL!$C$28, 0.0271, 0)</f>
        <v>49.711799999999997</v>
      </c>
      <c r="C479" s="4">
        <f>49.3722 * CHOOSE(CONTROL!$C$9, $C$13, 100%, $E$13) + CHOOSE(CONTROL!$C$28, 0.0271, 0)</f>
        <v>49.399299999999997</v>
      </c>
      <c r="D479" s="4">
        <f>53.5811 * CHOOSE(CONTROL!$C$9, $C$13, 100%, $E$13) + CHOOSE(CONTROL!$C$28, 0, 0)</f>
        <v>53.581099999999999</v>
      </c>
      <c r="E479" s="4">
        <f>291.102568345103 * CHOOSE(CONTROL!$C$9, $C$13, 100%, $E$13) + CHOOSE(CONTROL!$C$28, 0, 0)</f>
        <v>291.10256834510301</v>
      </c>
    </row>
    <row r="480" spans="1:5" ht="15">
      <c r="A480" s="13">
        <v>56127</v>
      </c>
      <c r="B480" s="4">
        <f>50.8294 * CHOOSE(CONTROL!$C$9, $C$13, 100%, $E$13) + CHOOSE(CONTROL!$C$28, 0.0271, 0)</f>
        <v>50.856499999999997</v>
      </c>
      <c r="C480" s="4">
        <f>50.5169 * CHOOSE(CONTROL!$C$9, $C$13, 100%, $E$13) + CHOOSE(CONTROL!$C$28, 0.0271, 0)</f>
        <v>50.543999999999997</v>
      </c>
      <c r="D480" s="4">
        <f>53.0179 * CHOOSE(CONTROL!$C$9, $C$13, 100%, $E$13) + CHOOSE(CONTROL!$C$28, 0, 0)</f>
        <v>53.017899999999997</v>
      </c>
      <c r="E480" s="4">
        <f>298.072173266506 * CHOOSE(CONTROL!$C$9, $C$13, 100%, $E$13) + CHOOSE(CONTROL!$C$28, 0, 0)</f>
        <v>298.07217326650601</v>
      </c>
    </row>
    <row r="481" spans="1:5" ht="15">
      <c r="A481" s="13">
        <v>56157</v>
      </c>
      <c r="B481" s="4">
        <f>48.8785 * CHOOSE(CONTROL!$C$9, $C$13, 100%, $E$13) + CHOOSE(CONTROL!$C$28, 0.0271, 0)</f>
        <v>48.9056</v>
      </c>
      <c r="C481" s="4">
        <f>48.566 * CHOOSE(CONTROL!$C$9, $C$13, 100%, $E$13) + CHOOSE(CONTROL!$C$28, 0.0271, 0)</f>
        <v>48.5931</v>
      </c>
      <c r="D481" s="4">
        <f>52.7518 * CHOOSE(CONTROL!$C$9, $C$13, 100%, $E$13) + CHOOSE(CONTROL!$C$28, 0, 0)</f>
        <v>52.751800000000003</v>
      </c>
      <c r="E481" s="4">
        <f>286.193743616408 * CHOOSE(CONTROL!$C$9, $C$13, 100%, $E$13) + CHOOSE(CONTROL!$C$28, 0, 0)</f>
        <v>286.19374361640803</v>
      </c>
    </row>
    <row r="482" spans="1:5" ht="15">
      <c r="A482" s="13">
        <v>56188</v>
      </c>
      <c r="B482" s="4">
        <f>47.3168 * CHOOSE(CONTROL!$C$9, $C$13, 100%, $E$13) + CHOOSE(CONTROL!$C$28, 0.0003, 0)</f>
        <v>47.317100000000003</v>
      </c>
      <c r="C482" s="4">
        <f>47.0043 * CHOOSE(CONTROL!$C$9, $C$13, 100%, $E$13) + CHOOSE(CONTROL!$C$28, 0.0003, 0)</f>
        <v>47.004600000000003</v>
      </c>
      <c r="D482" s="4">
        <f>52.0393 * CHOOSE(CONTROL!$C$9, $C$13, 100%, $E$13) + CHOOSE(CONTROL!$C$28, 0, 0)</f>
        <v>52.039299999999997</v>
      </c>
      <c r="E482" s="4">
        <f>276.684825274029 * CHOOSE(CONTROL!$C$9, $C$13, 100%, $E$13) + CHOOSE(CONTROL!$C$28, 0, 0)</f>
        <v>276.68482527402898</v>
      </c>
    </row>
    <row r="483" spans="1:5" ht="15">
      <c r="A483" s="13">
        <v>56218</v>
      </c>
      <c r="B483" s="4">
        <f>46.3109 * CHOOSE(CONTROL!$C$9, $C$13, 100%, $E$13) + CHOOSE(CONTROL!$C$28, 0.0003, 0)</f>
        <v>46.311199999999999</v>
      </c>
      <c r="C483" s="4">
        <f>45.9984 * CHOOSE(CONTROL!$C$9, $C$13, 100%, $E$13) + CHOOSE(CONTROL!$C$28, 0.0003, 0)</f>
        <v>45.998699999999999</v>
      </c>
      <c r="D483" s="4">
        <f>51.7944 * CHOOSE(CONTROL!$C$9, $C$13, 100%, $E$13) + CHOOSE(CONTROL!$C$28, 0, 0)</f>
        <v>51.794400000000003</v>
      </c>
      <c r="E483" s="4">
        <f>270.560371779972 * CHOOSE(CONTROL!$C$9, $C$13, 100%, $E$13) + CHOOSE(CONTROL!$C$28, 0, 0)</f>
        <v>270.560371779972</v>
      </c>
    </row>
    <row r="484" spans="1:5" ht="15">
      <c r="A484" s="13">
        <v>56249</v>
      </c>
      <c r="B484" s="4">
        <f>45.615 * CHOOSE(CONTROL!$C$9, $C$13, 100%, $E$13) + CHOOSE(CONTROL!$C$28, 0.0003, 0)</f>
        <v>45.615300000000005</v>
      </c>
      <c r="C484" s="4">
        <f>45.3025 * CHOOSE(CONTROL!$C$9, $C$13, 100%, $E$13) + CHOOSE(CONTROL!$C$28, 0.0003, 0)</f>
        <v>45.302800000000005</v>
      </c>
      <c r="D484" s="4">
        <f>49.991 * CHOOSE(CONTROL!$C$9, $C$13, 100%, $E$13) + CHOOSE(CONTROL!$C$28, 0, 0)</f>
        <v>49.991</v>
      </c>
      <c r="E484" s="4">
        <f>266.323037226428 * CHOOSE(CONTROL!$C$9, $C$13, 100%, $E$13) + CHOOSE(CONTROL!$C$28, 0, 0)</f>
        <v>266.32303722642803</v>
      </c>
    </row>
    <row r="485" spans="1:5" ht="15">
      <c r="A485" s="13">
        <v>56280</v>
      </c>
      <c r="B485" s="4">
        <f>44.4843 * CHOOSE(CONTROL!$C$9, $C$13, 100%, $E$13) + CHOOSE(CONTROL!$C$28, 0.0003, 0)</f>
        <v>44.4846</v>
      </c>
      <c r="C485" s="4">
        <f>44.1718 * CHOOSE(CONTROL!$C$9, $C$13, 100%, $E$13) + CHOOSE(CONTROL!$C$28, 0.0003, 0)</f>
        <v>44.1721</v>
      </c>
      <c r="D485" s="4">
        <f>48.3336 * CHOOSE(CONTROL!$C$9, $C$13, 100%, $E$13) + CHOOSE(CONTROL!$C$28, 0, 0)</f>
        <v>48.333599999999997</v>
      </c>
      <c r="E485" s="4">
        <f>258.685907395132 * CHOOSE(CONTROL!$C$9, $C$13, 100%, $E$13) + CHOOSE(CONTROL!$C$28, 0, 0)</f>
        <v>258.68590739513201</v>
      </c>
    </row>
    <row r="486" spans="1:5" ht="15">
      <c r="A486" s="13">
        <v>56308</v>
      </c>
      <c r="B486" s="4">
        <f>45.496 * CHOOSE(CONTROL!$C$9, $C$13, 100%, $E$13) + CHOOSE(CONTROL!$C$28, 0.0003, 0)</f>
        <v>45.496300000000005</v>
      </c>
      <c r="C486" s="4">
        <f>45.1835 * CHOOSE(CONTROL!$C$9, $C$13, 100%, $E$13) + CHOOSE(CONTROL!$C$28, 0.0003, 0)</f>
        <v>45.183800000000005</v>
      </c>
      <c r="D486" s="4">
        <f>50.0027 * CHOOSE(CONTROL!$C$9, $C$13, 100%, $E$13) + CHOOSE(CONTROL!$C$28, 0, 0)</f>
        <v>50.002699999999997</v>
      </c>
      <c r="E486" s="4">
        <f>264.828130294427 * CHOOSE(CONTROL!$C$9, $C$13, 100%, $E$13) + CHOOSE(CONTROL!$C$28, 0, 0)</f>
        <v>264.82813029442701</v>
      </c>
    </row>
    <row r="487" spans="1:5" ht="15">
      <c r="A487" s="13">
        <v>56339</v>
      </c>
      <c r="B487" s="4">
        <f>48.1528 * CHOOSE(CONTROL!$C$9, $C$13, 100%, $E$13) + CHOOSE(CONTROL!$C$28, 0.0003, 0)</f>
        <v>48.153100000000002</v>
      </c>
      <c r="C487" s="4">
        <f>47.8403 * CHOOSE(CONTROL!$C$9, $C$13, 100%, $E$13) + CHOOSE(CONTROL!$C$28, 0.0003, 0)</f>
        <v>47.840600000000002</v>
      </c>
      <c r="D487" s="4">
        <f>52.6154 * CHOOSE(CONTROL!$C$9, $C$13, 100%, $E$13) + CHOOSE(CONTROL!$C$28, 0, 0)</f>
        <v>52.615400000000001</v>
      </c>
      <c r="E487" s="4">
        <f>280.957934045525 * CHOOSE(CONTROL!$C$9, $C$13, 100%, $E$13) + CHOOSE(CONTROL!$C$28, 0, 0)</f>
        <v>280.95793404552501</v>
      </c>
    </row>
    <row r="488" spans="1:5" ht="15">
      <c r="A488" s="13">
        <v>56369</v>
      </c>
      <c r="B488" s="4">
        <f>50.0405 * CHOOSE(CONTROL!$C$9, $C$13, 100%, $E$13) + CHOOSE(CONTROL!$C$28, 0.0003, 0)</f>
        <v>50.040800000000004</v>
      </c>
      <c r="C488" s="4">
        <f>49.728 * CHOOSE(CONTROL!$C$9, $C$13, 100%, $E$13) + CHOOSE(CONTROL!$C$28, 0.0003, 0)</f>
        <v>49.728300000000004</v>
      </c>
      <c r="D488" s="4">
        <f>54.1204 * CHOOSE(CONTROL!$C$9, $C$13, 100%, $E$13) + CHOOSE(CONTROL!$C$28, 0, 0)</f>
        <v>54.120399999999997</v>
      </c>
      <c r="E488" s="4">
        <f>292.418374568578 * CHOOSE(CONTROL!$C$9, $C$13, 100%, $E$13) + CHOOSE(CONTROL!$C$28, 0, 0)</f>
        <v>292.41837456857797</v>
      </c>
    </row>
    <row r="489" spans="1:5" ht="15">
      <c r="A489" s="13">
        <v>56400</v>
      </c>
      <c r="B489" s="4">
        <f>51.1938 * CHOOSE(CONTROL!$C$9, $C$13, 100%, $E$13) + CHOOSE(CONTROL!$C$28, 0.0271, 0)</f>
        <v>51.2209</v>
      </c>
      <c r="C489" s="4">
        <f>50.8813 * CHOOSE(CONTROL!$C$9, $C$13, 100%, $E$13) + CHOOSE(CONTROL!$C$28, 0.0271, 0)</f>
        <v>50.9084</v>
      </c>
      <c r="D489" s="4">
        <f>53.5257 * CHOOSE(CONTROL!$C$9, $C$13, 100%, $E$13) + CHOOSE(CONTROL!$C$28, 0, 0)</f>
        <v>53.525700000000001</v>
      </c>
      <c r="E489" s="4">
        <f>299.420429059738 * CHOOSE(CONTROL!$C$9, $C$13, 100%, $E$13) + CHOOSE(CONTROL!$C$28, 0, 0)</f>
        <v>299.42042905973801</v>
      </c>
    </row>
    <row r="490" spans="1:5" ht="15">
      <c r="A490" s="13">
        <v>56430</v>
      </c>
      <c r="B490" s="4">
        <f>51.3499 * CHOOSE(CONTROL!$C$9, $C$13, 100%, $E$13) + CHOOSE(CONTROL!$C$28, 0.0271, 0)</f>
        <v>51.376999999999995</v>
      </c>
      <c r="C490" s="4">
        <f>51.0374 * CHOOSE(CONTROL!$C$9, $C$13, 100%, $E$13) + CHOOSE(CONTROL!$C$28, 0.0271, 0)</f>
        <v>51.064499999999995</v>
      </c>
      <c r="D490" s="4">
        <f>54.0101 * CHOOSE(CONTROL!$C$9, $C$13, 100%, $E$13) + CHOOSE(CONTROL!$C$28, 0, 0)</f>
        <v>54.010100000000001</v>
      </c>
      <c r="E490" s="4">
        <f>300.367836091515 * CHOOSE(CONTROL!$C$9, $C$13, 100%, $E$13) + CHOOSE(CONTROL!$C$28, 0, 0)</f>
        <v>300.36783609151502</v>
      </c>
    </row>
    <row r="491" spans="1:5" ht="15">
      <c r="A491" s="13">
        <v>56461</v>
      </c>
      <c r="B491" s="4">
        <f>51.3342 * CHOOSE(CONTROL!$C$9, $C$13, 100%, $E$13) + CHOOSE(CONTROL!$C$28, 0.0271, 0)</f>
        <v>51.3613</v>
      </c>
      <c r="C491" s="4">
        <f>51.0217 * CHOOSE(CONTROL!$C$9, $C$13, 100%, $E$13) + CHOOSE(CONTROL!$C$28, 0.0271, 0)</f>
        <v>51.0488</v>
      </c>
      <c r="D491" s="4">
        <f>54.884 * CHOOSE(CONTROL!$C$9, $C$13, 100%, $E$13) + CHOOSE(CONTROL!$C$28, 0, 0)</f>
        <v>54.884</v>
      </c>
      <c r="E491" s="4">
        <f>300.272299247974 * CHOOSE(CONTROL!$C$9, $C$13, 100%, $E$13) + CHOOSE(CONTROL!$C$28, 0, 0)</f>
        <v>300.27229924797399</v>
      </c>
    </row>
    <row r="492" spans="1:5" ht="15">
      <c r="A492" s="13">
        <v>56492</v>
      </c>
      <c r="B492" s="4">
        <f>52.5183 * CHOOSE(CONTROL!$C$9, $C$13, 100%, $E$13) + CHOOSE(CONTROL!$C$28, 0.0271, 0)</f>
        <v>52.545400000000001</v>
      </c>
      <c r="C492" s="4">
        <f>52.2058 * CHOOSE(CONTROL!$C$9, $C$13, 100%, $E$13) + CHOOSE(CONTROL!$C$28, 0.0271, 0)</f>
        <v>52.232900000000001</v>
      </c>
      <c r="D492" s="4">
        <f>54.3069 * CHOOSE(CONTROL!$C$9, $C$13, 100%, $E$13) + CHOOSE(CONTROL!$C$28, 0, 0)</f>
        <v>54.306899999999999</v>
      </c>
      <c r="E492" s="4">
        <f>307.461446724401 * CHOOSE(CONTROL!$C$9, $C$13, 100%, $E$13) + CHOOSE(CONTROL!$C$28, 0, 0)</f>
        <v>307.46144672440101</v>
      </c>
    </row>
    <row r="493" spans="1:5" ht="15">
      <c r="A493" s="13">
        <v>56522</v>
      </c>
      <c r="B493" s="4">
        <f>50.5001 * CHOOSE(CONTROL!$C$9, $C$13, 100%, $E$13) + CHOOSE(CONTROL!$C$28, 0.0271, 0)</f>
        <v>50.527200000000001</v>
      </c>
      <c r="C493" s="4">
        <f>50.1876 * CHOOSE(CONTROL!$C$9, $C$13, 100%, $E$13) + CHOOSE(CONTROL!$C$28, 0.0271, 0)</f>
        <v>50.214700000000001</v>
      </c>
      <c r="D493" s="4">
        <f>54.0342 * CHOOSE(CONTROL!$C$9, $C$13, 100%, $E$13) + CHOOSE(CONTROL!$C$28, 0, 0)</f>
        <v>54.034199999999998</v>
      </c>
      <c r="E493" s="4">
        <f>295.208846540325 * CHOOSE(CONTROL!$C$9, $C$13, 100%, $E$13) + CHOOSE(CONTROL!$C$28, 0, 0)</f>
        <v>295.208846540325</v>
      </c>
    </row>
    <row r="494" spans="1:5" ht="15">
      <c r="A494" s="13">
        <v>56553</v>
      </c>
      <c r="B494" s="4">
        <f>48.8845 * CHOOSE(CONTROL!$C$9, $C$13, 100%, $E$13) + CHOOSE(CONTROL!$C$28, 0.0003, 0)</f>
        <v>48.884800000000006</v>
      </c>
      <c r="C494" s="4">
        <f>48.572 * CHOOSE(CONTROL!$C$9, $C$13, 100%, $E$13) + CHOOSE(CONTROL!$C$28, 0.0003, 0)</f>
        <v>48.572300000000006</v>
      </c>
      <c r="D494" s="4">
        <f>53.304 * CHOOSE(CONTROL!$C$9, $C$13, 100%, $E$13) + CHOOSE(CONTROL!$C$28, 0, 0)</f>
        <v>53.304000000000002</v>
      </c>
      <c r="E494" s="4">
        <f>285.400397270161 * CHOOSE(CONTROL!$C$9, $C$13, 100%, $E$13) + CHOOSE(CONTROL!$C$28, 0, 0)</f>
        <v>285.40039727016102</v>
      </c>
    </row>
    <row r="495" spans="1:5" ht="15">
      <c r="A495" s="13">
        <v>56583</v>
      </c>
      <c r="B495" s="4">
        <f>47.844 * CHOOSE(CONTROL!$C$9, $C$13, 100%, $E$13) + CHOOSE(CONTROL!$C$28, 0.0003, 0)</f>
        <v>47.844300000000004</v>
      </c>
      <c r="C495" s="4">
        <f>47.5315 * CHOOSE(CONTROL!$C$9, $C$13, 100%, $E$13) + CHOOSE(CONTROL!$C$28, 0.0003, 0)</f>
        <v>47.531800000000004</v>
      </c>
      <c r="D495" s="4">
        <f>53.053 * CHOOSE(CONTROL!$C$9, $C$13, 100%, $E$13) + CHOOSE(CONTROL!$C$28, 0, 0)</f>
        <v>53.052999999999997</v>
      </c>
      <c r="E495" s="4">
        <f>279.083023491041 * CHOOSE(CONTROL!$C$9, $C$13, 100%, $E$13) + CHOOSE(CONTROL!$C$28, 0, 0)</f>
        <v>279.08302349104099</v>
      </c>
    </row>
    <row r="496" spans="1:5" ht="15">
      <c r="A496" s="13">
        <v>56614</v>
      </c>
      <c r="B496" s="4">
        <f>47.1241 * CHOOSE(CONTROL!$C$9, $C$13, 100%, $E$13) + CHOOSE(CONTROL!$C$28, 0.0003, 0)</f>
        <v>47.124400000000001</v>
      </c>
      <c r="C496" s="4">
        <f>46.8116 * CHOOSE(CONTROL!$C$9, $C$13, 100%, $E$13) + CHOOSE(CONTROL!$C$28, 0.0003, 0)</f>
        <v>46.811900000000001</v>
      </c>
      <c r="D496" s="4">
        <f>51.2049 * CHOOSE(CONTROL!$C$9, $C$13, 100%, $E$13) + CHOOSE(CONTROL!$C$28, 0, 0)</f>
        <v>51.204900000000002</v>
      </c>
      <c r="E496" s="4">
        <f>274.712212899061 * CHOOSE(CONTROL!$C$9, $C$13, 100%, $E$13) + CHOOSE(CONTROL!$C$28, 0, 0)</f>
        <v>274.712212899061</v>
      </c>
    </row>
    <row r="497" spans="1:5" ht="15">
      <c r="A497" s="13">
        <v>56645</v>
      </c>
      <c r="B497" s="4">
        <f>45.9543 * CHOOSE(CONTROL!$C$9, $C$13, 100%, $E$13) + CHOOSE(CONTROL!$C$28, 0.0003, 0)</f>
        <v>45.954600000000006</v>
      </c>
      <c r="C497" s="4">
        <f>45.6418 * CHOOSE(CONTROL!$C$9, $C$13, 100%, $E$13) + CHOOSE(CONTROL!$C$28, 0.0003, 0)</f>
        <v>45.642100000000006</v>
      </c>
      <c r="D497" s="4">
        <f>49.5064 * CHOOSE(CONTROL!$C$9, $C$13, 100%, $E$13) + CHOOSE(CONTROL!$C$28, 0, 0)</f>
        <v>49.506399999999999</v>
      </c>
      <c r="E497" s="4">
        <f>266.834513478079 * CHOOSE(CONTROL!$C$9, $C$13, 100%, $E$13) + CHOOSE(CONTROL!$C$28, 0, 0)</f>
        <v>266.83451347807897</v>
      </c>
    </row>
    <row r="498" spans="1:5" ht="15">
      <c r="A498" s="13">
        <v>56673</v>
      </c>
      <c r="B498" s="4">
        <f>47.0009 * CHOOSE(CONTROL!$C$9, $C$13, 100%, $E$13) + CHOOSE(CONTROL!$C$28, 0.0003, 0)</f>
        <v>47.001200000000004</v>
      </c>
      <c r="C498" s="4">
        <f>46.6884 * CHOOSE(CONTROL!$C$9, $C$13, 100%, $E$13) + CHOOSE(CONTROL!$C$28, 0.0003, 0)</f>
        <v>46.688700000000004</v>
      </c>
      <c r="D498" s="4">
        <f>51.2168 * CHOOSE(CONTROL!$C$9, $C$13, 100%, $E$13) + CHOOSE(CONTROL!$C$28, 0, 0)</f>
        <v>51.216799999999999</v>
      </c>
      <c r="E498" s="4">
        <f>273.170216398702 * CHOOSE(CONTROL!$C$9, $C$13, 100%, $E$13) + CHOOSE(CONTROL!$C$28, 0, 0)</f>
        <v>273.170216398702</v>
      </c>
    </row>
    <row r="499" spans="1:5" ht="15">
      <c r="A499" s="13">
        <v>56704</v>
      </c>
      <c r="B499" s="4">
        <f>49.7494 * CHOOSE(CONTROL!$C$9, $C$13, 100%, $E$13) + CHOOSE(CONTROL!$C$28, 0.0003, 0)</f>
        <v>49.749700000000004</v>
      </c>
      <c r="C499" s="4">
        <f>49.4369 * CHOOSE(CONTROL!$C$9, $C$13, 100%, $E$13) + CHOOSE(CONTROL!$C$28, 0.0003, 0)</f>
        <v>49.437200000000004</v>
      </c>
      <c r="D499" s="4">
        <f>53.8944 * CHOOSE(CONTROL!$C$9, $C$13, 100%, $E$13) + CHOOSE(CONTROL!$C$28, 0, 0)</f>
        <v>53.894399999999997</v>
      </c>
      <c r="E499" s="4">
        <f>289.808108967959 * CHOOSE(CONTROL!$C$9, $C$13, 100%, $E$13) + CHOOSE(CONTROL!$C$28, 0, 0)</f>
        <v>289.80810896795901</v>
      </c>
    </row>
    <row r="500" spans="1:5" ht="15">
      <c r="A500" s="13">
        <v>56734</v>
      </c>
      <c r="B500" s="4">
        <f>51.7022 * CHOOSE(CONTROL!$C$9, $C$13, 100%, $E$13) + CHOOSE(CONTROL!$C$28, 0.0003, 0)</f>
        <v>51.702500000000001</v>
      </c>
      <c r="C500" s="4">
        <f>51.3897 * CHOOSE(CONTROL!$C$9, $C$13, 100%, $E$13) + CHOOSE(CONTROL!$C$28, 0.0003, 0)</f>
        <v>51.39</v>
      </c>
      <c r="D500" s="4">
        <f>55.4367 * CHOOSE(CONTROL!$C$9, $C$13, 100%, $E$13) + CHOOSE(CONTROL!$C$28, 0, 0)</f>
        <v>55.436700000000002</v>
      </c>
      <c r="E500" s="4">
        <f>301.629553367488 * CHOOSE(CONTROL!$C$9, $C$13, 100%, $E$13) + CHOOSE(CONTROL!$C$28, 0, 0)</f>
        <v>301.62955336748797</v>
      </c>
    </row>
    <row r="501" spans="1:5" ht="15">
      <c r="A501" s="13">
        <v>56765</v>
      </c>
      <c r="B501" s="4">
        <f>52.8953 * CHOOSE(CONTROL!$C$9, $C$13, 100%, $E$13) + CHOOSE(CONTROL!$C$28, 0.0271, 0)</f>
        <v>52.922399999999996</v>
      </c>
      <c r="C501" s="4">
        <f>52.5828 * CHOOSE(CONTROL!$C$9, $C$13, 100%, $E$13) + CHOOSE(CONTROL!$C$28, 0.0271, 0)</f>
        <v>52.609899999999996</v>
      </c>
      <c r="D501" s="4">
        <f>54.8273 * CHOOSE(CONTROL!$C$9, $C$13, 100%, $E$13) + CHOOSE(CONTROL!$C$28, 0, 0)</f>
        <v>54.827300000000001</v>
      </c>
      <c r="E501" s="4">
        <f>308.852172575119 * CHOOSE(CONTROL!$C$9, $C$13, 100%, $E$13) + CHOOSE(CONTROL!$C$28, 0, 0)</f>
        <v>308.85217257511903</v>
      </c>
    </row>
    <row r="502" spans="1:5" ht="15">
      <c r="A502" s="13">
        <v>56795</v>
      </c>
      <c r="B502" s="4">
        <f>53.0568 * CHOOSE(CONTROL!$C$9, $C$13, 100%, $E$13) + CHOOSE(CONTROL!$C$28, 0.0271, 0)</f>
        <v>53.0839</v>
      </c>
      <c r="C502" s="4">
        <f>52.7443 * CHOOSE(CONTROL!$C$9, $C$13, 100%, $E$13) + CHOOSE(CONTROL!$C$28, 0.0271, 0)</f>
        <v>52.7714</v>
      </c>
      <c r="D502" s="4">
        <f>55.3236 * CHOOSE(CONTROL!$C$9, $C$13, 100%, $E$13) + CHOOSE(CONTROL!$C$28, 0, 0)</f>
        <v>55.323599999999999</v>
      </c>
      <c r="E502" s="4">
        <f>309.829422928397 * CHOOSE(CONTROL!$C$9, $C$13, 100%, $E$13) + CHOOSE(CONTROL!$C$28, 0, 0)</f>
        <v>309.82942292839698</v>
      </c>
    </row>
    <row r="503" spans="1:5" ht="15">
      <c r="A503" s="13">
        <v>56826</v>
      </c>
      <c r="B503" s="4">
        <f>53.0405 * CHOOSE(CONTROL!$C$9, $C$13, 100%, $E$13) + CHOOSE(CONTROL!$C$28, 0.0271, 0)</f>
        <v>53.067599999999999</v>
      </c>
      <c r="C503" s="4">
        <f>52.728 * CHOOSE(CONTROL!$C$9, $C$13, 100%, $E$13) + CHOOSE(CONTROL!$C$28, 0.0271, 0)</f>
        <v>52.755099999999999</v>
      </c>
      <c r="D503" s="4">
        <f>56.2192 * CHOOSE(CONTROL!$C$9, $C$13, 100%, $E$13) + CHOOSE(CONTROL!$C$28, 0, 0)</f>
        <v>56.219200000000001</v>
      </c>
      <c r="E503" s="4">
        <f>309.730876674285 * CHOOSE(CONTROL!$C$9, $C$13, 100%, $E$13) + CHOOSE(CONTROL!$C$28, 0, 0)</f>
        <v>309.73087667428501</v>
      </c>
    </row>
    <row r="504" spans="1:5" ht="15">
      <c r="A504" s="13">
        <v>56857</v>
      </c>
      <c r="B504" s="4">
        <f>54.2655 * CHOOSE(CONTROL!$C$9, $C$13, 100%, $E$13) + CHOOSE(CONTROL!$C$28, 0.0271, 0)</f>
        <v>54.2926</v>
      </c>
      <c r="C504" s="4">
        <f>53.953 * CHOOSE(CONTROL!$C$9, $C$13, 100%, $E$13) + CHOOSE(CONTROL!$C$28, 0.0271, 0)</f>
        <v>53.9801</v>
      </c>
      <c r="D504" s="4">
        <f>55.6278 * CHOOSE(CONTROL!$C$9, $C$13, 100%, $E$13) + CHOOSE(CONTROL!$C$28, 0, 0)</f>
        <v>55.627800000000001</v>
      </c>
      <c r="E504" s="4">
        <f>317.14648229622 * CHOOSE(CONTROL!$C$9, $C$13, 100%, $E$13) + CHOOSE(CONTROL!$C$28, 0, 0)</f>
        <v>317.14648229621997</v>
      </c>
    </row>
    <row r="505" spans="1:5" ht="15">
      <c r="A505" s="13">
        <v>56887</v>
      </c>
      <c r="B505" s="4">
        <f>52.1777 * CHOOSE(CONTROL!$C$9, $C$13, 100%, $E$13) + CHOOSE(CONTROL!$C$28, 0.0271, 0)</f>
        <v>52.204799999999999</v>
      </c>
      <c r="C505" s="4">
        <f>51.8652 * CHOOSE(CONTROL!$C$9, $C$13, 100%, $E$13) + CHOOSE(CONTROL!$C$28, 0.0271, 0)</f>
        <v>51.892299999999999</v>
      </c>
      <c r="D505" s="4">
        <f>55.3483 * CHOOSE(CONTROL!$C$9, $C$13, 100%, $E$13) + CHOOSE(CONTROL!$C$28, 0, 0)</f>
        <v>55.348300000000002</v>
      </c>
      <c r="E505" s="4">
        <f>304.507925206345 * CHOOSE(CONTROL!$C$9, $C$13, 100%, $E$13) + CHOOSE(CONTROL!$C$28, 0, 0)</f>
        <v>304.50792520634502</v>
      </c>
    </row>
    <row r="506" spans="1:5" ht="15">
      <c r="A506" s="13">
        <v>56918</v>
      </c>
      <c r="B506" s="4">
        <f>50.5064 * CHOOSE(CONTROL!$C$9, $C$13, 100%, $E$13) + CHOOSE(CONTROL!$C$28, 0.0003, 0)</f>
        <v>50.506700000000002</v>
      </c>
      <c r="C506" s="4">
        <f>50.1939 * CHOOSE(CONTROL!$C$9, $C$13, 100%, $E$13) + CHOOSE(CONTROL!$C$28, 0.0003, 0)</f>
        <v>50.194200000000002</v>
      </c>
      <c r="D506" s="4">
        <f>54.6001 * CHOOSE(CONTROL!$C$9, $C$13, 100%, $E$13) + CHOOSE(CONTROL!$C$28, 0, 0)</f>
        <v>54.600099999999998</v>
      </c>
      <c r="E506" s="4">
        <f>294.390509784171 * CHOOSE(CONTROL!$C$9, $C$13, 100%, $E$13) + CHOOSE(CONTROL!$C$28, 0, 0)</f>
        <v>294.390509784171</v>
      </c>
    </row>
    <row r="507" spans="1:5" ht="15">
      <c r="A507" s="13">
        <v>56948</v>
      </c>
      <c r="B507" s="4">
        <f>49.4299 * CHOOSE(CONTROL!$C$9, $C$13, 100%, $E$13) + CHOOSE(CONTROL!$C$28, 0.0003, 0)</f>
        <v>49.430200000000006</v>
      </c>
      <c r="C507" s="4">
        <f>49.1174 * CHOOSE(CONTROL!$C$9, $C$13, 100%, $E$13) + CHOOSE(CONTROL!$C$28, 0.0003, 0)</f>
        <v>49.117700000000006</v>
      </c>
      <c r="D507" s="4">
        <f>54.3428 * CHOOSE(CONTROL!$C$9, $C$13, 100%, $E$13) + CHOOSE(CONTROL!$C$28, 0, 0)</f>
        <v>54.342799999999997</v>
      </c>
      <c r="E507" s="4">
        <f>287.874138731009 * CHOOSE(CONTROL!$C$9, $C$13, 100%, $E$13) + CHOOSE(CONTROL!$C$28, 0, 0)</f>
        <v>287.874138731009</v>
      </c>
    </row>
    <row r="508" spans="1:5" ht="15">
      <c r="A508" s="13">
        <v>56979</v>
      </c>
      <c r="B508" s="4">
        <f>48.6851 * CHOOSE(CONTROL!$C$9, $C$13, 100%, $E$13) + CHOOSE(CONTROL!$C$28, 0.0003, 0)</f>
        <v>48.685400000000001</v>
      </c>
      <c r="C508" s="4">
        <f>48.3726 * CHOOSE(CONTROL!$C$9, $C$13, 100%, $E$13) + CHOOSE(CONTROL!$C$28, 0.0003, 0)</f>
        <v>48.372900000000001</v>
      </c>
      <c r="D508" s="4">
        <f>52.4489 * CHOOSE(CONTROL!$C$9, $C$13, 100%, $E$13) + CHOOSE(CONTROL!$C$28, 0, 0)</f>
        <v>52.448900000000002</v>
      </c>
      <c r="E508" s="4">
        <f>283.365647605381 * CHOOSE(CONTROL!$C$9, $C$13, 100%, $E$13) + CHOOSE(CONTROL!$C$28, 0, 0)</f>
        <v>283.36564760538101</v>
      </c>
    </row>
    <row r="509" spans="1:5" ht="15">
      <c r="A509" s="13">
        <v>57010</v>
      </c>
      <c r="B509" s="4">
        <f>47.475 * CHOOSE(CONTROL!$C$9, $C$13, 100%, $E$13) + CHOOSE(CONTROL!$C$28, 0.0003, 0)</f>
        <v>47.475300000000004</v>
      </c>
      <c r="C509" s="4">
        <f>47.1625 * CHOOSE(CONTROL!$C$9, $C$13, 100%, $E$13) + CHOOSE(CONTROL!$C$28, 0.0003, 0)</f>
        <v>47.162800000000004</v>
      </c>
      <c r="D509" s="4">
        <f>50.7083 * CHOOSE(CONTROL!$C$9, $C$13, 100%, $E$13) + CHOOSE(CONTROL!$C$28, 0, 0)</f>
        <v>50.708300000000001</v>
      </c>
      <c r="E509" s="4">
        <f>275.239800652638 * CHOOSE(CONTROL!$C$9, $C$13, 100%, $E$13) + CHOOSE(CONTROL!$C$28, 0, 0)</f>
        <v>275.239800652638</v>
      </c>
    </row>
    <row r="510" spans="1:5" ht="15">
      <c r="A510" s="13">
        <v>57038</v>
      </c>
      <c r="B510" s="4">
        <f>48.5578 * CHOOSE(CONTROL!$C$9, $C$13, 100%, $E$13) + CHOOSE(CONTROL!$C$28, 0.0003, 0)</f>
        <v>48.558100000000003</v>
      </c>
      <c r="C510" s="4">
        <f>48.2453 * CHOOSE(CONTROL!$C$9, $C$13, 100%, $E$13) + CHOOSE(CONTROL!$C$28, 0.0003, 0)</f>
        <v>48.245600000000003</v>
      </c>
      <c r="D510" s="4">
        <f>52.4611 * CHOOSE(CONTROL!$C$9, $C$13, 100%, $E$13) + CHOOSE(CONTROL!$C$28, 0, 0)</f>
        <v>52.461100000000002</v>
      </c>
      <c r="E510" s="4">
        <f>281.775078215261 * CHOOSE(CONTROL!$C$9, $C$13, 100%, $E$13) + CHOOSE(CONTROL!$C$28, 0, 0)</f>
        <v>281.77507821526098</v>
      </c>
    </row>
    <row r="511" spans="1:5" ht="15">
      <c r="A511" s="13">
        <v>57070</v>
      </c>
      <c r="B511" s="4">
        <f>51.4011 * CHOOSE(CONTROL!$C$9, $C$13, 100%, $E$13) + CHOOSE(CONTROL!$C$28, 0.0003, 0)</f>
        <v>51.401400000000002</v>
      </c>
      <c r="C511" s="4">
        <f>51.0886 * CHOOSE(CONTROL!$C$9, $C$13, 100%, $E$13) + CHOOSE(CONTROL!$C$28, 0.0003, 0)</f>
        <v>51.088900000000002</v>
      </c>
      <c r="D511" s="4">
        <f>55.2051 * CHOOSE(CONTROL!$C$9, $C$13, 100%, $E$13) + CHOOSE(CONTROL!$C$28, 0, 0)</f>
        <v>55.205100000000002</v>
      </c>
      <c r="E511" s="4">
        <f>298.93706440045 * CHOOSE(CONTROL!$C$9, $C$13, 100%, $E$13) + CHOOSE(CONTROL!$C$28, 0, 0)</f>
        <v>298.93706440045003</v>
      </c>
    </row>
    <row r="512" spans="1:5" ht="15">
      <c r="A512" s="13">
        <v>57100</v>
      </c>
      <c r="B512" s="4">
        <f>53.4213 * CHOOSE(CONTROL!$C$9, $C$13, 100%, $E$13) + CHOOSE(CONTROL!$C$28, 0.0003, 0)</f>
        <v>53.421600000000005</v>
      </c>
      <c r="C512" s="4">
        <f>53.1088 * CHOOSE(CONTROL!$C$9, $C$13, 100%, $E$13) + CHOOSE(CONTROL!$C$28, 0.0003, 0)</f>
        <v>53.109100000000005</v>
      </c>
      <c r="D512" s="4">
        <f>56.7857 * CHOOSE(CONTROL!$C$9, $C$13, 100%, $E$13) + CHOOSE(CONTROL!$C$28, 0, 0)</f>
        <v>56.785699999999999</v>
      </c>
      <c r="E512" s="4">
        <f>311.130884298564 * CHOOSE(CONTROL!$C$9, $C$13, 100%, $E$13) + CHOOSE(CONTROL!$C$28, 0, 0)</f>
        <v>311.13088429856401</v>
      </c>
    </row>
    <row r="513" spans="1:5" ht="15">
      <c r="A513" s="13">
        <v>57131</v>
      </c>
      <c r="B513" s="4">
        <f>54.6556 * CHOOSE(CONTROL!$C$9, $C$13, 100%, $E$13) + CHOOSE(CONTROL!$C$28, 0.0271, 0)</f>
        <v>54.682699999999997</v>
      </c>
      <c r="C513" s="4">
        <f>54.3431 * CHOOSE(CONTROL!$C$9, $C$13, 100%, $E$13) + CHOOSE(CONTROL!$C$28, 0.0271, 0)</f>
        <v>54.370199999999997</v>
      </c>
      <c r="D513" s="4">
        <f>56.1611 * CHOOSE(CONTROL!$C$9, $C$13, 100%, $E$13) + CHOOSE(CONTROL!$C$28, 0, 0)</f>
        <v>56.161099999999998</v>
      </c>
      <c r="E513" s="4">
        <f>318.581016011236 * CHOOSE(CONTROL!$C$9, $C$13, 100%, $E$13) + CHOOSE(CONTROL!$C$28, 0, 0)</f>
        <v>318.58101601123599</v>
      </c>
    </row>
    <row r="514" spans="1:5" ht="15">
      <c r="A514" s="13">
        <v>57161</v>
      </c>
      <c r="B514" s="4">
        <f>54.8226 * CHOOSE(CONTROL!$C$9, $C$13, 100%, $E$13) + CHOOSE(CONTROL!$C$28, 0.0271, 0)</f>
        <v>54.849699999999999</v>
      </c>
      <c r="C514" s="4">
        <f>54.5101 * CHOOSE(CONTROL!$C$9, $C$13, 100%, $E$13) + CHOOSE(CONTROL!$C$28, 0.0271, 0)</f>
        <v>54.537199999999999</v>
      </c>
      <c r="D514" s="4">
        <f>56.6698 * CHOOSE(CONTROL!$C$9, $C$13, 100%, $E$13) + CHOOSE(CONTROL!$C$28, 0, 0)</f>
        <v>56.669800000000002</v>
      </c>
      <c r="E514" s="4">
        <f>319.589049750642 * CHOOSE(CONTROL!$C$9, $C$13, 100%, $E$13) + CHOOSE(CONTROL!$C$28, 0, 0)</f>
        <v>319.589049750642</v>
      </c>
    </row>
    <row r="515" spans="1:5" ht="15">
      <c r="A515" s="13">
        <v>57192</v>
      </c>
      <c r="B515" s="4">
        <f>54.8057 * CHOOSE(CONTROL!$C$9, $C$13, 100%, $E$13) + CHOOSE(CONTROL!$C$28, 0.0271, 0)</f>
        <v>54.832799999999999</v>
      </c>
      <c r="C515" s="4">
        <f>54.4932 * CHOOSE(CONTROL!$C$9, $C$13, 100%, $E$13) + CHOOSE(CONTROL!$C$28, 0.0271, 0)</f>
        <v>54.520299999999999</v>
      </c>
      <c r="D515" s="4">
        <f>57.5876 * CHOOSE(CONTROL!$C$9, $C$13, 100%, $E$13) + CHOOSE(CONTROL!$C$28, 0, 0)</f>
        <v>57.587600000000002</v>
      </c>
      <c r="E515" s="4">
        <f>319.487399289526 * CHOOSE(CONTROL!$C$9, $C$13, 100%, $E$13) + CHOOSE(CONTROL!$C$28, 0, 0)</f>
        <v>319.48739928952602</v>
      </c>
    </row>
    <row r="516" spans="1:5" ht="15">
      <c r="A516" s="13">
        <v>57223</v>
      </c>
      <c r="B516" s="4">
        <f>56.073 * CHOOSE(CONTROL!$C$9, $C$13, 100%, $E$13) + CHOOSE(CONTROL!$C$28, 0.0271, 0)</f>
        <v>56.100099999999998</v>
      </c>
      <c r="C516" s="4">
        <f>55.7605 * CHOOSE(CONTROL!$C$9, $C$13, 100%, $E$13) + CHOOSE(CONTROL!$C$28, 0.0271, 0)</f>
        <v>55.787599999999998</v>
      </c>
      <c r="D516" s="4">
        <f>56.9814 * CHOOSE(CONTROL!$C$9, $C$13, 100%, $E$13) + CHOOSE(CONTROL!$C$28, 0, 0)</f>
        <v>56.981400000000001</v>
      </c>
      <c r="E516" s="4">
        <f>327.136596488551 * CHOOSE(CONTROL!$C$9, $C$13, 100%, $E$13) + CHOOSE(CONTROL!$C$28, 0, 0)</f>
        <v>327.13659648855099</v>
      </c>
    </row>
    <row r="517" spans="1:5" ht="15">
      <c r="A517" s="13">
        <v>57253</v>
      </c>
      <c r="B517" s="4">
        <f>53.9132 * CHOOSE(CONTROL!$C$9, $C$13, 100%, $E$13) + CHOOSE(CONTROL!$C$28, 0.0271, 0)</f>
        <v>53.940300000000001</v>
      </c>
      <c r="C517" s="4">
        <f>53.6007 * CHOOSE(CONTROL!$C$9, $C$13, 100%, $E$13) + CHOOSE(CONTROL!$C$28, 0.0271, 0)</f>
        <v>53.627800000000001</v>
      </c>
      <c r="D517" s="4">
        <f>56.6951 * CHOOSE(CONTROL!$C$9, $C$13, 100%, $E$13) + CHOOSE(CONTROL!$C$28, 0, 0)</f>
        <v>56.695099999999996</v>
      </c>
      <c r="E517" s="4">
        <f>314.099924850345 * CHOOSE(CONTROL!$C$9, $C$13, 100%, $E$13) + CHOOSE(CONTROL!$C$28, 0, 0)</f>
        <v>314.09992485034502</v>
      </c>
    </row>
    <row r="518" spans="1:5" ht="15">
      <c r="A518" s="13">
        <v>57284</v>
      </c>
      <c r="B518" s="4">
        <f>52.1842 * CHOOSE(CONTROL!$C$9, $C$13, 100%, $E$13) + CHOOSE(CONTROL!$C$28, 0.0003, 0)</f>
        <v>52.1845</v>
      </c>
      <c r="C518" s="4">
        <f>51.8717 * CHOOSE(CONTROL!$C$9, $C$13, 100%, $E$13) + CHOOSE(CONTROL!$C$28, 0.0003, 0)</f>
        <v>51.872</v>
      </c>
      <c r="D518" s="4">
        <f>55.9283 * CHOOSE(CONTROL!$C$9, $C$13, 100%, $E$13) + CHOOSE(CONTROL!$C$28, 0, 0)</f>
        <v>55.9283</v>
      </c>
      <c r="E518" s="4">
        <f>303.663810842372 * CHOOSE(CONTROL!$C$9, $C$13, 100%, $E$13) + CHOOSE(CONTROL!$C$28, 0, 0)</f>
        <v>303.66381084237202</v>
      </c>
    </row>
    <row r="519" spans="1:5" ht="15">
      <c r="A519" s="13">
        <v>57314</v>
      </c>
      <c r="B519" s="4">
        <f>51.0706 * CHOOSE(CONTROL!$C$9, $C$13, 100%, $E$13) + CHOOSE(CONTROL!$C$28, 0.0003, 0)</f>
        <v>51.070900000000002</v>
      </c>
      <c r="C519" s="4">
        <f>50.7581 * CHOOSE(CONTROL!$C$9, $C$13, 100%, $E$13) + CHOOSE(CONTROL!$C$28, 0.0003, 0)</f>
        <v>50.758400000000002</v>
      </c>
      <c r="D519" s="4">
        <f>55.6646 * CHOOSE(CONTROL!$C$9, $C$13, 100%, $E$13) + CHOOSE(CONTROL!$C$28, 0, 0)</f>
        <v>55.6646</v>
      </c>
      <c r="E519" s="4">
        <f>296.942174101036 * CHOOSE(CONTROL!$C$9, $C$13, 100%, $E$13) + CHOOSE(CONTROL!$C$28, 0, 0)</f>
        <v>296.94217410103602</v>
      </c>
    </row>
    <row r="520" spans="1:5" ht="15">
      <c r="A520" s="13">
        <v>57345</v>
      </c>
      <c r="B520" s="4">
        <f>50.3001 * CHOOSE(CONTROL!$C$9, $C$13, 100%, $E$13) + CHOOSE(CONTROL!$C$28, 0.0003, 0)</f>
        <v>50.300400000000003</v>
      </c>
      <c r="C520" s="4">
        <f>49.9876 * CHOOSE(CONTROL!$C$9, $C$13, 100%, $E$13) + CHOOSE(CONTROL!$C$28, 0.0003, 0)</f>
        <v>49.987900000000003</v>
      </c>
      <c r="D520" s="4">
        <f>53.7238 * CHOOSE(CONTROL!$C$9, $C$13, 100%, $E$13) + CHOOSE(CONTROL!$C$28, 0, 0)</f>
        <v>53.723799999999997</v>
      </c>
      <c r="E520" s="4">
        <f>292.291665504951 * CHOOSE(CONTROL!$C$9, $C$13, 100%, $E$13) + CHOOSE(CONTROL!$C$28, 0, 0)</f>
        <v>292.29166550495103</v>
      </c>
    </row>
    <row r="521" spans="1:5" ht="15">
      <c r="A521" s="13">
        <v>57376</v>
      </c>
      <c r="B521" s="4">
        <f>49.0482 * CHOOSE(CONTROL!$C$9, $C$13, 100%, $E$13) + CHOOSE(CONTROL!$C$28, 0.0003, 0)</f>
        <v>49.048500000000004</v>
      </c>
      <c r="C521" s="4">
        <f>48.7357 * CHOOSE(CONTROL!$C$9, $C$13, 100%, $E$13) + CHOOSE(CONTROL!$C$28, 0.0003, 0)</f>
        <v>48.736000000000004</v>
      </c>
      <c r="D521" s="4">
        <f>51.9399 * CHOOSE(CONTROL!$C$9, $C$13, 100%, $E$13) + CHOOSE(CONTROL!$C$28, 0, 0)</f>
        <v>51.939900000000002</v>
      </c>
      <c r="E521" s="4">
        <f>283.909854373196 * CHOOSE(CONTROL!$C$9, $C$13, 100%, $E$13) + CHOOSE(CONTROL!$C$28, 0, 0)</f>
        <v>283.90985437319603</v>
      </c>
    </row>
    <row r="522" spans="1:5" ht="15">
      <c r="A522" s="13">
        <v>57404</v>
      </c>
      <c r="B522" s="4">
        <f>50.1683 * CHOOSE(CONTROL!$C$9, $C$13, 100%, $E$13) + CHOOSE(CONTROL!$C$28, 0.0003, 0)</f>
        <v>50.168600000000005</v>
      </c>
      <c r="C522" s="4">
        <f>49.8558 * CHOOSE(CONTROL!$C$9, $C$13, 100%, $E$13) + CHOOSE(CONTROL!$C$28, 0.0003, 0)</f>
        <v>49.856100000000005</v>
      </c>
      <c r="D522" s="4">
        <f>53.7363 * CHOOSE(CONTROL!$C$9, $C$13, 100%, $E$13) + CHOOSE(CONTROL!$C$28, 0, 0)</f>
        <v>53.7363</v>
      </c>
      <c r="E522" s="4">
        <f>290.650993179042 * CHOOSE(CONTROL!$C$9, $C$13, 100%, $E$13) + CHOOSE(CONTROL!$C$28, 0, 0)</f>
        <v>290.65099317904202</v>
      </c>
    </row>
    <row r="523" spans="1:5" ht="15">
      <c r="A523" s="13">
        <v>57435</v>
      </c>
      <c r="B523" s="4">
        <f>53.1097 * CHOOSE(CONTROL!$C$9, $C$13, 100%, $E$13) + CHOOSE(CONTROL!$C$28, 0.0003, 0)</f>
        <v>53.11</v>
      </c>
      <c r="C523" s="4">
        <f>52.7972 * CHOOSE(CONTROL!$C$9, $C$13, 100%, $E$13) + CHOOSE(CONTROL!$C$28, 0.0003, 0)</f>
        <v>52.797499999999999</v>
      </c>
      <c r="D523" s="4">
        <f>56.5483 * CHOOSE(CONTROL!$C$9, $C$13, 100%, $E$13) + CHOOSE(CONTROL!$C$28, 0, 0)</f>
        <v>56.548299999999998</v>
      </c>
      <c r="E523" s="4">
        <f>308.353581929064 * CHOOSE(CONTROL!$C$9, $C$13, 100%, $E$13) + CHOOSE(CONTROL!$C$28, 0, 0)</f>
        <v>308.35358192906398</v>
      </c>
    </row>
    <row r="524" spans="1:5" ht="15">
      <c r="A524" s="13">
        <v>57465</v>
      </c>
      <c r="B524" s="4">
        <f>55.1996 * CHOOSE(CONTROL!$C$9, $C$13, 100%, $E$13) + CHOOSE(CONTROL!$C$28, 0.0003, 0)</f>
        <v>55.1999</v>
      </c>
      <c r="C524" s="4">
        <f>54.8871 * CHOOSE(CONTROL!$C$9, $C$13, 100%, $E$13) + CHOOSE(CONTROL!$C$28, 0.0003, 0)</f>
        <v>54.8874</v>
      </c>
      <c r="D524" s="4">
        <f>58.1681 * CHOOSE(CONTROL!$C$9, $C$13, 100%, $E$13) + CHOOSE(CONTROL!$C$28, 0, 0)</f>
        <v>58.168100000000003</v>
      </c>
      <c r="E524" s="4">
        <f>320.931507153968 * CHOOSE(CONTROL!$C$9, $C$13, 100%, $E$13) + CHOOSE(CONTROL!$C$28, 0, 0)</f>
        <v>320.93150715396803</v>
      </c>
    </row>
    <row r="525" spans="1:5" ht="15">
      <c r="A525" s="13">
        <v>57496</v>
      </c>
      <c r="B525" s="4">
        <f>56.4765 * CHOOSE(CONTROL!$C$9, $C$13, 100%, $E$13) + CHOOSE(CONTROL!$C$28, 0.0271, 0)</f>
        <v>56.503599999999999</v>
      </c>
      <c r="C525" s="4">
        <f>56.164 * CHOOSE(CONTROL!$C$9, $C$13, 100%, $E$13) + CHOOSE(CONTROL!$C$28, 0.0271, 0)</f>
        <v>56.191099999999999</v>
      </c>
      <c r="D525" s="4">
        <f>57.528 * CHOOSE(CONTROL!$C$9, $C$13, 100%, $E$13) + CHOOSE(CONTROL!$C$28, 0, 0)</f>
        <v>57.527999999999999</v>
      </c>
      <c r="E525" s="4">
        <f>328.61631801559 * CHOOSE(CONTROL!$C$9, $C$13, 100%, $E$13) + CHOOSE(CONTROL!$C$28, 0, 0)</f>
        <v>328.61631801559002</v>
      </c>
    </row>
    <row r="526" spans="1:5" ht="15">
      <c r="A526" s="13">
        <v>57526</v>
      </c>
      <c r="B526" s="4">
        <f>56.6492 * CHOOSE(CONTROL!$C$9, $C$13, 100%, $E$13) + CHOOSE(CONTROL!$C$28, 0.0271, 0)</f>
        <v>56.676299999999998</v>
      </c>
      <c r="C526" s="4">
        <f>56.3367 * CHOOSE(CONTROL!$C$9, $C$13, 100%, $E$13) + CHOOSE(CONTROL!$C$28, 0.0271, 0)</f>
        <v>56.363799999999998</v>
      </c>
      <c r="D526" s="4">
        <f>58.0493 * CHOOSE(CONTROL!$C$9, $C$13, 100%, $E$13) + CHOOSE(CONTROL!$C$28, 0, 0)</f>
        <v>58.049300000000002</v>
      </c>
      <c r="E526" s="4">
        <f>329.656104817787 * CHOOSE(CONTROL!$C$9, $C$13, 100%, $E$13) + CHOOSE(CONTROL!$C$28, 0, 0)</f>
        <v>329.65610481778702</v>
      </c>
    </row>
    <row r="527" spans="1:5" ht="15">
      <c r="A527" s="13">
        <v>57557</v>
      </c>
      <c r="B527" s="4">
        <f>56.6318 * CHOOSE(CONTROL!$C$9, $C$13, 100%, $E$13) + CHOOSE(CONTROL!$C$28, 0.0271, 0)</f>
        <v>56.658899999999996</v>
      </c>
      <c r="C527" s="4">
        <f>56.3193 * CHOOSE(CONTROL!$C$9, $C$13, 100%, $E$13) + CHOOSE(CONTROL!$C$28, 0.0271, 0)</f>
        <v>56.346399999999996</v>
      </c>
      <c r="D527" s="4">
        <f>58.9899 * CHOOSE(CONTROL!$C$9, $C$13, 100%, $E$13) + CHOOSE(CONTROL!$C$28, 0, 0)</f>
        <v>58.989899999999999</v>
      </c>
      <c r="E527" s="4">
        <f>329.551252367146 * CHOOSE(CONTROL!$C$9, $C$13, 100%, $E$13) + CHOOSE(CONTROL!$C$28, 0, 0)</f>
        <v>329.55125236714599</v>
      </c>
    </row>
    <row r="528" spans="1:5" ht="15">
      <c r="A528" s="13">
        <v>57588</v>
      </c>
      <c r="B528" s="4">
        <f>57.9428 * CHOOSE(CONTROL!$C$9, $C$13, 100%, $E$13) + CHOOSE(CONTROL!$C$28, 0.0271, 0)</f>
        <v>57.969899999999996</v>
      </c>
      <c r="C528" s="4">
        <f>57.6303 * CHOOSE(CONTROL!$C$9, $C$13, 100%, $E$13) + CHOOSE(CONTROL!$C$28, 0.0271, 0)</f>
        <v>57.657399999999996</v>
      </c>
      <c r="D528" s="4">
        <f>58.3687 * CHOOSE(CONTROL!$C$9, $C$13, 100%, $E$13) + CHOOSE(CONTROL!$C$28, 0, 0)</f>
        <v>58.368699999999997</v>
      </c>
      <c r="E528" s="4">
        <f>337.44139927794 * CHOOSE(CONTROL!$C$9, $C$13, 100%, $E$13) + CHOOSE(CONTROL!$C$28, 0, 0)</f>
        <v>337.44139927793998</v>
      </c>
    </row>
    <row r="529" spans="1:5" ht="15">
      <c r="A529" s="13">
        <v>57618</v>
      </c>
      <c r="B529" s="4">
        <f>55.7085 * CHOOSE(CONTROL!$C$9, $C$13, 100%, $E$13) + CHOOSE(CONTROL!$C$28, 0.0271, 0)</f>
        <v>55.735599999999998</v>
      </c>
      <c r="C529" s="4">
        <f>55.396 * CHOOSE(CONTROL!$C$9, $C$13, 100%, $E$13) + CHOOSE(CONTROL!$C$28, 0.0271, 0)</f>
        <v>55.423099999999998</v>
      </c>
      <c r="D529" s="4">
        <f>58.0752 * CHOOSE(CONTROL!$C$9, $C$13, 100%, $E$13) + CHOOSE(CONTROL!$C$28, 0, 0)</f>
        <v>58.075200000000002</v>
      </c>
      <c r="E529" s="4">
        <f>323.994072483131 * CHOOSE(CONTROL!$C$9, $C$13, 100%, $E$13) + CHOOSE(CONTROL!$C$28, 0, 0)</f>
        <v>323.99407248313099</v>
      </c>
    </row>
    <row r="530" spans="1:5" ht="15">
      <c r="A530" s="13">
        <v>57649</v>
      </c>
      <c r="B530" s="4">
        <f>53.9198 * CHOOSE(CONTROL!$C$9, $C$13, 100%, $E$13) + CHOOSE(CONTROL!$C$28, 0.0003, 0)</f>
        <v>53.920100000000005</v>
      </c>
      <c r="C530" s="4">
        <f>53.6073 * CHOOSE(CONTROL!$C$9, $C$13, 100%, $E$13) + CHOOSE(CONTROL!$C$28, 0.0003, 0)</f>
        <v>53.607600000000005</v>
      </c>
      <c r="D530" s="4">
        <f>57.2894 * CHOOSE(CONTROL!$C$9, $C$13, 100%, $E$13) + CHOOSE(CONTROL!$C$28, 0, 0)</f>
        <v>57.289400000000001</v>
      </c>
      <c r="E530" s="4">
        <f>313.229220883907 * CHOOSE(CONTROL!$C$9, $C$13, 100%, $E$13) + CHOOSE(CONTROL!$C$28, 0, 0)</f>
        <v>313.22922088390698</v>
      </c>
    </row>
    <row r="531" spans="1:5" ht="15">
      <c r="A531" s="13">
        <v>57679</v>
      </c>
      <c r="B531" s="4">
        <f>52.7678 * CHOOSE(CONTROL!$C$9, $C$13, 100%, $E$13) + CHOOSE(CONTROL!$C$28, 0.0003, 0)</f>
        <v>52.768100000000004</v>
      </c>
      <c r="C531" s="4">
        <f>52.4553 * CHOOSE(CONTROL!$C$9, $C$13, 100%, $E$13) + CHOOSE(CONTROL!$C$28, 0.0003, 0)</f>
        <v>52.455600000000004</v>
      </c>
      <c r="D531" s="4">
        <f>57.0192 * CHOOSE(CONTROL!$C$9, $C$13, 100%, $E$13) + CHOOSE(CONTROL!$C$28, 0, 0)</f>
        <v>57.019199999999998</v>
      </c>
      <c r="E531" s="4">
        <f>306.295852585219 * CHOOSE(CONTROL!$C$9, $C$13, 100%, $E$13) + CHOOSE(CONTROL!$C$28, 0, 0)</f>
        <v>306.295852585219</v>
      </c>
    </row>
    <row r="532" spans="1:5" ht="15">
      <c r="A532" s="13">
        <v>57710</v>
      </c>
      <c r="B532" s="4">
        <f>51.9708 * CHOOSE(CONTROL!$C$9, $C$13, 100%, $E$13) + CHOOSE(CONTROL!$C$28, 0.0003, 0)</f>
        <v>51.9711</v>
      </c>
      <c r="C532" s="4">
        <f>51.6583 * CHOOSE(CONTROL!$C$9, $C$13, 100%, $E$13) + CHOOSE(CONTROL!$C$28, 0.0003, 0)</f>
        <v>51.6586</v>
      </c>
      <c r="D532" s="4">
        <f>55.0302 * CHOOSE(CONTROL!$C$9, $C$13, 100%, $E$13) + CHOOSE(CONTROL!$C$28, 0, 0)</f>
        <v>55.030200000000001</v>
      </c>
      <c r="E532" s="4">
        <f>301.498852968357 * CHOOSE(CONTROL!$C$9, $C$13, 100%, $E$13) + CHOOSE(CONTROL!$C$28, 0, 0)</f>
        <v>301.49885296835703</v>
      </c>
    </row>
    <row r="533" spans="1:5" ht="15">
      <c r="A533" s="13">
        <v>57741</v>
      </c>
      <c r="B533" s="4">
        <f>50.6757 * CHOOSE(CONTROL!$C$9, $C$13, 100%, $E$13) + CHOOSE(CONTROL!$C$28, 0.0003, 0)</f>
        <v>50.676000000000002</v>
      </c>
      <c r="C533" s="4">
        <f>50.3632 * CHOOSE(CONTROL!$C$9, $C$13, 100%, $E$13) + CHOOSE(CONTROL!$C$28, 0.0003, 0)</f>
        <v>50.363500000000002</v>
      </c>
      <c r="D533" s="4">
        <f>53.2022 * CHOOSE(CONTROL!$C$9, $C$13, 100%, $E$13) + CHOOSE(CONTROL!$C$28, 0, 0)</f>
        <v>53.202199999999998</v>
      </c>
      <c r="E533" s="4">
        <f>292.853014785952 * CHOOSE(CONTROL!$C$9, $C$13, 100%, $E$13) + CHOOSE(CONTROL!$C$28, 0, 0)</f>
        <v>292.85301478595198</v>
      </c>
    </row>
    <row r="534" spans="1:5" ht="15">
      <c r="A534" s="13">
        <v>57769</v>
      </c>
      <c r="B534" s="4">
        <f>51.8344 * CHOOSE(CONTROL!$C$9, $C$13, 100%, $E$13) + CHOOSE(CONTROL!$C$28, 0.0003, 0)</f>
        <v>51.834700000000005</v>
      </c>
      <c r="C534" s="4">
        <f>51.5219 * CHOOSE(CONTROL!$C$9, $C$13, 100%, $E$13) + CHOOSE(CONTROL!$C$28, 0.0003, 0)</f>
        <v>51.522200000000005</v>
      </c>
      <c r="D534" s="4">
        <f>55.043 * CHOOSE(CONTROL!$C$9, $C$13, 100%, $E$13) + CHOOSE(CONTROL!$C$28, 0, 0)</f>
        <v>55.042999999999999</v>
      </c>
      <c r="E534" s="4">
        <f>299.806499464181 * CHOOSE(CONTROL!$C$9, $C$13, 100%, $E$13) + CHOOSE(CONTROL!$C$28, 0, 0)</f>
        <v>299.806499464181</v>
      </c>
    </row>
    <row r="535" spans="1:5" ht="15">
      <c r="A535" s="13">
        <v>57800</v>
      </c>
      <c r="B535" s="4">
        <f>54.8773 * CHOOSE(CONTROL!$C$9, $C$13, 100%, $E$13) + CHOOSE(CONTROL!$C$28, 0.0003, 0)</f>
        <v>54.877600000000001</v>
      </c>
      <c r="C535" s="4">
        <f>54.5648 * CHOOSE(CONTROL!$C$9, $C$13, 100%, $E$13) + CHOOSE(CONTROL!$C$28, 0.0003, 0)</f>
        <v>54.565100000000001</v>
      </c>
      <c r="D535" s="4">
        <f>57.9248 * CHOOSE(CONTROL!$C$9, $C$13, 100%, $E$13) + CHOOSE(CONTROL!$C$28, 0, 0)</f>
        <v>57.924799999999998</v>
      </c>
      <c r="E535" s="4">
        <f>318.066719759829 * CHOOSE(CONTROL!$C$9, $C$13, 100%, $E$13) + CHOOSE(CONTROL!$C$28, 0, 0)</f>
        <v>318.06671975982903</v>
      </c>
    </row>
    <row r="536" spans="1:5" ht="15">
      <c r="A536" s="13">
        <v>57830</v>
      </c>
      <c r="B536" s="4">
        <f>57.0393 * CHOOSE(CONTROL!$C$9, $C$13, 100%, $E$13) + CHOOSE(CONTROL!$C$28, 0.0003, 0)</f>
        <v>57.0396</v>
      </c>
      <c r="C536" s="4">
        <f>56.7268 * CHOOSE(CONTROL!$C$9, $C$13, 100%, $E$13) + CHOOSE(CONTROL!$C$28, 0.0003, 0)</f>
        <v>56.7271</v>
      </c>
      <c r="D536" s="4">
        <f>59.5847 * CHOOSE(CONTROL!$C$9, $C$13, 100%, $E$13) + CHOOSE(CONTROL!$C$28, 0, 0)</f>
        <v>59.584699999999998</v>
      </c>
      <c r="E536" s="4">
        <f>331.040849629319 * CHOOSE(CONTROL!$C$9, $C$13, 100%, $E$13) + CHOOSE(CONTROL!$C$28, 0, 0)</f>
        <v>331.04084962931898</v>
      </c>
    </row>
    <row r="537" spans="1:5" ht="15">
      <c r="A537" s="13">
        <v>57861</v>
      </c>
      <c r="B537" s="4">
        <f>58.3602 * CHOOSE(CONTROL!$C$9, $C$13, 100%, $E$13) + CHOOSE(CONTROL!$C$28, 0.0271, 0)</f>
        <v>58.387299999999996</v>
      </c>
      <c r="C537" s="4">
        <f>58.0477 * CHOOSE(CONTROL!$C$9, $C$13, 100%, $E$13) + CHOOSE(CONTROL!$C$28, 0.0271, 0)</f>
        <v>58.074799999999996</v>
      </c>
      <c r="D537" s="4">
        <f>58.9288 * CHOOSE(CONTROL!$C$9, $C$13, 100%, $E$13) + CHOOSE(CONTROL!$C$28, 0, 0)</f>
        <v>58.928800000000003</v>
      </c>
      <c r="E537" s="4">
        <f>338.967732033081 * CHOOSE(CONTROL!$C$9, $C$13, 100%, $E$13) + CHOOSE(CONTROL!$C$28, 0, 0)</f>
        <v>338.96773203308101</v>
      </c>
    </row>
    <row r="538" spans="1:5" ht="15">
      <c r="A538" s="13">
        <v>57891</v>
      </c>
      <c r="B538" s="4">
        <f>58.539 * CHOOSE(CONTROL!$C$9, $C$13, 100%, $E$13) + CHOOSE(CONTROL!$C$28, 0.0271, 0)</f>
        <v>58.566099999999999</v>
      </c>
      <c r="C538" s="4">
        <f>58.2265 * CHOOSE(CONTROL!$C$9, $C$13, 100%, $E$13) + CHOOSE(CONTROL!$C$28, 0.0271, 0)</f>
        <v>58.253599999999999</v>
      </c>
      <c r="D538" s="4">
        <f>59.463 * CHOOSE(CONTROL!$C$9, $C$13, 100%, $E$13) + CHOOSE(CONTROL!$C$28, 0, 0)</f>
        <v>59.463000000000001</v>
      </c>
      <c r="E538" s="4">
        <f>340.040272119548 * CHOOSE(CONTROL!$C$9, $C$13, 100%, $E$13) + CHOOSE(CONTROL!$C$28, 0, 0)</f>
        <v>340.04027211954798</v>
      </c>
    </row>
    <row r="539" spans="1:5" ht="15">
      <c r="A539" s="13">
        <v>57922</v>
      </c>
      <c r="B539" s="4">
        <f>58.5209 * CHOOSE(CONTROL!$C$9, $C$13, 100%, $E$13) + CHOOSE(CONTROL!$C$28, 0.0271, 0)</f>
        <v>58.547999999999995</v>
      </c>
      <c r="C539" s="4">
        <f>58.2084 * CHOOSE(CONTROL!$C$9, $C$13, 100%, $E$13) + CHOOSE(CONTROL!$C$28, 0.0271, 0)</f>
        <v>58.235499999999995</v>
      </c>
      <c r="D539" s="4">
        <f>60.4269 * CHOOSE(CONTROL!$C$9, $C$13, 100%, $E$13) + CHOOSE(CONTROL!$C$28, 0, 0)</f>
        <v>60.426900000000003</v>
      </c>
      <c r="E539" s="4">
        <f>339.932116816711 * CHOOSE(CONTROL!$C$9, $C$13, 100%, $E$13) + CHOOSE(CONTROL!$C$28, 0, 0)</f>
        <v>339.93211681671102</v>
      </c>
    </row>
    <row r="540" spans="1:5" ht="15">
      <c r="A540" s="13">
        <v>57953</v>
      </c>
      <c r="B540" s="4">
        <f>59.8772 * CHOOSE(CONTROL!$C$9, $C$13, 100%, $E$13) + CHOOSE(CONTROL!$C$28, 0.0271, 0)</f>
        <v>59.904299999999999</v>
      </c>
      <c r="C540" s="4">
        <f>59.5647 * CHOOSE(CONTROL!$C$9, $C$13, 100%, $E$13) + CHOOSE(CONTROL!$C$28, 0.0271, 0)</f>
        <v>59.591799999999999</v>
      </c>
      <c r="D540" s="4">
        <f>59.7903 * CHOOSE(CONTROL!$C$9, $C$13, 100%, $E$13) + CHOOSE(CONTROL!$C$28, 0, 0)</f>
        <v>59.790300000000002</v>
      </c>
      <c r="E540" s="4">
        <f>348.070803355195 * CHOOSE(CONTROL!$C$9, $C$13, 100%, $E$13) + CHOOSE(CONTROL!$C$28, 0, 0)</f>
        <v>348.07080335519498</v>
      </c>
    </row>
    <row r="541" spans="1:5" ht="15">
      <c r="A541" s="13">
        <v>57983</v>
      </c>
      <c r="B541" s="4">
        <f>57.5657 * CHOOSE(CONTROL!$C$9, $C$13, 100%, $E$13) + CHOOSE(CONTROL!$C$28, 0.0271, 0)</f>
        <v>57.592799999999997</v>
      </c>
      <c r="C541" s="4">
        <f>57.2532 * CHOOSE(CONTROL!$C$9, $C$13, 100%, $E$13) + CHOOSE(CONTROL!$C$28, 0.0271, 0)</f>
        <v>57.280299999999997</v>
      </c>
      <c r="D541" s="4">
        <f>59.4896 * CHOOSE(CONTROL!$C$9, $C$13, 100%, $E$13) + CHOOSE(CONTROL!$C$28, 0, 0)</f>
        <v>59.489600000000003</v>
      </c>
      <c r="E541" s="4">
        <f>334.199885766349 * CHOOSE(CONTROL!$C$9, $C$13, 100%, $E$13) + CHOOSE(CONTROL!$C$28, 0, 0)</f>
        <v>334.19988576634898</v>
      </c>
    </row>
    <row r="542" spans="1:5" ht="15">
      <c r="A542" s="13">
        <v>58014</v>
      </c>
      <c r="B542" s="4">
        <f>55.7154 * CHOOSE(CONTROL!$C$9, $C$13, 100%, $E$13) + CHOOSE(CONTROL!$C$28, 0.0003, 0)</f>
        <v>55.715700000000005</v>
      </c>
      <c r="C542" s="4">
        <f>55.4029 * CHOOSE(CONTROL!$C$9, $C$13, 100%, $E$13) + CHOOSE(CONTROL!$C$28, 0.0003, 0)</f>
        <v>55.403200000000005</v>
      </c>
      <c r="D542" s="4">
        <f>58.6843 * CHOOSE(CONTROL!$C$9, $C$13, 100%, $E$13) + CHOOSE(CONTROL!$C$28, 0, 0)</f>
        <v>58.6843</v>
      </c>
      <c r="E542" s="4">
        <f>323.09594134175 * CHOOSE(CONTROL!$C$9, $C$13, 100%, $E$13) + CHOOSE(CONTROL!$C$28, 0, 0)</f>
        <v>323.09594134175001</v>
      </c>
    </row>
    <row r="543" spans="1:5" ht="15">
      <c r="A543" s="13">
        <v>58044</v>
      </c>
      <c r="B543" s="4">
        <f>54.5236 * CHOOSE(CONTROL!$C$9, $C$13, 100%, $E$13) + CHOOSE(CONTROL!$C$28, 0.0003, 0)</f>
        <v>54.523900000000005</v>
      </c>
      <c r="C543" s="4">
        <f>54.2111 * CHOOSE(CONTROL!$C$9, $C$13, 100%, $E$13) + CHOOSE(CONTROL!$C$28, 0.0003, 0)</f>
        <v>54.211400000000005</v>
      </c>
      <c r="D543" s="4">
        <f>58.4074 * CHOOSE(CONTROL!$C$9, $C$13, 100%, $E$13) + CHOOSE(CONTROL!$C$28, 0, 0)</f>
        <v>58.407400000000003</v>
      </c>
      <c r="E543" s="4">
        <f>315.944171941653 * CHOOSE(CONTROL!$C$9, $C$13, 100%, $E$13) + CHOOSE(CONTROL!$C$28, 0, 0)</f>
        <v>315.944171941653</v>
      </c>
    </row>
    <row r="544" spans="1:5" ht="15">
      <c r="A544" s="13">
        <v>58075</v>
      </c>
      <c r="B544" s="4">
        <f>53.6991 * CHOOSE(CONTROL!$C$9, $C$13, 100%, $E$13) + CHOOSE(CONTROL!$C$28, 0.0003, 0)</f>
        <v>53.699400000000004</v>
      </c>
      <c r="C544" s="4">
        <f>53.3866 * CHOOSE(CONTROL!$C$9, $C$13, 100%, $E$13) + CHOOSE(CONTROL!$C$28, 0.0003, 0)</f>
        <v>53.386900000000004</v>
      </c>
      <c r="D544" s="4">
        <f>56.3691 * CHOOSE(CONTROL!$C$9, $C$13, 100%, $E$13) + CHOOSE(CONTROL!$C$28, 0, 0)</f>
        <v>56.369100000000003</v>
      </c>
      <c r="E544" s="4">
        <f>310.99606683686 * CHOOSE(CONTROL!$C$9, $C$13, 100%, $E$13) + CHOOSE(CONTROL!$C$28, 0, 0)</f>
        <v>310.99606683686</v>
      </c>
    </row>
    <row r="545" spans="1:5" ht="15">
      <c r="A545" s="13">
        <v>58106</v>
      </c>
      <c r="B545" s="4">
        <f>52.3593 * CHOOSE(CONTROL!$C$9, $C$13, 100%, $E$13) + CHOOSE(CONTROL!$C$28, 0.0003, 0)</f>
        <v>52.3596</v>
      </c>
      <c r="C545" s="4">
        <f>52.0468 * CHOOSE(CONTROL!$C$9, $C$13, 100%, $E$13) + CHOOSE(CONTROL!$C$28, 0.0003, 0)</f>
        <v>52.0471</v>
      </c>
      <c r="D545" s="4">
        <f>54.4957 * CHOOSE(CONTROL!$C$9, $C$13, 100%, $E$13) + CHOOSE(CONTROL!$C$28, 0, 0)</f>
        <v>54.495699999999999</v>
      </c>
      <c r="E545" s="4">
        <f>302.07788475171 * CHOOSE(CONTROL!$C$9, $C$13, 100%, $E$13) + CHOOSE(CONTROL!$C$28, 0, 0)</f>
        <v>302.07788475170997</v>
      </c>
    </row>
    <row r="546" spans="1:5" ht="15">
      <c r="A546" s="13">
        <v>58134</v>
      </c>
      <c r="B546" s="4">
        <f>53.558 * CHOOSE(CONTROL!$C$9, $C$13, 100%, $E$13) + CHOOSE(CONTROL!$C$28, 0.0003, 0)</f>
        <v>53.558300000000003</v>
      </c>
      <c r="C546" s="4">
        <f>53.2455 * CHOOSE(CONTROL!$C$9, $C$13, 100%, $E$13) + CHOOSE(CONTROL!$C$28, 0.0003, 0)</f>
        <v>53.245800000000003</v>
      </c>
      <c r="D546" s="4">
        <f>56.3822 * CHOOSE(CONTROL!$C$9, $C$13, 100%, $E$13) + CHOOSE(CONTROL!$C$28, 0, 0)</f>
        <v>56.382199999999997</v>
      </c>
      <c r="E546" s="4">
        <f>309.250404197303 * CHOOSE(CONTROL!$C$9, $C$13, 100%, $E$13) + CHOOSE(CONTROL!$C$28, 0, 0)</f>
        <v>309.250404197303</v>
      </c>
    </row>
    <row r="547" spans="1:5" ht="15">
      <c r="A547" s="13">
        <v>58165</v>
      </c>
      <c r="B547" s="4">
        <f>56.7059 * CHOOSE(CONTROL!$C$9, $C$13, 100%, $E$13) + CHOOSE(CONTROL!$C$28, 0.0003, 0)</f>
        <v>56.706200000000003</v>
      </c>
      <c r="C547" s="4">
        <f>56.3934 * CHOOSE(CONTROL!$C$9, $C$13, 100%, $E$13) + CHOOSE(CONTROL!$C$28, 0.0003, 0)</f>
        <v>56.393700000000003</v>
      </c>
      <c r="D547" s="4">
        <f>59.3354 * CHOOSE(CONTROL!$C$9, $C$13, 100%, $E$13) + CHOOSE(CONTROL!$C$28, 0, 0)</f>
        <v>59.3354</v>
      </c>
      <c r="E547" s="4">
        <f>328.085821432264 * CHOOSE(CONTROL!$C$9, $C$13, 100%, $E$13) + CHOOSE(CONTROL!$C$28, 0, 0)</f>
        <v>328.08582143226403</v>
      </c>
    </row>
    <row r="548" spans="1:5" ht="15">
      <c r="A548" s="13">
        <v>58195</v>
      </c>
      <c r="B548" s="4">
        <f>58.9425 * CHOOSE(CONTROL!$C$9, $C$13, 100%, $E$13) + CHOOSE(CONTROL!$C$28, 0.0003, 0)</f>
        <v>58.942800000000005</v>
      </c>
      <c r="C548" s="4">
        <f>58.63 * CHOOSE(CONTROL!$C$9, $C$13, 100%, $E$13) + CHOOSE(CONTROL!$C$28, 0.0003, 0)</f>
        <v>58.630300000000005</v>
      </c>
      <c r="D548" s="4">
        <f>61.0365 * CHOOSE(CONTROL!$C$9, $C$13, 100%, $E$13) + CHOOSE(CONTROL!$C$28, 0, 0)</f>
        <v>61.036499999999997</v>
      </c>
      <c r="E548" s="4">
        <f>341.468636392642 * CHOOSE(CONTROL!$C$9, $C$13, 100%, $E$13) + CHOOSE(CONTROL!$C$28, 0, 0)</f>
        <v>341.468636392642</v>
      </c>
    </row>
    <row r="549" spans="1:5" ht="15">
      <c r="A549" s="13">
        <v>58226</v>
      </c>
      <c r="B549" s="4">
        <f>60.309 * CHOOSE(CONTROL!$C$9, $C$13, 100%, $E$13) + CHOOSE(CONTROL!$C$28, 0.0271, 0)</f>
        <v>60.336099999999995</v>
      </c>
      <c r="C549" s="4">
        <f>59.9965 * CHOOSE(CONTROL!$C$9, $C$13, 100%, $E$13) + CHOOSE(CONTROL!$C$28, 0.0271, 0)</f>
        <v>60.023599999999995</v>
      </c>
      <c r="D549" s="4">
        <f>60.3643 * CHOOSE(CONTROL!$C$9, $C$13, 100%, $E$13) + CHOOSE(CONTROL!$C$28, 0, 0)</f>
        <v>60.3643</v>
      </c>
      <c r="E549" s="4">
        <f>349.645215592123 * CHOOSE(CONTROL!$C$9, $C$13, 100%, $E$13) + CHOOSE(CONTROL!$C$28, 0, 0)</f>
        <v>349.64521559212301</v>
      </c>
    </row>
    <row r="550" spans="1:5" ht="15">
      <c r="A550" s="13">
        <v>58256</v>
      </c>
      <c r="B550" s="4">
        <f>60.4939 * CHOOSE(CONTROL!$C$9, $C$13, 100%, $E$13) + CHOOSE(CONTROL!$C$28, 0.0271, 0)</f>
        <v>60.520999999999994</v>
      </c>
      <c r="C550" s="4">
        <f>60.1814 * CHOOSE(CONTROL!$C$9, $C$13, 100%, $E$13) + CHOOSE(CONTROL!$C$28, 0.0271, 0)</f>
        <v>60.208499999999994</v>
      </c>
      <c r="D550" s="4">
        <f>60.9118 * CHOOSE(CONTROL!$C$9, $C$13, 100%, $E$13) + CHOOSE(CONTROL!$C$28, 0, 0)</f>
        <v>60.911799999999999</v>
      </c>
      <c r="E550" s="4">
        <f>350.751540691313 * CHOOSE(CONTROL!$C$9, $C$13, 100%, $E$13) + CHOOSE(CONTROL!$C$28, 0, 0)</f>
        <v>350.75154069131298</v>
      </c>
    </row>
    <row r="551" spans="1:5" ht="15">
      <c r="A551" s="13">
        <v>58287</v>
      </c>
      <c r="B551" s="4">
        <f>60.4752 * CHOOSE(CONTROL!$C$9, $C$13, 100%, $E$13) + CHOOSE(CONTROL!$C$28, 0.0271, 0)</f>
        <v>60.502299999999998</v>
      </c>
      <c r="C551" s="4">
        <f>60.1627 * CHOOSE(CONTROL!$C$9, $C$13, 100%, $E$13) + CHOOSE(CONTROL!$C$28, 0.0271, 0)</f>
        <v>60.189799999999998</v>
      </c>
      <c r="D551" s="4">
        <f>61.8996 * CHOOSE(CONTROL!$C$9, $C$13, 100%, $E$13) + CHOOSE(CONTROL!$C$28, 0, 0)</f>
        <v>61.8996</v>
      </c>
      <c r="E551" s="4">
        <f>350.639978496437 * CHOOSE(CONTROL!$C$9, $C$13, 100%, $E$13) + CHOOSE(CONTROL!$C$28, 0, 0)</f>
        <v>350.63997849643698</v>
      </c>
    </row>
    <row r="552" spans="1:5" ht="15">
      <c r="A552" s="13">
        <v>58318</v>
      </c>
      <c r="B552" s="4">
        <f>61.8782 * CHOOSE(CONTROL!$C$9, $C$13, 100%, $E$13) + CHOOSE(CONTROL!$C$28, 0.0271, 0)</f>
        <v>61.905299999999997</v>
      </c>
      <c r="C552" s="4">
        <f>61.5657 * CHOOSE(CONTROL!$C$9, $C$13, 100%, $E$13) + CHOOSE(CONTROL!$C$28, 0.0271, 0)</f>
        <v>61.592799999999997</v>
      </c>
      <c r="D552" s="4">
        <f>61.2473 * CHOOSE(CONTROL!$C$9, $C$13, 100%, $E$13) + CHOOSE(CONTROL!$C$28, 0, 0)</f>
        <v>61.247300000000003</v>
      </c>
      <c r="E552" s="4">
        <f>359.035033660884 * CHOOSE(CONTROL!$C$9, $C$13, 100%, $E$13) + CHOOSE(CONTROL!$C$28, 0, 0)</f>
        <v>359.03503366088398</v>
      </c>
    </row>
    <row r="553" spans="1:5" ht="15">
      <c r="A553" s="13">
        <v>58348</v>
      </c>
      <c r="B553" s="4">
        <f>59.4871 * CHOOSE(CONTROL!$C$9, $C$13, 100%, $E$13) + CHOOSE(CONTROL!$C$28, 0.0271, 0)</f>
        <v>59.514199999999995</v>
      </c>
      <c r="C553" s="4">
        <f>59.1746 * CHOOSE(CONTROL!$C$9, $C$13, 100%, $E$13) + CHOOSE(CONTROL!$C$28, 0.0271, 0)</f>
        <v>59.201699999999995</v>
      </c>
      <c r="D553" s="4">
        <f>60.939 * CHOOSE(CONTROL!$C$9, $C$13, 100%, $E$13) + CHOOSE(CONTROL!$C$28, 0, 0)</f>
        <v>60.939</v>
      </c>
      <c r="E553" s="4">
        <f>344.727182167989 * CHOOSE(CONTROL!$C$9, $C$13, 100%, $E$13) + CHOOSE(CONTROL!$C$28, 0, 0)</f>
        <v>344.72718216798899</v>
      </c>
    </row>
    <row r="554" spans="1:5" ht="15">
      <c r="A554" s="13">
        <v>58379</v>
      </c>
      <c r="B554" s="4">
        <f>57.5729 * CHOOSE(CONTROL!$C$9, $C$13, 100%, $E$13) + CHOOSE(CONTROL!$C$28, 0.0003, 0)</f>
        <v>57.5732</v>
      </c>
      <c r="C554" s="4">
        <f>57.2604 * CHOOSE(CONTROL!$C$9, $C$13, 100%, $E$13) + CHOOSE(CONTROL!$C$28, 0.0003, 0)</f>
        <v>57.2607</v>
      </c>
      <c r="D554" s="4">
        <f>60.1137 * CHOOSE(CONTROL!$C$9, $C$13, 100%, $E$13) + CHOOSE(CONTROL!$C$28, 0, 0)</f>
        <v>60.113700000000001</v>
      </c>
      <c r="E554" s="4">
        <f>333.273463494015 * CHOOSE(CONTROL!$C$9, $C$13, 100%, $E$13) + CHOOSE(CONTROL!$C$28, 0, 0)</f>
        <v>333.273463494015</v>
      </c>
    </row>
    <row r="555" spans="1:5" ht="15">
      <c r="A555" s="13">
        <v>58409</v>
      </c>
      <c r="B555" s="4">
        <f>56.34 * CHOOSE(CONTROL!$C$9, $C$13, 100%, $E$13) + CHOOSE(CONTROL!$C$28, 0.0003, 0)</f>
        <v>56.340300000000006</v>
      </c>
      <c r="C555" s="4">
        <f>56.0275 * CHOOSE(CONTROL!$C$9, $C$13, 100%, $E$13) + CHOOSE(CONTROL!$C$28, 0.0003, 0)</f>
        <v>56.027800000000006</v>
      </c>
      <c r="D555" s="4">
        <f>59.83 * CHOOSE(CONTROL!$C$9, $C$13, 100%, $E$13) + CHOOSE(CONTROL!$C$28, 0, 0)</f>
        <v>59.83</v>
      </c>
      <c r="E555" s="4">
        <f>325.896413357815 * CHOOSE(CONTROL!$C$9, $C$13, 100%, $E$13) + CHOOSE(CONTROL!$C$28, 0, 0)</f>
        <v>325.89641335781499</v>
      </c>
    </row>
    <row r="556" spans="1:5" ht="15">
      <c r="A556" s="13">
        <v>58440</v>
      </c>
      <c r="B556" s="4">
        <f>55.487 * CHOOSE(CONTROL!$C$9, $C$13, 100%, $E$13) + CHOOSE(CONTROL!$C$28, 0.0003, 0)</f>
        <v>55.487300000000005</v>
      </c>
      <c r="C556" s="4">
        <f>55.1745 * CHOOSE(CONTROL!$C$9, $C$13, 100%, $E$13) + CHOOSE(CONTROL!$C$28, 0.0003, 0)</f>
        <v>55.174800000000005</v>
      </c>
      <c r="D556" s="4">
        <f>57.7411 * CHOOSE(CONTROL!$C$9, $C$13, 100%, $E$13) + CHOOSE(CONTROL!$C$28, 0, 0)</f>
        <v>57.741100000000003</v>
      </c>
      <c r="E556" s="4">
        <f>320.792442942221 * CHOOSE(CONTROL!$C$9, $C$13, 100%, $E$13) + CHOOSE(CONTROL!$C$28, 0, 0)</f>
        <v>320.79244294222099</v>
      </c>
    </row>
    <row r="557" spans="1:5" ht="15">
      <c r="A557" s="13">
        <v>58471</v>
      </c>
      <c r="B557" s="4">
        <f>54.1011 * CHOOSE(CONTROL!$C$9, $C$13, 100%, $E$13) + CHOOSE(CONTROL!$C$28, 0.0003, 0)</f>
        <v>54.101400000000005</v>
      </c>
      <c r="C557" s="4">
        <f>53.7886 * CHOOSE(CONTROL!$C$9, $C$13, 100%, $E$13) + CHOOSE(CONTROL!$C$28, 0.0003, 0)</f>
        <v>53.788900000000005</v>
      </c>
      <c r="D557" s="4">
        <f>55.8213 * CHOOSE(CONTROL!$C$9, $C$13, 100%, $E$13) + CHOOSE(CONTROL!$C$28, 0, 0)</f>
        <v>55.821300000000001</v>
      </c>
      <c r="E557" s="4">
        <f>311.593338121389 * CHOOSE(CONTROL!$C$9, $C$13, 100%, $E$13) + CHOOSE(CONTROL!$C$28, 0, 0)</f>
        <v>311.59333812138902</v>
      </c>
    </row>
    <row r="558" spans="1:5" ht="15">
      <c r="A558" s="13">
        <v>58499</v>
      </c>
      <c r="B558" s="4">
        <f>55.3411 * CHOOSE(CONTROL!$C$9, $C$13, 100%, $E$13) + CHOOSE(CONTROL!$C$28, 0.0003, 0)</f>
        <v>55.3414</v>
      </c>
      <c r="C558" s="4">
        <f>55.0286 * CHOOSE(CONTROL!$C$9, $C$13, 100%, $E$13) + CHOOSE(CONTROL!$C$28, 0.0003, 0)</f>
        <v>55.0289</v>
      </c>
      <c r="D558" s="4">
        <f>57.7546 * CHOOSE(CONTROL!$C$9, $C$13, 100%, $E$13) + CHOOSE(CONTROL!$C$28, 0, 0)</f>
        <v>57.754600000000003</v>
      </c>
      <c r="E558" s="4">
        <f>318.991791929518 * CHOOSE(CONTROL!$C$9, $C$13, 100%, $E$13) + CHOOSE(CONTROL!$C$28, 0, 0)</f>
        <v>318.991791929518</v>
      </c>
    </row>
    <row r="559" spans="1:5" ht="15">
      <c r="A559" s="13">
        <v>58531</v>
      </c>
      <c r="B559" s="4">
        <f>58.5976 * CHOOSE(CONTROL!$C$9, $C$13, 100%, $E$13) + CHOOSE(CONTROL!$C$28, 0.0003, 0)</f>
        <v>58.597900000000003</v>
      </c>
      <c r="C559" s="4">
        <f>58.2851 * CHOOSE(CONTROL!$C$9, $C$13, 100%, $E$13) + CHOOSE(CONTROL!$C$28, 0.0003, 0)</f>
        <v>58.285400000000003</v>
      </c>
      <c r="D559" s="4">
        <f>60.781 * CHOOSE(CONTROL!$C$9, $C$13, 100%, $E$13) + CHOOSE(CONTROL!$C$28, 0, 0)</f>
        <v>60.780999999999999</v>
      </c>
      <c r="E559" s="4">
        <f>338.42052480738 * CHOOSE(CONTROL!$C$9, $C$13, 100%, $E$13) + CHOOSE(CONTROL!$C$28, 0, 0)</f>
        <v>338.42052480737999</v>
      </c>
    </row>
    <row r="560" spans="1:5" ht="15">
      <c r="A560" s="13">
        <v>58561</v>
      </c>
      <c r="B560" s="4">
        <f>60.9113 * CHOOSE(CONTROL!$C$9, $C$13, 100%, $E$13) + CHOOSE(CONTROL!$C$28, 0.0003, 0)</f>
        <v>60.9116</v>
      </c>
      <c r="C560" s="4">
        <f>60.5988 * CHOOSE(CONTROL!$C$9, $C$13, 100%, $E$13) + CHOOSE(CONTROL!$C$28, 0.0003, 0)</f>
        <v>60.5991</v>
      </c>
      <c r="D560" s="4">
        <f>62.5244 * CHOOSE(CONTROL!$C$9, $C$13, 100%, $E$13) + CHOOSE(CONTROL!$C$28, 0, 0)</f>
        <v>62.5244</v>
      </c>
      <c r="E560" s="4">
        <f>352.22489843901 * CHOOSE(CONTROL!$C$9, $C$13, 100%, $E$13) + CHOOSE(CONTROL!$C$28, 0, 0)</f>
        <v>352.22489843901002</v>
      </c>
    </row>
    <row r="561" spans="1:5" ht="15">
      <c r="A561" s="13">
        <v>58592</v>
      </c>
      <c r="B561" s="4">
        <f>62.3249 * CHOOSE(CONTROL!$C$9, $C$13, 100%, $E$13) + CHOOSE(CONTROL!$C$28, 0.0271, 0)</f>
        <v>62.351999999999997</v>
      </c>
      <c r="C561" s="4">
        <f>62.0124 * CHOOSE(CONTROL!$C$9, $C$13, 100%, $E$13) + CHOOSE(CONTROL!$C$28, 0.0271, 0)</f>
        <v>62.039499999999997</v>
      </c>
      <c r="D561" s="4">
        <f>61.8355 * CHOOSE(CONTROL!$C$9, $C$13, 100%, $E$13) + CHOOSE(CONTROL!$C$28, 0, 0)</f>
        <v>61.835500000000003</v>
      </c>
      <c r="E561" s="4">
        <f>360.659039883275 * CHOOSE(CONTROL!$C$9, $C$13, 100%, $E$13) + CHOOSE(CONTROL!$C$28, 0, 0)</f>
        <v>360.659039883275</v>
      </c>
    </row>
    <row r="562" spans="1:5" ht="15">
      <c r="A562" s="13">
        <v>58622</v>
      </c>
      <c r="B562" s="4">
        <f>62.5162 * CHOOSE(CONTROL!$C$9, $C$13, 100%, $E$13) + CHOOSE(CONTROL!$C$28, 0.0271, 0)</f>
        <v>62.543299999999995</v>
      </c>
      <c r="C562" s="4">
        <f>62.2037 * CHOOSE(CONTROL!$C$9, $C$13, 100%, $E$13) + CHOOSE(CONTROL!$C$28, 0.0271, 0)</f>
        <v>62.230799999999995</v>
      </c>
      <c r="D562" s="4">
        <f>62.3965 * CHOOSE(CONTROL!$C$9, $C$13, 100%, $E$13) + CHOOSE(CONTROL!$C$28, 0, 0)</f>
        <v>62.396500000000003</v>
      </c>
      <c r="E562" s="4">
        <f>361.80021422309 * CHOOSE(CONTROL!$C$9, $C$13, 100%, $E$13) + CHOOSE(CONTROL!$C$28, 0, 0)</f>
        <v>361.80021422308999</v>
      </c>
    </row>
    <row r="563" spans="1:5" ht="15">
      <c r="A563" s="13">
        <v>58653</v>
      </c>
      <c r="B563" s="4">
        <f>62.4969 * CHOOSE(CONTROL!$C$9, $C$13, 100%, $E$13) + CHOOSE(CONTROL!$C$28, 0.0271, 0)</f>
        <v>62.523999999999994</v>
      </c>
      <c r="C563" s="4">
        <f>62.1844 * CHOOSE(CONTROL!$C$9, $C$13, 100%, $E$13) + CHOOSE(CONTROL!$C$28, 0.0271, 0)</f>
        <v>62.211499999999994</v>
      </c>
      <c r="D563" s="4">
        <f>63.4088 * CHOOSE(CONTROL!$C$9, $C$13, 100%, $E$13) + CHOOSE(CONTROL!$C$28, 0, 0)</f>
        <v>63.408799999999999</v>
      </c>
      <c r="E563" s="4">
        <f>361.685137819075 * CHOOSE(CONTROL!$C$9, $C$13, 100%, $E$13) + CHOOSE(CONTROL!$C$28, 0, 0)</f>
        <v>361.68513781907501</v>
      </c>
    </row>
    <row r="564" spans="1:5" ht="15">
      <c r="A564" s="13">
        <v>58684</v>
      </c>
      <c r="B564" s="4">
        <f>63.9483 * CHOOSE(CONTROL!$C$9, $C$13, 100%, $E$13) + CHOOSE(CONTROL!$C$28, 0.0271, 0)</f>
        <v>63.9754</v>
      </c>
      <c r="C564" s="4">
        <f>63.6358 * CHOOSE(CONTROL!$C$9, $C$13, 100%, $E$13) + CHOOSE(CONTROL!$C$28, 0.0271, 0)</f>
        <v>63.6629</v>
      </c>
      <c r="D564" s="4">
        <f>62.7403 * CHOOSE(CONTROL!$C$9, $C$13, 100%, $E$13) + CHOOSE(CONTROL!$C$28, 0, 0)</f>
        <v>62.740299999999998</v>
      </c>
      <c r="E564" s="4">
        <f>370.344637221202 * CHOOSE(CONTROL!$C$9, $C$13, 100%, $E$13) + CHOOSE(CONTROL!$C$28, 0, 0)</f>
        <v>370.34463722120199</v>
      </c>
    </row>
    <row r="565" spans="1:5" ht="15">
      <c r="A565" s="13">
        <v>58714</v>
      </c>
      <c r="B565" s="4">
        <f>61.4747 * CHOOSE(CONTROL!$C$9, $C$13, 100%, $E$13) + CHOOSE(CONTROL!$C$28, 0.0271, 0)</f>
        <v>61.501799999999996</v>
      </c>
      <c r="C565" s="4">
        <f>61.1622 * CHOOSE(CONTROL!$C$9, $C$13, 100%, $E$13) + CHOOSE(CONTROL!$C$28, 0.0271, 0)</f>
        <v>61.189299999999996</v>
      </c>
      <c r="D565" s="4">
        <f>62.4244 * CHOOSE(CONTROL!$C$9, $C$13, 100%, $E$13) + CHOOSE(CONTROL!$C$28, 0, 0)</f>
        <v>62.424399999999999</v>
      </c>
      <c r="E565" s="4">
        <f>355.586088406281 * CHOOSE(CONTROL!$C$9, $C$13, 100%, $E$13) + CHOOSE(CONTROL!$C$28, 0, 0)</f>
        <v>355.58608840628102</v>
      </c>
    </row>
    <row r="566" spans="1:5" ht="15">
      <c r="A566" s="13">
        <v>58745</v>
      </c>
      <c r="B566" s="4">
        <f>59.4944 * CHOOSE(CONTROL!$C$9, $C$13, 100%, $E$13) + CHOOSE(CONTROL!$C$28, 0.0003, 0)</f>
        <v>59.494700000000002</v>
      </c>
      <c r="C566" s="4">
        <f>59.1819 * CHOOSE(CONTROL!$C$9, $C$13, 100%, $E$13) + CHOOSE(CONTROL!$C$28, 0.0003, 0)</f>
        <v>59.182200000000002</v>
      </c>
      <c r="D566" s="4">
        <f>61.5787 * CHOOSE(CONTROL!$C$9, $C$13, 100%, $E$13) + CHOOSE(CONTROL!$C$28, 0, 0)</f>
        <v>61.578699999999998</v>
      </c>
      <c r="E566" s="4">
        <f>343.771577594077 * CHOOSE(CONTROL!$C$9, $C$13, 100%, $E$13) + CHOOSE(CONTROL!$C$28, 0, 0)</f>
        <v>343.77157759407697</v>
      </c>
    </row>
    <row r="567" spans="1:5" ht="15">
      <c r="A567" s="13">
        <v>58775</v>
      </c>
      <c r="B567" s="4">
        <f>58.219 * CHOOSE(CONTROL!$C$9, $C$13, 100%, $E$13) + CHOOSE(CONTROL!$C$28, 0.0003, 0)</f>
        <v>58.219300000000004</v>
      </c>
      <c r="C567" s="4">
        <f>57.9065 * CHOOSE(CONTROL!$C$9, $C$13, 100%, $E$13) + CHOOSE(CONTROL!$C$28, 0.0003, 0)</f>
        <v>57.906800000000004</v>
      </c>
      <c r="D567" s="4">
        <f>61.2879 * CHOOSE(CONTROL!$C$9, $C$13, 100%, $E$13) + CHOOSE(CONTROL!$C$28, 0, 0)</f>
        <v>61.2879</v>
      </c>
      <c r="E567" s="4">
        <f>336.162150378586 * CHOOSE(CONTROL!$C$9, $C$13, 100%, $E$13) + CHOOSE(CONTROL!$C$28, 0, 0)</f>
        <v>336.16215037858598</v>
      </c>
    </row>
    <row r="568" spans="1:5" ht="15">
      <c r="A568" s="13">
        <v>58806</v>
      </c>
      <c r="B568" s="4">
        <f>57.3366 * CHOOSE(CONTROL!$C$9, $C$13, 100%, $E$13) + CHOOSE(CONTROL!$C$28, 0.0003, 0)</f>
        <v>57.3369</v>
      </c>
      <c r="C568" s="4">
        <f>57.0241 * CHOOSE(CONTROL!$C$9, $C$13, 100%, $E$13) + CHOOSE(CONTROL!$C$28, 0.0003, 0)</f>
        <v>57.0244</v>
      </c>
      <c r="D568" s="4">
        <f>59.1472 * CHOOSE(CONTROL!$C$9, $C$13, 100%, $E$13) + CHOOSE(CONTROL!$C$28, 0, 0)</f>
        <v>59.147199999999998</v>
      </c>
      <c r="E568" s="4">
        <f>330.897404894901 * CHOOSE(CONTROL!$C$9, $C$13, 100%, $E$13) + CHOOSE(CONTROL!$C$28, 0, 0)</f>
        <v>330.897404894901</v>
      </c>
    </row>
    <row r="569" spans="1:5" ht="15">
      <c r="A569" s="13">
        <v>58837</v>
      </c>
      <c r="B569" s="4">
        <f>55.9029 * CHOOSE(CONTROL!$C$9, $C$13, 100%, $E$13) + CHOOSE(CONTROL!$C$28, 0.0003, 0)</f>
        <v>55.903200000000005</v>
      </c>
      <c r="C569" s="4">
        <f>55.5904 * CHOOSE(CONTROL!$C$9, $C$13, 100%, $E$13) + CHOOSE(CONTROL!$C$28, 0.0003, 0)</f>
        <v>55.590700000000005</v>
      </c>
      <c r="D569" s="4">
        <f>57.1798 * CHOOSE(CONTROL!$C$9, $C$13, 100%, $E$13) + CHOOSE(CONTROL!$C$28, 0, 0)</f>
        <v>57.1798</v>
      </c>
      <c r="E569" s="4">
        <f>321.408528272212 * CHOOSE(CONTROL!$C$9, $C$13, 100%, $E$13) + CHOOSE(CONTROL!$C$28, 0, 0)</f>
        <v>321.40852827221198</v>
      </c>
    </row>
    <row r="570" spans="1:5" ht="15">
      <c r="A570" s="13">
        <v>58865</v>
      </c>
      <c r="B570" s="4">
        <f>57.1857 * CHOOSE(CONTROL!$C$9, $C$13, 100%, $E$13) + CHOOSE(CONTROL!$C$28, 0.0003, 0)</f>
        <v>57.186</v>
      </c>
      <c r="C570" s="4">
        <f>56.8732 * CHOOSE(CONTROL!$C$9, $C$13, 100%, $E$13) + CHOOSE(CONTROL!$C$28, 0.0003, 0)</f>
        <v>56.8735</v>
      </c>
      <c r="D570" s="4">
        <f>59.161 * CHOOSE(CONTROL!$C$9, $C$13, 100%, $E$13) + CHOOSE(CONTROL!$C$28, 0, 0)</f>
        <v>59.161000000000001</v>
      </c>
      <c r="E570" s="4">
        <f>329.040033375298 * CHOOSE(CONTROL!$C$9, $C$13, 100%, $E$13) + CHOOSE(CONTROL!$C$28, 0, 0)</f>
        <v>329.04003337529798</v>
      </c>
    </row>
    <row r="571" spans="1:5" ht="15">
      <c r="A571" s="13">
        <v>58893</v>
      </c>
      <c r="B571" s="4">
        <f>60.5545 * CHOOSE(CONTROL!$C$9, $C$13, 100%, $E$13) + CHOOSE(CONTROL!$C$28, 0.0003, 0)</f>
        <v>60.5548</v>
      </c>
      <c r="C571" s="4">
        <f>60.242 * CHOOSE(CONTROL!$C$9, $C$13, 100%, $E$13) + CHOOSE(CONTROL!$C$28, 0.0003, 0)</f>
        <v>60.2423</v>
      </c>
      <c r="D571" s="4">
        <f>62.2625 * CHOOSE(CONTROL!$C$9, $C$13, 100%, $E$13) + CHOOSE(CONTROL!$C$28, 0, 0)</f>
        <v>62.262500000000003</v>
      </c>
      <c r="E571" s="4">
        <f>349.080771338813 * CHOOSE(CONTROL!$C$9, $C$13, 100%, $E$13) + CHOOSE(CONTROL!$C$28, 0, 0)</f>
        <v>349.08077133881301</v>
      </c>
    </row>
    <row r="572" spans="1:5" ht="15">
      <c r="A572" s="13">
        <v>58926</v>
      </c>
      <c r="B572" s="4">
        <f>62.9481 * CHOOSE(CONTROL!$C$9, $C$13, 100%, $E$13) + CHOOSE(CONTROL!$C$28, 0.0003, 0)</f>
        <v>62.948399999999999</v>
      </c>
      <c r="C572" s="4">
        <f>62.6356 * CHOOSE(CONTROL!$C$9, $C$13, 100%, $E$13) + CHOOSE(CONTROL!$C$28, 0.0003, 0)</f>
        <v>62.635899999999999</v>
      </c>
      <c r="D572" s="4">
        <f>64.0491 * CHOOSE(CONTROL!$C$9, $C$13, 100%, $E$13) + CHOOSE(CONTROL!$C$28, 0, 0)</f>
        <v>64.049099999999996</v>
      </c>
      <c r="E572" s="4">
        <f>363.319982739839 * CHOOSE(CONTROL!$C$9, $C$13, 100%, $E$13) + CHOOSE(CONTROL!$C$28, 0, 0)</f>
        <v>363.31998273983902</v>
      </c>
    </row>
    <row r="573" spans="1:5" ht="15">
      <c r="A573" s="13">
        <v>58957</v>
      </c>
      <c r="B573" s="4">
        <f>64.4105 * CHOOSE(CONTROL!$C$9, $C$13, 100%, $E$13) + CHOOSE(CONTROL!$C$28, 0.0271, 0)</f>
        <v>64.437600000000003</v>
      </c>
      <c r="C573" s="4">
        <f>64.098 * CHOOSE(CONTROL!$C$9, $C$13, 100%, $E$13) + CHOOSE(CONTROL!$C$28, 0.0271, 0)</f>
        <v>64.125100000000003</v>
      </c>
      <c r="D573" s="4">
        <f>63.3431 * CHOOSE(CONTROL!$C$9, $C$13, 100%, $E$13) + CHOOSE(CONTROL!$C$28, 0, 0)</f>
        <v>63.3431</v>
      </c>
      <c r="E573" s="4">
        <f>372.019799639598 * CHOOSE(CONTROL!$C$9, $C$13, 100%, $E$13) + CHOOSE(CONTROL!$C$28, 0, 0)</f>
        <v>372.01979963959798</v>
      </c>
    </row>
    <row r="574" spans="1:5" ht="15">
      <c r="A574" s="13">
        <v>58987</v>
      </c>
      <c r="B574" s="4">
        <f>64.6083 * CHOOSE(CONTROL!$C$9, $C$13, 100%, $E$13) + CHOOSE(CONTROL!$C$28, 0.0271, 0)</f>
        <v>64.635400000000004</v>
      </c>
      <c r="C574" s="4">
        <f>64.2958 * CHOOSE(CONTROL!$C$9, $C$13, 100%, $E$13) + CHOOSE(CONTROL!$C$28, 0.0271, 0)</f>
        <v>64.322900000000004</v>
      </c>
      <c r="D574" s="4">
        <f>63.9181 * CHOOSE(CONTROL!$C$9, $C$13, 100%, $E$13) + CHOOSE(CONTROL!$C$28, 0, 0)</f>
        <v>63.918100000000003</v>
      </c>
      <c r="E574" s="4">
        <f>373.196920971117 * CHOOSE(CONTROL!$C$9, $C$13, 100%, $E$13) + CHOOSE(CONTROL!$C$28, 0, 0)</f>
        <v>373.19692097111698</v>
      </c>
    </row>
    <row r="575" spans="1:5" ht="15">
      <c r="A575" s="13">
        <v>59018</v>
      </c>
      <c r="B575" s="4">
        <f>64.5884 * CHOOSE(CONTROL!$C$9, $C$13, 100%, $E$13) + CHOOSE(CONTROL!$C$28, 0.0271, 0)</f>
        <v>64.615499999999997</v>
      </c>
      <c r="C575" s="4">
        <f>64.2759 * CHOOSE(CONTROL!$C$9, $C$13, 100%, $E$13) + CHOOSE(CONTROL!$C$28, 0.0271, 0)</f>
        <v>64.302999999999997</v>
      </c>
      <c r="D575" s="4">
        <f>64.9555 * CHOOSE(CONTROL!$C$9, $C$13, 100%, $E$13) + CHOOSE(CONTROL!$C$28, 0, 0)</f>
        <v>64.955500000000001</v>
      </c>
      <c r="E575" s="4">
        <f>373.078219660376 * CHOOSE(CONTROL!$C$9, $C$13, 100%, $E$13) + CHOOSE(CONTROL!$C$28, 0, 0)</f>
        <v>373.07821966037602</v>
      </c>
    </row>
    <row r="576" spans="1:5" ht="15">
      <c r="A576" s="13">
        <v>59049</v>
      </c>
      <c r="B576" s="4">
        <f>66.0899 * CHOOSE(CONTROL!$C$9, $C$13, 100%, $E$13) + CHOOSE(CONTROL!$C$28, 0.0271, 0)</f>
        <v>66.117000000000004</v>
      </c>
      <c r="C576" s="4">
        <f>65.7774 * CHOOSE(CONTROL!$C$9, $C$13, 100%, $E$13) + CHOOSE(CONTROL!$C$28, 0.0271, 0)</f>
        <v>65.804500000000004</v>
      </c>
      <c r="D576" s="4">
        <f>64.2704 * CHOOSE(CONTROL!$C$9, $C$13, 100%, $E$13) + CHOOSE(CONTROL!$C$28, 0, 0)</f>
        <v>64.270399999999995</v>
      </c>
      <c r="E576" s="4">
        <f>382.01049329367 * CHOOSE(CONTROL!$C$9, $C$13, 100%, $E$13) + CHOOSE(CONTROL!$C$28, 0, 0)</f>
        <v>382.01049329366998</v>
      </c>
    </row>
    <row r="577" spans="1:5" ht="15">
      <c r="A577" s="13">
        <v>59079</v>
      </c>
      <c r="B577" s="4">
        <f>63.5309 * CHOOSE(CONTROL!$C$9, $C$13, 100%, $E$13) + CHOOSE(CONTROL!$C$28, 0.0271, 0)</f>
        <v>63.558</v>
      </c>
      <c r="C577" s="4">
        <f>63.2184 * CHOOSE(CONTROL!$C$9, $C$13, 100%, $E$13) + CHOOSE(CONTROL!$C$28, 0.0271, 0)</f>
        <v>63.2455</v>
      </c>
      <c r="D577" s="4">
        <f>63.9467 * CHOOSE(CONTROL!$C$9, $C$13, 100%, $E$13) + CHOOSE(CONTROL!$C$28, 0, 0)</f>
        <v>63.9467</v>
      </c>
      <c r="E577" s="4">
        <f>366.787050191079 * CHOOSE(CONTROL!$C$9, $C$13, 100%, $E$13) + CHOOSE(CONTROL!$C$28, 0, 0)</f>
        <v>366.787050191079</v>
      </c>
    </row>
    <row r="578" spans="1:5" ht="15">
      <c r="A578" s="13">
        <v>59110</v>
      </c>
      <c r="B578" s="4">
        <f>61.4823 * CHOOSE(CONTROL!$C$9, $C$13, 100%, $E$13) + CHOOSE(CONTROL!$C$28, 0.0003, 0)</f>
        <v>61.482600000000005</v>
      </c>
      <c r="C578" s="4">
        <f>61.1698 * CHOOSE(CONTROL!$C$9, $C$13, 100%, $E$13) + CHOOSE(CONTROL!$C$28, 0.0003, 0)</f>
        <v>61.170100000000005</v>
      </c>
      <c r="D578" s="4">
        <f>63.0799 * CHOOSE(CONTROL!$C$9, $C$13, 100%, $E$13) + CHOOSE(CONTROL!$C$28, 0, 0)</f>
        <v>63.079900000000002</v>
      </c>
      <c r="E578" s="4">
        <f>354.60038228829 * CHOOSE(CONTROL!$C$9, $C$13, 100%, $E$13) + CHOOSE(CONTROL!$C$28, 0, 0)</f>
        <v>354.60038228829001</v>
      </c>
    </row>
    <row r="579" spans="1:5" ht="15">
      <c r="A579" s="13">
        <v>59140</v>
      </c>
      <c r="B579" s="4">
        <f>60.1629 * CHOOSE(CONTROL!$C$9, $C$13, 100%, $E$13) + CHOOSE(CONTROL!$C$28, 0.0003, 0)</f>
        <v>60.163200000000003</v>
      </c>
      <c r="C579" s="4">
        <f>59.8504 * CHOOSE(CONTROL!$C$9, $C$13, 100%, $E$13) + CHOOSE(CONTROL!$C$28, 0.0003, 0)</f>
        <v>59.850700000000003</v>
      </c>
      <c r="D579" s="4">
        <f>62.7819 * CHOOSE(CONTROL!$C$9, $C$13, 100%, $E$13) + CHOOSE(CONTROL!$C$28, 0, 0)</f>
        <v>62.7819</v>
      </c>
      <c r="E579" s="4">
        <f>346.751258115512 * CHOOSE(CONTROL!$C$9, $C$13, 100%, $E$13) + CHOOSE(CONTROL!$C$28, 0, 0)</f>
        <v>346.75125811551197</v>
      </c>
    </row>
    <row r="580" spans="1:5" ht="15">
      <c r="A580" s="13">
        <v>59171</v>
      </c>
      <c r="B580" s="4">
        <f>59.25 * CHOOSE(CONTROL!$C$9, $C$13, 100%, $E$13) + CHOOSE(CONTROL!$C$28, 0.0003, 0)</f>
        <v>59.250300000000003</v>
      </c>
      <c r="C580" s="4">
        <f>58.9375 * CHOOSE(CONTROL!$C$9, $C$13, 100%, $E$13) + CHOOSE(CONTROL!$C$28, 0.0003, 0)</f>
        <v>58.937800000000003</v>
      </c>
      <c r="D580" s="4">
        <f>60.5882 * CHOOSE(CONTROL!$C$9, $C$13, 100%, $E$13) + CHOOSE(CONTROL!$C$28, 0, 0)</f>
        <v>60.588200000000001</v>
      </c>
      <c r="E580" s="4">
        <f>341.32067314909 * CHOOSE(CONTROL!$C$9, $C$13, 100%, $E$13) + CHOOSE(CONTROL!$C$28, 0, 0)</f>
        <v>341.32067314909</v>
      </c>
    </row>
    <row r="581" spans="1:5" ht="15">
      <c r="A581" s="13">
        <v>59202</v>
      </c>
      <c r="B581" s="4">
        <f>57.7668 * CHOOSE(CONTROL!$C$9, $C$13, 100%, $E$13) + CHOOSE(CONTROL!$C$28, 0.0003, 0)</f>
        <v>57.767100000000006</v>
      </c>
      <c r="C581" s="4">
        <f>57.4543 * CHOOSE(CONTROL!$C$9, $C$13, 100%, $E$13) + CHOOSE(CONTROL!$C$28, 0.0003, 0)</f>
        <v>57.454600000000006</v>
      </c>
      <c r="D581" s="4">
        <f>58.5719 * CHOOSE(CONTROL!$C$9, $C$13, 100%, $E$13) + CHOOSE(CONTROL!$C$28, 0, 0)</f>
        <v>58.571899999999999</v>
      </c>
      <c r="E581" s="4">
        <f>331.532896912787 * CHOOSE(CONTROL!$C$9, $C$13, 100%, $E$13) + CHOOSE(CONTROL!$C$28, 0, 0)</f>
        <v>331.53289691278701</v>
      </c>
    </row>
    <row r="582" spans="1:5" ht="15">
      <c r="A582" s="13">
        <v>59230</v>
      </c>
      <c r="B582" s="4">
        <f>59.0939 * CHOOSE(CONTROL!$C$9, $C$13, 100%, $E$13) + CHOOSE(CONTROL!$C$28, 0.0003, 0)</f>
        <v>59.094200000000001</v>
      </c>
      <c r="C582" s="4">
        <f>58.7814 * CHOOSE(CONTROL!$C$9, $C$13, 100%, $E$13) + CHOOSE(CONTROL!$C$28, 0.0003, 0)</f>
        <v>58.781700000000001</v>
      </c>
      <c r="D582" s="4">
        <f>60.6023 * CHOOSE(CONTROL!$C$9, $C$13, 100%, $E$13) + CHOOSE(CONTROL!$C$28, 0, 0)</f>
        <v>60.6023</v>
      </c>
      <c r="E582" s="4">
        <f>339.40479442662 * CHOOSE(CONTROL!$C$9, $C$13, 100%, $E$13) + CHOOSE(CONTROL!$C$28, 0, 0)</f>
        <v>339.40479442662001</v>
      </c>
    </row>
    <row r="583" spans="1:5" ht="15">
      <c r="A583" s="13">
        <v>59261</v>
      </c>
      <c r="B583" s="4">
        <f>62.5789 * CHOOSE(CONTROL!$C$9, $C$13, 100%, $E$13) + CHOOSE(CONTROL!$C$28, 0.0003, 0)</f>
        <v>62.5792</v>
      </c>
      <c r="C583" s="4">
        <f>62.2664 * CHOOSE(CONTROL!$C$9, $C$13, 100%, $E$13) + CHOOSE(CONTROL!$C$28, 0.0003, 0)</f>
        <v>62.2667</v>
      </c>
      <c r="D583" s="4">
        <f>63.7807 * CHOOSE(CONTROL!$C$9, $C$13, 100%, $E$13) + CHOOSE(CONTROL!$C$28, 0, 0)</f>
        <v>63.780700000000003</v>
      </c>
      <c r="E583" s="4">
        <f>360.076815635985 * CHOOSE(CONTROL!$C$9, $C$13, 100%, $E$13) + CHOOSE(CONTROL!$C$28, 0, 0)</f>
        <v>360.07681563598499</v>
      </c>
    </row>
    <row r="584" spans="1:5" ht="15">
      <c r="A584" s="13">
        <v>59291</v>
      </c>
      <c r="B584" s="4">
        <f>65.0551 * CHOOSE(CONTROL!$C$9, $C$13, 100%, $E$13) + CHOOSE(CONTROL!$C$28, 0.0003, 0)</f>
        <v>65.055399999999992</v>
      </c>
      <c r="C584" s="4">
        <f>64.7426 * CHOOSE(CONTROL!$C$9, $C$13, 100%, $E$13) + CHOOSE(CONTROL!$C$28, 0.0003, 0)</f>
        <v>64.742899999999992</v>
      </c>
      <c r="D584" s="4">
        <f>65.6116 * CHOOSE(CONTROL!$C$9, $C$13, 100%, $E$13) + CHOOSE(CONTROL!$C$28, 0, 0)</f>
        <v>65.611599999999996</v>
      </c>
      <c r="E584" s="4">
        <f>374.764562196144 * CHOOSE(CONTROL!$C$9, $C$13, 100%, $E$13) + CHOOSE(CONTROL!$C$28, 0, 0)</f>
        <v>374.76456219614403</v>
      </c>
    </row>
    <row r="585" spans="1:5" ht="15">
      <c r="A585" s="13">
        <v>59322</v>
      </c>
      <c r="B585" s="4">
        <f>66.5679 * CHOOSE(CONTROL!$C$9, $C$13, 100%, $E$13) + CHOOSE(CONTROL!$C$28, 0.0271, 0)</f>
        <v>66.594999999999999</v>
      </c>
      <c r="C585" s="4">
        <f>66.2554 * CHOOSE(CONTROL!$C$9, $C$13, 100%, $E$13) + CHOOSE(CONTROL!$C$28, 0.0271, 0)</f>
        <v>66.282499999999999</v>
      </c>
      <c r="D585" s="4">
        <f>64.8881 * CHOOSE(CONTROL!$C$9, $C$13, 100%, $E$13) + CHOOSE(CONTROL!$C$28, 0, 0)</f>
        <v>64.888099999999994</v>
      </c>
      <c r="E585" s="4">
        <f>383.738423328245 * CHOOSE(CONTROL!$C$9, $C$13, 100%, $E$13) + CHOOSE(CONTROL!$C$28, 0, 0)</f>
        <v>383.73842332824501</v>
      </c>
    </row>
    <row r="586" spans="1:5" ht="15">
      <c r="A586" s="13">
        <v>59352</v>
      </c>
      <c r="B586" s="4">
        <f>66.7726 * CHOOSE(CONTROL!$C$9, $C$13, 100%, $E$13) + CHOOSE(CONTROL!$C$28, 0.0271, 0)</f>
        <v>66.799700000000001</v>
      </c>
      <c r="C586" s="4">
        <f>66.4601 * CHOOSE(CONTROL!$C$9, $C$13, 100%, $E$13) + CHOOSE(CONTROL!$C$28, 0.0271, 0)</f>
        <v>66.487200000000001</v>
      </c>
      <c r="D586" s="4">
        <f>65.4773 * CHOOSE(CONTROL!$C$9, $C$13, 100%, $E$13) + CHOOSE(CONTROL!$C$28, 0, 0)</f>
        <v>65.4773</v>
      </c>
      <c r="E586" s="4">
        <f>384.952623981707 * CHOOSE(CONTROL!$C$9, $C$13, 100%, $E$13) + CHOOSE(CONTROL!$C$28, 0, 0)</f>
        <v>384.95262398170701</v>
      </c>
    </row>
    <row r="587" spans="1:5" ht="15">
      <c r="A587" s="13">
        <v>59383</v>
      </c>
      <c r="B587" s="4">
        <f>66.752 * CHOOSE(CONTROL!$C$9, $C$13, 100%, $E$13) + CHOOSE(CONTROL!$C$28, 0.0271, 0)</f>
        <v>66.7791</v>
      </c>
      <c r="C587" s="4">
        <f>66.4395 * CHOOSE(CONTROL!$C$9, $C$13, 100%, $E$13) + CHOOSE(CONTROL!$C$28, 0.0271, 0)</f>
        <v>66.4666</v>
      </c>
      <c r="D587" s="4">
        <f>66.5405 * CHOOSE(CONTROL!$C$9, $C$13, 100%, $E$13) + CHOOSE(CONTROL!$C$28, 0, 0)</f>
        <v>66.540499999999994</v>
      </c>
      <c r="E587" s="4">
        <f>384.830183579678 * CHOOSE(CONTROL!$C$9, $C$13, 100%, $E$13) + CHOOSE(CONTROL!$C$28, 0, 0)</f>
        <v>384.83018357967802</v>
      </c>
    </row>
    <row r="588" spans="1:5" ht="15">
      <c r="A588" s="13">
        <v>59414</v>
      </c>
      <c r="B588" s="4">
        <f>68.3053 * CHOOSE(CONTROL!$C$9, $C$13, 100%, $E$13) + CHOOSE(CONTROL!$C$28, 0.0271, 0)</f>
        <v>68.332400000000007</v>
      </c>
      <c r="C588" s="4">
        <f>67.9928 * CHOOSE(CONTROL!$C$9, $C$13, 100%, $E$13) + CHOOSE(CONTROL!$C$28, 0.0271, 0)</f>
        <v>68.019900000000007</v>
      </c>
      <c r="D588" s="4">
        <f>65.8384 * CHOOSE(CONTROL!$C$9, $C$13, 100%, $E$13) + CHOOSE(CONTROL!$C$28, 0, 0)</f>
        <v>65.838399999999993</v>
      </c>
      <c r="E588" s="4">
        <f>394.04382383242 * CHOOSE(CONTROL!$C$9, $C$13, 100%, $E$13) + CHOOSE(CONTROL!$C$28, 0, 0)</f>
        <v>394.04382383242</v>
      </c>
    </row>
    <row r="589" spans="1:5" ht="15">
      <c r="A589" s="13">
        <v>59444</v>
      </c>
      <c r="B589" s="4">
        <f>65.658 * CHOOSE(CONTROL!$C$9, $C$13, 100%, $E$13) + CHOOSE(CONTROL!$C$28, 0.0271, 0)</f>
        <v>65.685100000000006</v>
      </c>
      <c r="C589" s="4">
        <f>65.3455 * CHOOSE(CONTROL!$C$9, $C$13, 100%, $E$13) + CHOOSE(CONTROL!$C$28, 0.0271, 0)</f>
        <v>65.372600000000006</v>
      </c>
      <c r="D589" s="4">
        <f>65.5066 * CHOOSE(CONTROL!$C$9, $C$13, 100%, $E$13) + CHOOSE(CONTROL!$C$28, 0, 0)</f>
        <v>65.506600000000006</v>
      </c>
      <c r="E589" s="4">
        <f>378.340842272098 * CHOOSE(CONTROL!$C$9, $C$13, 100%, $E$13) + CHOOSE(CONTROL!$C$28, 0, 0)</f>
        <v>378.34084227209797</v>
      </c>
    </row>
    <row r="590" spans="1:5" ht="15">
      <c r="A590" s="13">
        <v>59475</v>
      </c>
      <c r="B590" s="4">
        <f>63.5388 * CHOOSE(CONTROL!$C$9, $C$13, 100%, $E$13) + CHOOSE(CONTROL!$C$28, 0.0003, 0)</f>
        <v>63.539100000000005</v>
      </c>
      <c r="C590" s="4">
        <f>63.2263 * CHOOSE(CONTROL!$C$9, $C$13, 100%, $E$13) + CHOOSE(CONTROL!$C$28, 0.0003, 0)</f>
        <v>63.226600000000005</v>
      </c>
      <c r="D590" s="4">
        <f>64.6184 * CHOOSE(CONTROL!$C$9, $C$13, 100%, $E$13) + CHOOSE(CONTROL!$C$28, 0, 0)</f>
        <v>64.618399999999994</v>
      </c>
      <c r="E590" s="4">
        <f>365.770294330371 * CHOOSE(CONTROL!$C$9, $C$13, 100%, $E$13) + CHOOSE(CONTROL!$C$28, 0, 0)</f>
        <v>365.77029433037097</v>
      </c>
    </row>
    <row r="591" spans="1:5" ht="15">
      <c r="A591" s="13">
        <v>59505</v>
      </c>
      <c r="B591" s="4">
        <f>62.1738 * CHOOSE(CONTROL!$C$9, $C$13, 100%, $E$13) + CHOOSE(CONTROL!$C$28, 0.0003, 0)</f>
        <v>62.174100000000003</v>
      </c>
      <c r="C591" s="4">
        <f>61.8613 * CHOOSE(CONTROL!$C$9, $C$13, 100%, $E$13) + CHOOSE(CONTROL!$C$28, 0.0003, 0)</f>
        <v>61.861600000000003</v>
      </c>
      <c r="D591" s="4">
        <f>64.313 * CHOOSE(CONTROL!$C$9, $C$13, 100%, $E$13) + CHOOSE(CONTROL!$C$28, 0, 0)</f>
        <v>64.313000000000002</v>
      </c>
      <c r="E591" s="4">
        <f>357.67392274615 * CHOOSE(CONTROL!$C$9, $C$13, 100%, $E$13) + CHOOSE(CONTROL!$C$28, 0, 0)</f>
        <v>357.67392274615003</v>
      </c>
    </row>
    <row r="592" spans="1:5" ht="15">
      <c r="A592" s="13">
        <v>59536</v>
      </c>
      <c r="B592" s="4">
        <f>61.2295 * CHOOSE(CONTROL!$C$9, $C$13, 100%, $E$13) + CHOOSE(CONTROL!$C$28, 0.0003, 0)</f>
        <v>61.229800000000004</v>
      </c>
      <c r="C592" s="4">
        <f>60.917 * CHOOSE(CONTROL!$C$9, $C$13, 100%, $E$13) + CHOOSE(CONTROL!$C$28, 0.0003, 0)</f>
        <v>60.917300000000004</v>
      </c>
      <c r="D592" s="4">
        <f>62.0649 * CHOOSE(CONTROL!$C$9, $C$13, 100%, $E$13) + CHOOSE(CONTROL!$C$28, 0, 0)</f>
        <v>62.064900000000002</v>
      </c>
      <c r="E592" s="4">
        <f>352.072274353287 * CHOOSE(CONTROL!$C$9, $C$13, 100%, $E$13) + CHOOSE(CONTROL!$C$28, 0, 0)</f>
        <v>352.07227435328701</v>
      </c>
    </row>
    <row r="593" spans="1:5" ht="15">
      <c r="A593" s="13">
        <v>59567</v>
      </c>
      <c r="B593" s="4">
        <f>59.6951 * CHOOSE(CONTROL!$C$9, $C$13, 100%, $E$13) + CHOOSE(CONTROL!$C$28, 0.0003, 0)</f>
        <v>59.695399999999999</v>
      </c>
      <c r="C593" s="4">
        <f>59.3826 * CHOOSE(CONTROL!$C$9, $C$13, 100%, $E$13) + CHOOSE(CONTROL!$C$28, 0.0003, 0)</f>
        <v>59.382899999999999</v>
      </c>
      <c r="D593" s="4">
        <f>59.9986 * CHOOSE(CONTROL!$C$9, $C$13, 100%, $E$13) + CHOOSE(CONTROL!$C$28, 0, 0)</f>
        <v>59.998600000000003</v>
      </c>
      <c r="E593" s="4">
        <f>341.97618316554 * CHOOSE(CONTROL!$C$9, $C$13, 100%, $E$13) + CHOOSE(CONTROL!$C$28, 0, 0)</f>
        <v>341.97618316554002</v>
      </c>
    </row>
    <row r="594" spans="1:5" ht="15">
      <c r="A594" s="13">
        <v>59595</v>
      </c>
      <c r="B594" s="4">
        <f>61.068 * CHOOSE(CONTROL!$C$9, $C$13, 100%, $E$13) + CHOOSE(CONTROL!$C$28, 0.0003, 0)</f>
        <v>61.068300000000001</v>
      </c>
      <c r="C594" s="4">
        <f>60.7555 * CHOOSE(CONTROL!$C$9, $C$13, 100%, $E$13) + CHOOSE(CONTROL!$C$28, 0.0003, 0)</f>
        <v>60.755800000000001</v>
      </c>
      <c r="D594" s="4">
        <f>62.0794 * CHOOSE(CONTROL!$C$9, $C$13, 100%, $E$13) + CHOOSE(CONTROL!$C$28, 0, 0)</f>
        <v>62.0794</v>
      </c>
      <c r="E594" s="4">
        <f>350.096045451059 * CHOOSE(CONTROL!$C$9, $C$13, 100%, $E$13) + CHOOSE(CONTROL!$C$28, 0, 0)</f>
        <v>350.09604545105901</v>
      </c>
    </row>
    <row r="595" spans="1:5" ht="15">
      <c r="A595" s="13">
        <v>59626</v>
      </c>
      <c r="B595" s="4">
        <f>64.6732 * CHOOSE(CONTROL!$C$9, $C$13, 100%, $E$13) + CHOOSE(CONTROL!$C$28, 0.0003, 0)</f>
        <v>64.67349999999999</v>
      </c>
      <c r="C595" s="4">
        <f>64.3607 * CHOOSE(CONTROL!$C$9, $C$13, 100%, $E$13) + CHOOSE(CONTROL!$C$28, 0.0003, 0)</f>
        <v>64.36099999999999</v>
      </c>
      <c r="D595" s="4">
        <f>65.3366 * CHOOSE(CONTROL!$C$9, $C$13, 100%, $E$13) + CHOOSE(CONTROL!$C$28, 0, 0)</f>
        <v>65.336600000000004</v>
      </c>
      <c r="E595" s="4">
        <f>371.419235328519 * CHOOSE(CONTROL!$C$9, $C$13, 100%, $E$13) + CHOOSE(CONTROL!$C$28, 0, 0)</f>
        <v>371.41923532851899</v>
      </c>
    </row>
    <row r="596" spans="1:5" ht="15">
      <c r="A596" s="13">
        <v>59656</v>
      </c>
      <c r="B596" s="4">
        <f>67.2348 * CHOOSE(CONTROL!$C$9, $C$13, 100%, $E$13) + CHOOSE(CONTROL!$C$28, 0.0003, 0)</f>
        <v>67.235100000000003</v>
      </c>
      <c r="C596" s="4">
        <f>66.9223 * CHOOSE(CONTROL!$C$9, $C$13, 100%, $E$13) + CHOOSE(CONTROL!$C$28, 0.0003, 0)</f>
        <v>66.922600000000003</v>
      </c>
      <c r="D596" s="4">
        <f>67.2129 * CHOOSE(CONTROL!$C$9, $C$13, 100%, $E$13) + CHOOSE(CONTROL!$C$28, 0, 0)</f>
        <v>67.212900000000005</v>
      </c>
      <c r="E596" s="4">
        <f>386.569645905323 * CHOOSE(CONTROL!$C$9, $C$13, 100%, $E$13) + CHOOSE(CONTROL!$C$28, 0, 0)</f>
        <v>386.569645905323</v>
      </c>
    </row>
    <row r="597" spans="1:5" ht="15">
      <c r="A597" s="13">
        <v>59687</v>
      </c>
      <c r="B597" s="4">
        <f>68.7998 * CHOOSE(CONTROL!$C$9, $C$13, 100%, $E$13) + CHOOSE(CONTROL!$C$28, 0.0271, 0)</f>
        <v>68.826900000000009</v>
      </c>
      <c r="C597" s="4">
        <f>68.4873 * CHOOSE(CONTROL!$C$9, $C$13, 100%, $E$13) + CHOOSE(CONTROL!$C$28, 0.0271, 0)</f>
        <v>68.514400000000009</v>
      </c>
      <c r="D597" s="4">
        <f>66.4715 * CHOOSE(CONTROL!$C$9, $C$13, 100%, $E$13) + CHOOSE(CONTROL!$C$28, 0, 0)</f>
        <v>66.471500000000006</v>
      </c>
      <c r="E597" s="4">
        <f>395.826183663085 * CHOOSE(CONTROL!$C$9, $C$13, 100%, $E$13) + CHOOSE(CONTROL!$C$28, 0, 0)</f>
        <v>395.82618366308498</v>
      </c>
    </row>
    <row r="598" spans="1:5" ht="15">
      <c r="A598" s="13">
        <v>59717</v>
      </c>
      <c r="B598" s="4">
        <f>69.0116 * CHOOSE(CONTROL!$C$9, $C$13, 100%, $E$13) + CHOOSE(CONTROL!$C$28, 0.0271, 0)</f>
        <v>69.038700000000006</v>
      </c>
      <c r="C598" s="4">
        <f>68.6991 * CHOOSE(CONTROL!$C$9, $C$13, 100%, $E$13) + CHOOSE(CONTROL!$C$28, 0.0271, 0)</f>
        <v>68.726200000000006</v>
      </c>
      <c r="D598" s="4">
        <f>67.0753 * CHOOSE(CONTROL!$C$9, $C$13, 100%, $E$13) + CHOOSE(CONTROL!$C$28, 0, 0)</f>
        <v>67.075299999999999</v>
      </c>
      <c r="E598" s="4">
        <f>397.078631637131 * CHOOSE(CONTROL!$C$9, $C$13, 100%, $E$13) + CHOOSE(CONTROL!$C$28, 0, 0)</f>
        <v>397.07863163713102</v>
      </c>
    </row>
    <row r="599" spans="1:5" ht="15">
      <c r="A599" s="13">
        <v>59748</v>
      </c>
      <c r="B599" s="4">
        <f>68.9903 * CHOOSE(CONTROL!$C$9, $C$13, 100%, $E$13) + CHOOSE(CONTROL!$C$28, 0.0271, 0)</f>
        <v>69.017400000000009</v>
      </c>
      <c r="C599" s="4">
        <f>68.6778 * CHOOSE(CONTROL!$C$9, $C$13, 100%, $E$13) + CHOOSE(CONTROL!$C$28, 0.0271, 0)</f>
        <v>68.704900000000009</v>
      </c>
      <c r="D599" s="4">
        <f>68.1648 * CHOOSE(CONTROL!$C$9, $C$13, 100%, $E$13) + CHOOSE(CONTROL!$C$28, 0, 0)</f>
        <v>68.1648</v>
      </c>
      <c r="E599" s="4">
        <f>396.952334362437 * CHOOSE(CONTROL!$C$9, $C$13, 100%, $E$13) + CHOOSE(CONTROL!$C$28, 0, 0)</f>
        <v>396.952334362437</v>
      </c>
    </row>
    <row r="600" spans="1:5" ht="15">
      <c r="A600" s="13">
        <v>59779</v>
      </c>
      <c r="B600" s="4">
        <f>70.5971 * CHOOSE(CONTROL!$C$9, $C$13, 100%, $E$13) + CHOOSE(CONTROL!$C$28, 0.0271, 0)</f>
        <v>70.624200000000002</v>
      </c>
      <c r="C600" s="4">
        <f>70.2846 * CHOOSE(CONTROL!$C$9, $C$13, 100%, $E$13) + CHOOSE(CONTROL!$C$28, 0.0271, 0)</f>
        <v>70.311700000000002</v>
      </c>
      <c r="D600" s="4">
        <f>67.4453 * CHOOSE(CONTROL!$C$9, $C$13, 100%, $E$13) + CHOOSE(CONTROL!$C$28, 0, 0)</f>
        <v>67.445300000000003</v>
      </c>
      <c r="E600" s="4">
        <f>406.456204283142 * CHOOSE(CONTROL!$C$9, $C$13, 100%, $E$13) + CHOOSE(CONTROL!$C$28, 0, 0)</f>
        <v>406.45620428314197</v>
      </c>
    </row>
    <row r="601" spans="1:5" ht="15">
      <c r="A601" s="13">
        <v>59809</v>
      </c>
      <c r="B601" s="4">
        <f>67.8585 * CHOOSE(CONTROL!$C$9, $C$13, 100%, $E$13) + CHOOSE(CONTROL!$C$28, 0.0271, 0)</f>
        <v>67.885600000000011</v>
      </c>
      <c r="C601" s="4">
        <f>67.546 * CHOOSE(CONTROL!$C$9, $C$13, 100%, $E$13) + CHOOSE(CONTROL!$C$28, 0.0271, 0)</f>
        <v>67.573100000000011</v>
      </c>
      <c r="D601" s="4">
        <f>67.1053 * CHOOSE(CONTROL!$C$9, $C$13, 100%, $E$13) + CHOOSE(CONTROL!$C$28, 0, 0)</f>
        <v>67.1053</v>
      </c>
      <c r="E601" s="4">
        <f>390.258578803669 * CHOOSE(CONTROL!$C$9, $C$13, 100%, $E$13) + CHOOSE(CONTROL!$C$28, 0, 0)</f>
        <v>390.25857880366902</v>
      </c>
    </row>
    <row r="602" spans="1:5" ht="15">
      <c r="A602" s="13">
        <v>59840</v>
      </c>
      <c r="B602" s="4">
        <f>65.6662 * CHOOSE(CONTROL!$C$9, $C$13, 100%, $E$13) + CHOOSE(CONTROL!$C$28, 0.0003, 0)</f>
        <v>65.666499999999999</v>
      </c>
      <c r="C602" s="4">
        <f>65.3537 * CHOOSE(CONTROL!$C$9, $C$13, 100%, $E$13) + CHOOSE(CONTROL!$C$28, 0.0003, 0)</f>
        <v>65.353999999999999</v>
      </c>
      <c r="D602" s="4">
        <f>66.1951 * CHOOSE(CONTROL!$C$9, $C$13, 100%, $E$13) + CHOOSE(CONTROL!$C$28, 0, 0)</f>
        <v>66.195099999999996</v>
      </c>
      <c r="E602" s="4">
        <f>377.292058601778 * CHOOSE(CONTROL!$C$9, $C$13, 100%, $E$13) + CHOOSE(CONTROL!$C$28, 0, 0)</f>
        <v>377.29205860177802</v>
      </c>
    </row>
    <row r="603" spans="1:5" ht="15">
      <c r="A603" s="13">
        <v>59870</v>
      </c>
      <c r="B603" s="4">
        <f>64.2541 * CHOOSE(CONTROL!$C$9, $C$13, 100%, $E$13) + CHOOSE(CONTROL!$C$28, 0.0003, 0)</f>
        <v>64.25439999999999</v>
      </c>
      <c r="C603" s="4">
        <f>63.9416 * CHOOSE(CONTROL!$C$9, $C$13, 100%, $E$13) + CHOOSE(CONTROL!$C$28, 0.0003, 0)</f>
        <v>63.941900000000004</v>
      </c>
      <c r="D603" s="4">
        <f>65.8821 * CHOOSE(CONTROL!$C$9, $C$13, 100%, $E$13) + CHOOSE(CONTROL!$C$28, 0, 0)</f>
        <v>65.882099999999994</v>
      </c>
      <c r="E603" s="4">
        <f>368.940651312654 * CHOOSE(CONTROL!$C$9, $C$13, 100%, $E$13) + CHOOSE(CONTROL!$C$28, 0, 0)</f>
        <v>368.94065131265398</v>
      </c>
    </row>
    <row r="604" spans="1:5" ht="15">
      <c r="A604" s="13">
        <v>59901</v>
      </c>
      <c r="B604" s="4">
        <f>63.2772 * CHOOSE(CONTROL!$C$9, $C$13, 100%, $E$13) + CHOOSE(CONTROL!$C$28, 0.0003, 0)</f>
        <v>63.277500000000003</v>
      </c>
      <c r="C604" s="4">
        <f>62.9647 * CHOOSE(CONTROL!$C$9, $C$13, 100%, $E$13) + CHOOSE(CONTROL!$C$28, 0.0003, 0)</f>
        <v>62.965000000000003</v>
      </c>
      <c r="D604" s="4">
        <f>63.5782 * CHOOSE(CONTROL!$C$9, $C$13, 100%, $E$13) + CHOOSE(CONTROL!$C$28, 0, 0)</f>
        <v>63.578200000000002</v>
      </c>
      <c r="E604" s="4">
        <f>363.162550995415 * CHOOSE(CONTROL!$C$9, $C$13, 100%, $E$13) + CHOOSE(CONTROL!$C$28, 0, 0)</f>
        <v>363.16255099541502</v>
      </c>
    </row>
    <row r="605" spans="1:5" ht="15">
      <c r="A605" s="13">
        <v>59932</v>
      </c>
      <c r="B605" s="4">
        <f>61.6899 * CHOOSE(CONTROL!$C$9, $C$13, 100%, $E$13) + CHOOSE(CONTROL!$C$28, 0.0003, 0)</f>
        <v>61.690200000000004</v>
      </c>
      <c r="C605" s="4">
        <f>61.3774 * CHOOSE(CONTROL!$C$9, $C$13, 100%, $E$13) + CHOOSE(CONTROL!$C$28, 0.0003, 0)</f>
        <v>61.377700000000004</v>
      </c>
      <c r="D605" s="4">
        <f>61.4607 * CHOOSE(CONTROL!$C$9, $C$13, 100%, $E$13) + CHOOSE(CONTROL!$C$28, 0, 0)</f>
        <v>61.460700000000003</v>
      </c>
      <c r="E605" s="4">
        <f>352.748432935254 * CHOOSE(CONTROL!$C$9, $C$13, 100%, $E$13) + CHOOSE(CONTROL!$C$28, 0, 0)</f>
        <v>352.74843293525402</v>
      </c>
    </row>
    <row r="606" spans="1:5" ht="15">
      <c r="A606" s="13">
        <v>59961</v>
      </c>
      <c r="B606" s="4">
        <f>63.1101 * CHOOSE(CONTROL!$C$9, $C$13, 100%, $E$13) + CHOOSE(CONTROL!$C$28, 0.0003, 0)</f>
        <v>63.110400000000006</v>
      </c>
      <c r="C606" s="4">
        <f>62.7976 * CHOOSE(CONTROL!$C$9, $C$13, 100%, $E$13) + CHOOSE(CONTROL!$C$28, 0.0003, 0)</f>
        <v>62.797900000000006</v>
      </c>
      <c r="D606" s="4">
        <f>63.593 * CHOOSE(CONTROL!$C$9, $C$13, 100%, $E$13) + CHOOSE(CONTROL!$C$28, 0, 0)</f>
        <v>63.593000000000004</v>
      </c>
      <c r="E606" s="4">
        <f>361.124070882767 * CHOOSE(CONTROL!$C$9, $C$13, 100%, $E$13) + CHOOSE(CONTROL!$C$28, 0, 0)</f>
        <v>361.124070882767</v>
      </c>
    </row>
    <row r="607" spans="1:5" ht="15">
      <c r="A607" s="13">
        <v>59992</v>
      </c>
      <c r="B607" s="4">
        <f>66.8397 * CHOOSE(CONTROL!$C$9, $C$13, 100%, $E$13) + CHOOSE(CONTROL!$C$28, 0.0003, 0)</f>
        <v>66.839999999999989</v>
      </c>
      <c r="C607" s="4">
        <f>66.5272 * CHOOSE(CONTROL!$C$9, $C$13, 100%, $E$13) + CHOOSE(CONTROL!$C$28, 0.0003, 0)</f>
        <v>66.527499999999989</v>
      </c>
      <c r="D607" s="4">
        <f>66.931 * CHOOSE(CONTROL!$C$9, $C$13, 100%, $E$13) + CHOOSE(CONTROL!$C$28, 0, 0)</f>
        <v>66.930999999999997</v>
      </c>
      <c r="E607" s="4">
        <f>383.118941241367 * CHOOSE(CONTROL!$C$9, $C$13, 100%, $E$13) + CHOOSE(CONTROL!$C$28, 0, 0)</f>
        <v>383.118941241367</v>
      </c>
    </row>
    <row r="608" spans="1:5" ht="15">
      <c r="A608" s="13">
        <v>60022</v>
      </c>
      <c r="B608" s="4">
        <f>69.4897 * CHOOSE(CONTROL!$C$9, $C$13, 100%, $E$13) + CHOOSE(CONTROL!$C$28, 0.0003, 0)</f>
        <v>69.489999999999995</v>
      </c>
      <c r="C608" s="4">
        <f>69.1772 * CHOOSE(CONTROL!$C$9, $C$13, 100%, $E$13) + CHOOSE(CONTROL!$C$28, 0.0003, 0)</f>
        <v>69.177499999999995</v>
      </c>
      <c r="D608" s="4">
        <f>68.8539 * CHOOSE(CONTROL!$C$9, $C$13, 100%, $E$13) + CHOOSE(CONTROL!$C$28, 0, 0)</f>
        <v>68.853899999999996</v>
      </c>
      <c r="E608" s="4">
        <f>398.74658975134 * CHOOSE(CONTROL!$C$9, $C$13, 100%, $E$13) + CHOOSE(CONTROL!$C$28, 0, 0)</f>
        <v>398.74658975134003</v>
      </c>
    </row>
    <row r="609" spans="1:5" ht="15">
      <c r="A609" s="13">
        <v>60053</v>
      </c>
      <c r="B609" s="4">
        <f>71.1088 * CHOOSE(CONTROL!$C$9, $C$13, 100%, $E$13) + CHOOSE(CONTROL!$C$28, 0.0271, 0)</f>
        <v>71.135900000000007</v>
      </c>
      <c r="C609" s="4">
        <f>70.7963 * CHOOSE(CONTROL!$C$9, $C$13, 100%, $E$13) + CHOOSE(CONTROL!$C$28, 0.0271, 0)</f>
        <v>70.823400000000007</v>
      </c>
      <c r="D609" s="4">
        <f>68.0941 * CHOOSE(CONTROL!$C$9, $C$13, 100%, $E$13) + CHOOSE(CONTROL!$C$28, 0, 0)</f>
        <v>68.094099999999997</v>
      </c>
      <c r="E609" s="4">
        <f>408.294708448472 * CHOOSE(CONTROL!$C$9, $C$13, 100%, $E$13) + CHOOSE(CONTROL!$C$28, 0, 0)</f>
        <v>408.29470844847202</v>
      </c>
    </row>
    <row r="610" spans="1:5" ht="15">
      <c r="A610" s="13">
        <v>60083</v>
      </c>
      <c r="B610" s="4">
        <f>71.3278 * CHOOSE(CONTROL!$C$9, $C$13, 100%, $E$13) + CHOOSE(CONTROL!$C$28, 0.0271, 0)</f>
        <v>71.354900000000001</v>
      </c>
      <c r="C610" s="4">
        <f>71.0153 * CHOOSE(CONTROL!$C$9, $C$13, 100%, $E$13) + CHOOSE(CONTROL!$C$28, 0.0271, 0)</f>
        <v>71.042400000000001</v>
      </c>
      <c r="D610" s="4">
        <f>68.7128 * CHOOSE(CONTROL!$C$9, $C$13, 100%, $E$13) + CHOOSE(CONTROL!$C$28, 0, 0)</f>
        <v>68.712800000000001</v>
      </c>
      <c r="E610" s="4">
        <f>409.586608533701 * CHOOSE(CONTROL!$C$9, $C$13, 100%, $E$13) + CHOOSE(CONTROL!$C$28, 0, 0)</f>
        <v>409.586608533701</v>
      </c>
    </row>
    <row r="611" spans="1:5" ht="15">
      <c r="A611" s="13">
        <v>60114</v>
      </c>
      <c r="B611" s="4">
        <f>71.3057 * CHOOSE(CONTROL!$C$9, $C$13, 100%, $E$13) + CHOOSE(CONTROL!$C$28, 0.0271, 0)</f>
        <v>71.332800000000006</v>
      </c>
      <c r="C611" s="4">
        <f>70.9932 * CHOOSE(CONTROL!$C$9, $C$13, 100%, $E$13) + CHOOSE(CONTROL!$C$28, 0.0271, 0)</f>
        <v>71.020300000000006</v>
      </c>
      <c r="D611" s="4">
        <f>69.8294 * CHOOSE(CONTROL!$C$9, $C$13, 100%, $E$13) + CHOOSE(CONTROL!$C$28, 0, 0)</f>
        <v>69.829400000000007</v>
      </c>
      <c r="E611" s="4">
        <f>409.456332894854 * CHOOSE(CONTROL!$C$9, $C$13, 100%, $E$13) + CHOOSE(CONTROL!$C$28, 0, 0)</f>
        <v>409.45633289485397</v>
      </c>
    </row>
    <row r="612" spans="1:5" ht="15">
      <c r="A612" s="13">
        <v>60145</v>
      </c>
      <c r="B612" s="4">
        <f>72.968 * CHOOSE(CONTROL!$C$9, $C$13, 100%, $E$13) + CHOOSE(CONTROL!$C$28, 0.0271, 0)</f>
        <v>72.995100000000008</v>
      </c>
      <c r="C612" s="4">
        <f>72.6555 * CHOOSE(CONTROL!$C$9, $C$13, 100%, $E$13) + CHOOSE(CONTROL!$C$28, 0.0271, 0)</f>
        <v>72.682600000000008</v>
      </c>
      <c r="D612" s="4">
        <f>69.092 * CHOOSE(CONTROL!$C$9, $C$13, 100%, $E$13) + CHOOSE(CONTROL!$C$28, 0, 0)</f>
        <v>69.091999999999999</v>
      </c>
      <c r="E612" s="4">
        <f>419.259574718061 * CHOOSE(CONTROL!$C$9, $C$13, 100%, $E$13) + CHOOSE(CONTROL!$C$28, 0, 0)</f>
        <v>419.259574718061</v>
      </c>
    </row>
    <row r="613" spans="1:5" ht="15">
      <c r="A613" s="13">
        <v>60175</v>
      </c>
      <c r="B613" s="4">
        <f>70.1349 * CHOOSE(CONTROL!$C$9, $C$13, 100%, $E$13) + CHOOSE(CONTROL!$C$28, 0.0271, 0)</f>
        <v>70.162000000000006</v>
      </c>
      <c r="C613" s="4">
        <f>69.8224 * CHOOSE(CONTROL!$C$9, $C$13, 100%, $E$13) + CHOOSE(CONTROL!$C$28, 0.0271, 0)</f>
        <v>69.849500000000006</v>
      </c>
      <c r="D613" s="4">
        <f>68.7436 * CHOOSE(CONTROL!$C$9, $C$13, 100%, $E$13) + CHOOSE(CONTROL!$C$28, 0, 0)</f>
        <v>68.743600000000001</v>
      </c>
      <c r="E613" s="4">
        <f>402.551724035985 * CHOOSE(CONTROL!$C$9, $C$13, 100%, $E$13) + CHOOSE(CONTROL!$C$28, 0, 0)</f>
        <v>402.55172403598499</v>
      </c>
    </row>
    <row r="614" spans="1:5" ht="15">
      <c r="A614" s="13">
        <v>60206</v>
      </c>
      <c r="B614" s="4">
        <f>67.867 * CHOOSE(CONTROL!$C$9, $C$13, 100%, $E$13) + CHOOSE(CONTROL!$C$28, 0.0003, 0)</f>
        <v>67.8673</v>
      </c>
      <c r="C614" s="4">
        <f>67.5545 * CHOOSE(CONTROL!$C$9, $C$13, 100%, $E$13) + CHOOSE(CONTROL!$C$28, 0.0003, 0)</f>
        <v>67.5548</v>
      </c>
      <c r="D614" s="4">
        <f>67.8108 * CHOOSE(CONTROL!$C$9, $C$13, 100%, $E$13) + CHOOSE(CONTROL!$C$28, 0, 0)</f>
        <v>67.8108</v>
      </c>
      <c r="E614" s="4">
        <f>389.176758447734 * CHOOSE(CONTROL!$C$9, $C$13, 100%, $E$13) + CHOOSE(CONTROL!$C$28, 0, 0)</f>
        <v>389.17675844773402</v>
      </c>
    </row>
    <row r="615" spans="1:5" ht="15">
      <c r="A615" s="13">
        <v>60236</v>
      </c>
      <c r="B615" s="4">
        <f>66.4062 * CHOOSE(CONTROL!$C$9, $C$13, 100%, $E$13) + CHOOSE(CONTROL!$C$28, 0.0003, 0)</f>
        <v>66.406499999999994</v>
      </c>
      <c r="C615" s="4">
        <f>66.0937 * CHOOSE(CONTROL!$C$9, $C$13, 100%, $E$13) + CHOOSE(CONTROL!$C$28, 0.0003, 0)</f>
        <v>66.093999999999994</v>
      </c>
      <c r="D615" s="4">
        <f>67.4901 * CHOOSE(CONTROL!$C$9, $C$13, 100%, $E$13) + CHOOSE(CONTROL!$C$28, 0, 0)</f>
        <v>67.490099999999998</v>
      </c>
      <c r="E615" s="4">
        <f>380.562281829003 * CHOOSE(CONTROL!$C$9, $C$13, 100%, $E$13) + CHOOSE(CONTROL!$C$28, 0, 0)</f>
        <v>380.56228182900298</v>
      </c>
    </row>
    <row r="616" spans="1:5" ht="15">
      <c r="A616" s="13">
        <v>60267</v>
      </c>
      <c r="B616" s="4">
        <f>65.3956 * CHOOSE(CONTROL!$C$9, $C$13, 100%, $E$13) + CHOOSE(CONTROL!$C$28, 0.0003, 0)</f>
        <v>65.395899999999997</v>
      </c>
      <c r="C616" s="4">
        <f>65.0831 * CHOOSE(CONTROL!$C$9, $C$13, 100%, $E$13) + CHOOSE(CONTROL!$C$28, 0.0003, 0)</f>
        <v>65.083399999999997</v>
      </c>
      <c r="D616" s="4">
        <f>65.129 * CHOOSE(CONTROL!$C$9, $C$13, 100%, $E$13) + CHOOSE(CONTROL!$C$28, 0, 0)</f>
        <v>65.129000000000005</v>
      </c>
      <c r="E616" s="4">
        <f>374.602171351771 * CHOOSE(CONTROL!$C$9, $C$13, 100%, $E$13) + CHOOSE(CONTROL!$C$28, 0, 0)</f>
        <v>374.60217135177101</v>
      </c>
    </row>
    <row r="617" spans="1:5" ht="15">
      <c r="A617" s="13">
        <v>60298</v>
      </c>
      <c r="B617" s="4">
        <f>63.7535 * CHOOSE(CONTROL!$C$9, $C$13, 100%, $E$13) + CHOOSE(CONTROL!$C$28, 0.0003, 0)</f>
        <v>63.753800000000005</v>
      </c>
      <c r="C617" s="4">
        <f>63.441 * CHOOSE(CONTROL!$C$9, $C$13, 100%, $E$13) + CHOOSE(CONTROL!$C$28, 0.0003, 0)</f>
        <v>63.441300000000005</v>
      </c>
      <c r="D617" s="4">
        <f>62.959 * CHOOSE(CONTROL!$C$9, $C$13, 100%, $E$13) + CHOOSE(CONTROL!$C$28, 0, 0)</f>
        <v>62.959000000000003</v>
      </c>
      <c r="E617" s="4">
        <f>363.860008572715 * CHOOSE(CONTROL!$C$9, $C$13, 100%, $E$13) + CHOOSE(CONTROL!$C$28, 0, 0)</f>
        <v>363.860008572715</v>
      </c>
    </row>
    <row r="618" spans="1:5" ht="15">
      <c r="A618" s="13">
        <v>60326</v>
      </c>
      <c r="B618" s="4">
        <f>65.2227 * CHOOSE(CONTROL!$C$9, $C$13, 100%, $E$13) + CHOOSE(CONTROL!$C$28, 0.0003, 0)</f>
        <v>65.222999999999999</v>
      </c>
      <c r="C618" s="4">
        <f>64.9102 * CHOOSE(CONTROL!$C$9, $C$13, 100%, $E$13) + CHOOSE(CONTROL!$C$28, 0.0003, 0)</f>
        <v>64.910499999999999</v>
      </c>
      <c r="D618" s="4">
        <f>65.1442 * CHOOSE(CONTROL!$C$9, $C$13, 100%, $E$13) + CHOOSE(CONTROL!$C$28, 0, 0)</f>
        <v>65.144199999999998</v>
      </c>
      <c r="E618" s="4">
        <f>372.499479115574 * CHOOSE(CONTROL!$C$9, $C$13, 100%, $E$13) + CHOOSE(CONTROL!$C$28, 0, 0)</f>
        <v>372.49947911557399</v>
      </c>
    </row>
    <row r="619" spans="1:5" ht="15">
      <c r="A619" s="13">
        <v>60357</v>
      </c>
      <c r="B619" s="4">
        <f>69.081 * CHOOSE(CONTROL!$C$9, $C$13, 100%, $E$13) + CHOOSE(CONTROL!$C$28, 0.0003, 0)</f>
        <v>69.081299999999999</v>
      </c>
      <c r="C619" s="4">
        <f>68.7685 * CHOOSE(CONTROL!$C$9, $C$13, 100%, $E$13) + CHOOSE(CONTROL!$C$28, 0.0003, 0)</f>
        <v>68.768799999999999</v>
      </c>
      <c r="D619" s="4">
        <f>68.565 * CHOOSE(CONTROL!$C$9, $C$13, 100%, $E$13) + CHOOSE(CONTROL!$C$28, 0, 0)</f>
        <v>68.564999999999998</v>
      </c>
      <c r="E619" s="4">
        <f>395.18718789047 * CHOOSE(CONTROL!$C$9, $C$13, 100%, $E$13) + CHOOSE(CONTROL!$C$28, 0, 0)</f>
        <v>395.18718789047</v>
      </c>
    </row>
    <row r="620" spans="1:5" ht="15">
      <c r="A620" s="13">
        <v>60387</v>
      </c>
      <c r="B620" s="4">
        <f>71.8224 * CHOOSE(CONTROL!$C$9, $C$13, 100%, $E$13) + CHOOSE(CONTROL!$C$28, 0.0003, 0)</f>
        <v>71.822699999999998</v>
      </c>
      <c r="C620" s="4">
        <f>71.5099 * CHOOSE(CONTROL!$C$9, $C$13, 100%, $E$13) + CHOOSE(CONTROL!$C$28, 0.0003, 0)</f>
        <v>71.510199999999998</v>
      </c>
      <c r="D620" s="4">
        <f>70.5355 * CHOOSE(CONTROL!$C$9, $C$13, 100%, $E$13) + CHOOSE(CONTROL!$C$28, 0, 0)</f>
        <v>70.535499999999999</v>
      </c>
      <c r="E620" s="4">
        <f>411.307107328508 * CHOOSE(CONTROL!$C$9, $C$13, 100%, $E$13) + CHOOSE(CONTROL!$C$28, 0, 0)</f>
        <v>411.30710732850798</v>
      </c>
    </row>
    <row r="621" spans="1:5" ht="15">
      <c r="A621" s="13">
        <v>60418</v>
      </c>
      <c r="B621" s="4">
        <f>73.4973 * CHOOSE(CONTROL!$C$9, $C$13, 100%, $E$13) + CHOOSE(CONTROL!$C$28, 0.0271, 0)</f>
        <v>73.5244</v>
      </c>
      <c r="C621" s="4">
        <f>73.1848 * CHOOSE(CONTROL!$C$9, $C$13, 100%, $E$13) + CHOOSE(CONTROL!$C$28, 0.0271, 0)</f>
        <v>73.2119</v>
      </c>
      <c r="D621" s="4">
        <f>69.7569 * CHOOSE(CONTROL!$C$9, $C$13, 100%, $E$13) + CHOOSE(CONTROL!$C$28, 0, 0)</f>
        <v>69.756900000000002</v>
      </c>
      <c r="E621" s="4">
        <f>421.155991764599 * CHOOSE(CONTROL!$C$9, $C$13, 100%, $E$13) + CHOOSE(CONTROL!$C$28, 0, 0)</f>
        <v>421.15599176459898</v>
      </c>
    </row>
    <row r="622" spans="1:5" ht="15">
      <c r="A622" s="13">
        <v>60448</v>
      </c>
      <c r="B622" s="4">
        <f>73.7239 * CHOOSE(CONTROL!$C$9, $C$13, 100%, $E$13) + CHOOSE(CONTROL!$C$28, 0.0271, 0)</f>
        <v>73.751000000000005</v>
      </c>
      <c r="C622" s="4">
        <f>73.4114 * CHOOSE(CONTROL!$C$9, $C$13, 100%, $E$13) + CHOOSE(CONTROL!$C$28, 0.0271, 0)</f>
        <v>73.438500000000005</v>
      </c>
      <c r="D622" s="4">
        <f>70.391 * CHOOSE(CONTROL!$C$9, $C$13, 100%, $E$13) + CHOOSE(CONTROL!$C$28, 0, 0)</f>
        <v>70.391000000000005</v>
      </c>
      <c r="E622" s="4">
        <f>422.488586702512 * CHOOSE(CONTROL!$C$9, $C$13, 100%, $E$13) + CHOOSE(CONTROL!$C$28, 0, 0)</f>
        <v>422.48858670251201</v>
      </c>
    </row>
    <row r="623" spans="1:5" ht="15">
      <c r="A623" s="13">
        <v>60479</v>
      </c>
      <c r="B623" s="4">
        <f>73.7011 * CHOOSE(CONTROL!$C$9, $C$13, 100%, $E$13) + CHOOSE(CONTROL!$C$28, 0.0271, 0)</f>
        <v>73.728200000000001</v>
      </c>
      <c r="C623" s="4">
        <f>73.3886 * CHOOSE(CONTROL!$C$9, $C$13, 100%, $E$13) + CHOOSE(CONTROL!$C$28, 0.0271, 0)</f>
        <v>73.415700000000001</v>
      </c>
      <c r="D623" s="4">
        <f>71.5353 * CHOOSE(CONTROL!$C$9, $C$13, 100%, $E$13) + CHOOSE(CONTROL!$C$28, 0, 0)</f>
        <v>71.535300000000007</v>
      </c>
      <c r="E623" s="4">
        <f>422.354207381042 * CHOOSE(CONTROL!$C$9, $C$13, 100%, $E$13) + CHOOSE(CONTROL!$C$28, 0, 0)</f>
        <v>422.35420738104199</v>
      </c>
    </row>
    <row r="624" spans="1:5" ht="15">
      <c r="A624" s="13">
        <v>60510</v>
      </c>
      <c r="B624" s="4">
        <f>75.4208 * CHOOSE(CONTROL!$C$9, $C$13, 100%, $E$13) + CHOOSE(CONTROL!$C$28, 0.0271, 0)</f>
        <v>75.447900000000004</v>
      </c>
      <c r="C624" s="4">
        <f>75.1083 * CHOOSE(CONTROL!$C$9, $C$13, 100%, $E$13) + CHOOSE(CONTROL!$C$28, 0.0271, 0)</f>
        <v>75.135400000000004</v>
      </c>
      <c r="D624" s="4">
        <f>70.7796 * CHOOSE(CONTROL!$C$9, $C$13, 100%, $E$13) + CHOOSE(CONTROL!$C$28, 0, 0)</f>
        <v>70.779600000000002</v>
      </c>
      <c r="E624" s="4">
        <f>432.46625132168 * CHOOSE(CONTROL!$C$9, $C$13, 100%, $E$13) + CHOOSE(CONTROL!$C$28, 0, 0)</f>
        <v>432.46625132167998</v>
      </c>
    </row>
    <row r="625" spans="1:5" ht="15">
      <c r="A625" s="13">
        <v>60540</v>
      </c>
      <c r="B625" s="4">
        <f>72.4899 * CHOOSE(CONTROL!$C$9, $C$13, 100%, $E$13) + CHOOSE(CONTROL!$C$28, 0.0271, 0)</f>
        <v>72.51700000000001</v>
      </c>
      <c r="C625" s="4">
        <f>72.1774 * CHOOSE(CONTROL!$C$9, $C$13, 100%, $E$13) + CHOOSE(CONTROL!$C$28, 0.0271, 0)</f>
        <v>72.20450000000001</v>
      </c>
      <c r="D625" s="4">
        <f>70.4226 * CHOOSE(CONTROL!$C$9, $C$13, 100%, $E$13) + CHOOSE(CONTROL!$C$28, 0, 0)</f>
        <v>70.422600000000003</v>
      </c>
      <c r="E625" s="4">
        <f>415.232103343118 * CHOOSE(CONTROL!$C$9, $C$13, 100%, $E$13) + CHOOSE(CONTROL!$C$28, 0, 0)</f>
        <v>415.23210334311801</v>
      </c>
    </row>
    <row r="626" spans="1:5" ht="15">
      <c r="A626" s="13">
        <v>60571</v>
      </c>
      <c r="B626" s="4">
        <f>70.1437 * CHOOSE(CONTROL!$C$9, $C$13, 100%, $E$13) + CHOOSE(CONTROL!$C$28, 0.0003, 0)</f>
        <v>70.143999999999991</v>
      </c>
      <c r="C626" s="4">
        <f>69.8312 * CHOOSE(CONTROL!$C$9, $C$13, 100%, $E$13) + CHOOSE(CONTROL!$C$28, 0.0003, 0)</f>
        <v>69.831499999999991</v>
      </c>
      <c r="D626" s="4">
        <f>69.4666 * CHOOSE(CONTROL!$C$9, $C$13, 100%, $E$13) + CHOOSE(CONTROL!$C$28, 0, 0)</f>
        <v>69.4666</v>
      </c>
      <c r="E626" s="4">
        <f>401.435826338838 * CHOOSE(CONTROL!$C$9, $C$13, 100%, $E$13) + CHOOSE(CONTROL!$C$28, 0, 0)</f>
        <v>401.43582633883801</v>
      </c>
    </row>
    <row r="627" spans="1:5" ht="15">
      <c r="A627" s="13">
        <v>60601</v>
      </c>
      <c r="B627" s="4">
        <f>68.6325 * CHOOSE(CONTROL!$C$9, $C$13, 100%, $E$13) + CHOOSE(CONTROL!$C$28, 0.0003, 0)</f>
        <v>68.632799999999989</v>
      </c>
      <c r="C627" s="4">
        <f>68.32 * CHOOSE(CONTROL!$C$9, $C$13, 100%, $E$13) + CHOOSE(CONTROL!$C$28, 0.0003, 0)</f>
        <v>68.320299999999989</v>
      </c>
      <c r="D627" s="4">
        <f>69.138 * CHOOSE(CONTROL!$C$9, $C$13, 100%, $E$13) + CHOOSE(CONTROL!$C$28, 0, 0)</f>
        <v>69.138000000000005</v>
      </c>
      <c r="E627" s="4">
        <f>392.549993706616 * CHOOSE(CONTROL!$C$9, $C$13, 100%, $E$13) + CHOOSE(CONTROL!$C$28, 0, 0)</f>
        <v>392.54999370661602</v>
      </c>
    </row>
    <row r="628" spans="1:5" ht="15">
      <c r="A628" s="13">
        <v>60632</v>
      </c>
      <c r="B628" s="4">
        <f>67.587 * CHOOSE(CONTROL!$C$9, $C$13, 100%, $E$13) + CHOOSE(CONTROL!$C$28, 0.0003, 0)</f>
        <v>67.587299999999999</v>
      </c>
      <c r="C628" s="4">
        <f>67.2745 * CHOOSE(CONTROL!$C$9, $C$13, 100%, $E$13) + CHOOSE(CONTROL!$C$28, 0.0003, 0)</f>
        <v>67.274799999999999</v>
      </c>
      <c r="D628" s="4">
        <f>66.7183 * CHOOSE(CONTROL!$C$9, $C$13, 100%, $E$13) + CHOOSE(CONTROL!$C$28, 0, 0)</f>
        <v>66.718299999999999</v>
      </c>
      <c r="E628" s="4">
        <f>386.402139749352 * CHOOSE(CONTROL!$C$9, $C$13, 100%, $E$13) + CHOOSE(CONTROL!$C$28, 0, 0)</f>
        <v>386.40213974935199</v>
      </c>
    </row>
    <row r="629" spans="1:5" ht="15">
      <c r="A629" s="13">
        <v>60663</v>
      </c>
      <c r="B629" s="4">
        <f>65.8883 * CHOOSE(CONTROL!$C$9, $C$13, 100%, $E$13) + CHOOSE(CONTROL!$C$28, 0.0003, 0)</f>
        <v>65.888599999999997</v>
      </c>
      <c r="C629" s="4">
        <f>65.5758 * CHOOSE(CONTROL!$C$9, $C$13, 100%, $E$13) + CHOOSE(CONTROL!$C$28, 0.0003, 0)</f>
        <v>65.576099999999997</v>
      </c>
      <c r="D629" s="4">
        <f>64.4945 * CHOOSE(CONTROL!$C$9, $C$13, 100%, $E$13) + CHOOSE(CONTROL!$C$28, 0, 0)</f>
        <v>64.494500000000002</v>
      </c>
      <c r="E629" s="4">
        <f>375.321598842755 * CHOOSE(CONTROL!$C$9, $C$13, 100%, $E$13) + CHOOSE(CONTROL!$C$28, 0, 0)</f>
        <v>375.32159884275501</v>
      </c>
    </row>
    <row r="630" spans="1:5" ht="15">
      <c r="A630" s="13">
        <v>60691</v>
      </c>
      <c r="B630" s="4">
        <f>67.4082 * CHOOSE(CONTROL!$C$9, $C$13, 100%, $E$13) + CHOOSE(CONTROL!$C$28, 0.0003, 0)</f>
        <v>67.408499999999989</v>
      </c>
      <c r="C630" s="4">
        <f>67.0957 * CHOOSE(CONTROL!$C$9, $C$13, 100%, $E$13) + CHOOSE(CONTROL!$C$28, 0.0003, 0)</f>
        <v>67.095999999999989</v>
      </c>
      <c r="D630" s="4">
        <f>66.7339 * CHOOSE(CONTROL!$C$9, $C$13, 100%, $E$13) + CHOOSE(CONTROL!$C$28, 0, 0)</f>
        <v>66.733900000000006</v>
      </c>
      <c r="E630" s="4">
        <f>384.233212707715 * CHOOSE(CONTROL!$C$9, $C$13, 100%, $E$13) + CHOOSE(CONTROL!$C$28, 0, 0)</f>
        <v>384.23321270771498</v>
      </c>
    </row>
    <row r="631" spans="1:5" ht="15">
      <c r="A631" s="13">
        <v>60722</v>
      </c>
      <c r="B631" s="4">
        <f>71.3996 * CHOOSE(CONTROL!$C$9, $C$13, 100%, $E$13) + CHOOSE(CONTROL!$C$28, 0.0003, 0)</f>
        <v>71.399900000000002</v>
      </c>
      <c r="C631" s="4">
        <f>71.0871 * CHOOSE(CONTROL!$C$9, $C$13, 100%, $E$13) + CHOOSE(CONTROL!$C$28, 0.0003, 0)</f>
        <v>71.087400000000002</v>
      </c>
      <c r="D631" s="4">
        <f>70.2396 * CHOOSE(CONTROL!$C$9, $C$13, 100%, $E$13) + CHOOSE(CONTROL!$C$28, 0, 0)</f>
        <v>70.239599999999996</v>
      </c>
      <c r="E631" s="4">
        <f>407.63558430902 * CHOOSE(CONTROL!$C$9, $C$13, 100%, $E$13) + CHOOSE(CONTROL!$C$28, 0, 0)</f>
        <v>407.63558430901998</v>
      </c>
    </row>
    <row r="632" spans="1:5" ht="15">
      <c r="A632" s="13">
        <v>60752</v>
      </c>
      <c r="B632" s="4">
        <f>74.2356 * CHOOSE(CONTROL!$C$9, $C$13, 100%, $E$13) + CHOOSE(CONTROL!$C$28, 0.0003, 0)</f>
        <v>74.235900000000001</v>
      </c>
      <c r="C632" s="4">
        <f>73.9231 * CHOOSE(CONTROL!$C$9, $C$13, 100%, $E$13) + CHOOSE(CONTROL!$C$28, 0.0003, 0)</f>
        <v>73.923400000000001</v>
      </c>
      <c r="D632" s="4">
        <f>72.2589 * CHOOSE(CONTROL!$C$9, $C$13, 100%, $E$13) + CHOOSE(CONTROL!$C$28, 0, 0)</f>
        <v>72.258899999999997</v>
      </c>
      <c r="E632" s="4">
        <f>424.263281209356 * CHOOSE(CONTROL!$C$9, $C$13, 100%, $E$13) + CHOOSE(CONTROL!$C$28, 0, 0)</f>
        <v>424.26328120935602</v>
      </c>
    </row>
    <row r="633" spans="1:5" ht="15">
      <c r="A633" s="13">
        <v>60783</v>
      </c>
      <c r="B633" s="4">
        <f>75.9683 * CHOOSE(CONTROL!$C$9, $C$13, 100%, $E$13) + CHOOSE(CONTROL!$C$28, 0.0271, 0)</f>
        <v>75.995400000000004</v>
      </c>
      <c r="C633" s="4">
        <f>75.6558 * CHOOSE(CONTROL!$C$9, $C$13, 100%, $E$13) + CHOOSE(CONTROL!$C$28, 0.0271, 0)</f>
        <v>75.682900000000004</v>
      </c>
      <c r="D633" s="4">
        <f>71.461 * CHOOSE(CONTROL!$C$9, $C$13, 100%, $E$13) + CHOOSE(CONTROL!$C$28, 0, 0)</f>
        <v>71.460999999999999</v>
      </c>
      <c r="E633" s="4">
        <f>434.422405505184 * CHOOSE(CONTROL!$C$9, $C$13, 100%, $E$13) + CHOOSE(CONTROL!$C$28, 0, 0)</f>
        <v>434.42240550518397</v>
      </c>
    </row>
    <row r="634" spans="1:5" ht="15">
      <c r="A634" s="13">
        <v>60813</v>
      </c>
      <c r="B634" s="4">
        <f>76.2027 * CHOOSE(CONTROL!$C$9, $C$13, 100%, $E$13) + CHOOSE(CONTROL!$C$28, 0.0271, 0)</f>
        <v>76.229799999999997</v>
      </c>
      <c r="C634" s="4">
        <f>75.8902 * CHOOSE(CONTROL!$C$9, $C$13, 100%, $E$13) + CHOOSE(CONTROL!$C$28, 0.0271, 0)</f>
        <v>75.917299999999997</v>
      </c>
      <c r="D634" s="4">
        <f>72.1108 * CHOOSE(CONTROL!$C$9, $C$13, 100%, $E$13) + CHOOSE(CONTROL!$C$28, 0, 0)</f>
        <v>72.110799999999998</v>
      </c>
      <c r="E634" s="4">
        <f>435.796977183642 * CHOOSE(CONTROL!$C$9, $C$13, 100%, $E$13) + CHOOSE(CONTROL!$C$28, 0, 0)</f>
        <v>435.79697718364201</v>
      </c>
    </row>
    <row r="635" spans="1:5" ht="15">
      <c r="A635" s="13">
        <v>60844</v>
      </c>
      <c r="B635" s="4">
        <f>76.1791 * CHOOSE(CONTROL!$C$9, $C$13, 100%, $E$13) + CHOOSE(CONTROL!$C$28, 0.0271, 0)</f>
        <v>76.20620000000001</v>
      </c>
      <c r="C635" s="4">
        <f>75.8666 * CHOOSE(CONTROL!$C$9, $C$13, 100%, $E$13) + CHOOSE(CONTROL!$C$28, 0.0271, 0)</f>
        <v>75.89370000000001</v>
      </c>
      <c r="D635" s="4">
        <f>73.2834 * CHOOSE(CONTROL!$C$9, $C$13, 100%, $E$13) + CHOOSE(CONTROL!$C$28, 0, 0)</f>
        <v>73.2834</v>
      </c>
      <c r="E635" s="4">
        <f>435.658364913545 * CHOOSE(CONTROL!$C$9, $C$13, 100%, $E$13) + CHOOSE(CONTROL!$C$28, 0, 0)</f>
        <v>435.65836491354497</v>
      </c>
    </row>
    <row r="636" spans="1:5" ht="15">
      <c r="A636" s="13">
        <v>60875</v>
      </c>
      <c r="B636" s="4">
        <f>77.9581 * CHOOSE(CONTROL!$C$9, $C$13, 100%, $E$13) + CHOOSE(CONTROL!$C$28, 0.0271, 0)</f>
        <v>77.985200000000006</v>
      </c>
      <c r="C636" s="4">
        <f>77.6456 * CHOOSE(CONTROL!$C$9, $C$13, 100%, $E$13) + CHOOSE(CONTROL!$C$28, 0.0271, 0)</f>
        <v>77.672700000000006</v>
      </c>
      <c r="D636" s="4">
        <f>72.509 * CHOOSE(CONTROL!$C$9, $C$13, 100%, $E$13) + CHOOSE(CONTROL!$C$28, 0, 0)</f>
        <v>72.509</v>
      </c>
      <c r="E636" s="4">
        <f>446.088938238312 * CHOOSE(CONTROL!$C$9, $C$13, 100%, $E$13) + CHOOSE(CONTROL!$C$28, 0, 0)</f>
        <v>446.08893823831198</v>
      </c>
    </row>
    <row r="637" spans="1:5" ht="15">
      <c r="A637" s="13">
        <v>60905</v>
      </c>
      <c r="B637" s="4">
        <f>74.9261 * CHOOSE(CONTROL!$C$9, $C$13, 100%, $E$13) + CHOOSE(CONTROL!$C$28, 0.0271, 0)</f>
        <v>74.95320000000001</v>
      </c>
      <c r="C637" s="4">
        <f>74.6136 * CHOOSE(CONTROL!$C$9, $C$13, 100%, $E$13) + CHOOSE(CONTROL!$C$28, 0.0271, 0)</f>
        <v>74.64070000000001</v>
      </c>
      <c r="D637" s="4">
        <f>72.1432 * CHOOSE(CONTROL!$C$9, $C$13, 100%, $E$13) + CHOOSE(CONTROL!$C$28, 0, 0)</f>
        <v>72.143199999999993</v>
      </c>
      <c r="E637" s="4">
        <f>428.311914598426 * CHOOSE(CONTROL!$C$9, $C$13, 100%, $E$13) + CHOOSE(CONTROL!$C$28, 0, 0)</f>
        <v>428.31191459842597</v>
      </c>
    </row>
    <row r="638" spans="1:5" ht="15">
      <c r="A638" s="13">
        <v>60936</v>
      </c>
      <c r="B638" s="4">
        <f>72.499 * CHOOSE(CONTROL!$C$9, $C$13, 100%, $E$13) + CHOOSE(CONTROL!$C$28, 0.0003, 0)</f>
        <v>72.499299999999991</v>
      </c>
      <c r="C638" s="4">
        <f>72.1865 * CHOOSE(CONTROL!$C$9, $C$13, 100%, $E$13) + CHOOSE(CONTROL!$C$28, 0.0003, 0)</f>
        <v>72.186799999999991</v>
      </c>
      <c r="D638" s="4">
        <f>71.1635 * CHOOSE(CONTROL!$C$9, $C$13, 100%, $E$13) + CHOOSE(CONTROL!$C$28, 0, 0)</f>
        <v>71.163499999999999</v>
      </c>
      <c r="E638" s="4">
        <f>414.081054868511 * CHOOSE(CONTROL!$C$9, $C$13, 100%, $E$13) + CHOOSE(CONTROL!$C$28, 0, 0)</f>
        <v>414.08105486851099</v>
      </c>
    </row>
    <row r="639" spans="1:5" ht="15">
      <c r="A639" s="13">
        <v>60966</v>
      </c>
      <c r="B639" s="4">
        <f>70.9357 * CHOOSE(CONTROL!$C$9, $C$13, 100%, $E$13) + CHOOSE(CONTROL!$C$28, 0.0003, 0)</f>
        <v>70.935999999999993</v>
      </c>
      <c r="C639" s="4">
        <f>70.6232 * CHOOSE(CONTROL!$C$9, $C$13, 100%, $E$13) + CHOOSE(CONTROL!$C$28, 0.0003, 0)</f>
        <v>70.623499999999993</v>
      </c>
      <c r="D639" s="4">
        <f>70.8267 * CHOOSE(CONTROL!$C$9, $C$13, 100%, $E$13) + CHOOSE(CONTROL!$C$28, 0, 0)</f>
        <v>70.826700000000002</v>
      </c>
      <c r="E639" s="4">
        <f>404.915318508375 * CHOOSE(CONTROL!$C$9, $C$13, 100%, $E$13) + CHOOSE(CONTROL!$C$28, 0, 0)</f>
        <v>404.91531850837498</v>
      </c>
    </row>
    <row r="640" spans="1:5" ht="15">
      <c r="A640" s="13">
        <v>60997</v>
      </c>
      <c r="B640" s="4">
        <f>69.8541 * CHOOSE(CONTROL!$C$9, $C$13, 100%, $E$13) + CHOOSE(CONTROL!$C$28, 0.0003, 0)</f>
        <v>69.854399999999998</v>
      </c>
      <c r="C640" s="4">
        <f>69.5416 * CHOOSE(CONTROL!$C$9, $C$13, 100%, $E$13) + CHOOSE(CONTROL!$C$28, 0.0003, 0)</f>
        <v>69.541899999999998</v>
      </c>
      <c r="D640" s="4">
        <f>68.3471 * CHOOSE(CONTROL!$C$9, $C$13, 100%, $E$13) + CHOOSE(CONTROL!$C$28, 0, 0)</f>
        <v>68.347099999999998</v>
      </c>
      <c r="E640" s="4">
        <f>398.573807151456 * CHOOSE(CONTROL!$C$9, $C$13, 100%, $E$13) + CHOOSE(CONTROL!$C$28, 0, 0)</f>
        <v>398.57380715145598</v>
      </c>
    </row>
    <row r="641" spans="1:5" ht="15">
      <c r="A641" s="13">
        <v>61028</v>
      </c>
      <c r="B641" s="4">
        <f>68.0968 * CHOOSE(CONTROL!$C$9, $C$13, 100%, $E$13) + CHOOSE(CONTROL!$C$28, 0.0003, 0)</f>
        <v>68.097099999999998</v>
      </c>
      <c r="C641" s="4">
        <f>67.7843 * CHOOSE(CONTROL!$C$9, $C$13, 100%, $E$13) + CHOOSE(CONTROL!$C$28, 0.0003, 0)</f>
        <v>67.784599999999998</v>
      </c>
      <c r="D641" s="4">
        <f>66.0681 * CHOOSE(CONTROL!$C$9, $C$13, 100%, $E$13) + CHOOSE(CONTROL!$C$28, 0, 0)</f>
        <v>66.068100000000001</v>
      </c>
      <c r="E641" s="4">
        <f>387.144229206302 * CHOOSE(CONTROL!$C$9, $C$13, 100%, $E$13) + CHOOSE(CONTROL!$C$28, 0, 0)</f>
        <v>387.14422920630199</v>
      </c>
    </row>
    <row r="642" spans="1:5" ht="15">
      <c r="A642" s="13">
        <v>61056</v>
      </c>
      <c r="B642" s="4">
        <f>69.6691 * CHOOSE(CONTROL!$C$9, $C$13, 100%, $E$13) + CHOOSE(CONTROL!$C$28, 0.0003, 0)</f>
        <v>69.669399999999996</v>
      </c>
      <c r="C642" s="4">
        <f>69.3566 * CHOOSE(CONTROL!$C$9, $C$13, 100%, $E$13) + CHOOSE(CONTROL!$C$28, 0.0003, 0)</f>
        <v>69.356899999999996</v>
      </c>
      <c r="D642" s="4">
        <f>68.363 * CHOOSE(CONTROL!$C$9, $C$13, 100%, $E$13) + CHOOSE(CONTROL!$C$28, 0, 0)</f>
        <v>68.363</v>
      </c>
      <c r="E642" s="4">
        <f>396.336558908008 * CHOOSE(CONTROL!$C$9, $C$13, 100%, $E$13) + CHOOSE(CONTROL!$C$28, 0, 0)</f>
        <v>396.33655890800799</v>
      </c>
    </row>
    <row r="643" spans="1:5" ht="15">
      <c r="A643" s="13">
        <v>61087</v>
      </c>
      <c r="B643" s="4">
        <f>73.7982 * CHOOSE(CONTROL!$C$9, $C$13, 100%, $E$13) + CHOOSE(CONTROL!$C$28, 0.0003, 0)</f>
        <v>73.79849999999999</v>
      </c>
      <c r="C643" s="4">
        <f>73.4857 * CHOOSE(CONTROL!$C$9, $C$13, 100%, $E$13) + CHOOSE(CONTROL!$C$28, 0.0003, 0)</f>
        <v>73.48599999999999</v>
      </c>
      <c r="D643" s="4">
        <f>71.9556 * CHOOSE(CONTROL!$C$9, $C$13, 100%, $E$13) + CHOOSE(CONTROL!$C$28, 0, 0)</f>
        <v>71.955600000000004</v>
      </c>
      <c r="E643" s="4">
        <f>420.476105214754 * CHOOSE(CONTROL!$C$9, $C$13, 100%, $E$13) + CHOOSE(CONTROL!$C$28, 0, 0)</f>
        <v>420.476105214754</v>
      </c>
    </row>
    <row r="644" spans="1:5" ht="15">
      <c r="A644" s="13">
        <v>61117</v>
      </c>
      <c r="B644" s="4">
        <f>76.732 * CHOOSE(CONTROL!$C$9, $C$13, 100%, $E$13) + CHOOSE(CONTROL!$C$28, 0.0003, 0)</f>
        <v>76.732299999999995</v>
      </c>
      <c r="C644" s="4">
        <f>76.4195 * CHOOSE(CONTROL!$C$9, $C$13, 100%, $E$13) + CHOOSE(CONTROL!$C$28, 0.0003, 0)</f>
        <v>76.419799999999995</v>
      </c>
      <c r="D644" s="4">
        <f>74.0251 * CHOOSE(CONTROL!$C$9, $C$13, 100%, $E$13) + CHOOSE(CONTROL!$C$28, 0, 0)</f>
        <v>74.025099999999995</v>
      </c>
      <c r="E644" s="4">
        <f>437.62757456745 * CHOOSE(CONTROL!$C$9, $C$13, 100%, $E$13) + CHOOSE(CONTROL!$C$28, 0, 0)</f>
        <v>437.62757456744998</v>
      </c>
    </row>
    <row r="645" spans="1:5" ht="15">
      <c r="A645" s="13">
        <v>61148</v>
      </c>
      <c r="B645" s="4">
        <f>78.5245 * CHOOSE(CONTROL!$C$9, $C$13, 100%, $E$13) + CHOOSE(CONTROL!$C$28, 0.0271, 0)</f>
        <v>78.551600000000008</v>
      </c>
      <c r="C645" s="4">
        <f>78.212 * CHOOSE(CONTROL!$C$9, $C$13, 100%, $E$13) + CHOOSE(CONTROL!$C$28, 0.0271, 0)</f>
        <v>78.239100000000008</v>
      </c>
      <c r="D645" s="4">
        <f>73.2073 * CHOOSE(CONTROL!$C$9, $C$13, 100%, $E$13) + CHOOSE(CONTROL!$C$28, 0, 0)</f>
        <v>73.207300000000004</v>
      </c>
      <c r="E645" s="4">
        <f>448.106711278597 * CHOOSE(CONTROL!$C$9, $C$13, 100%, $E$13) + CHOOSE(CONTROL!$C$28, 0, 0)</f>
        <v>448.106711278597</v>
      </c>
    </row>
    <row r="646" spans="1:5" ht="15">
      <c r="A646" s="13">
        <v>61178</v>
      </c>
      <c r="B646" s="4">
        <f>78.767 * CHOOSE(CONTROL!$C$9, $C$13, 100%, $E$13) + CHOOSE(CONTROL!$C$28, 0.0271, 0)</f>
        <v>78.7941</v>
      </c>
      <c r="C646" s="4">
        <f>78.4545 * CHOOSE(CONTROL!$C$9, $C$13, 100%, $E$13) + CHOOSE(CONTROL!$C$28, 0.0271, 0)</f>
        <v>78.4816</v>
      </c>
      <c r="D646" s="4">
        <f>73.8733 * CHOOSE(CONTROL!$C$9, $C$13, 100%, $E$13) + CHOOSE(CONTROL!$C$28, 0, 0)</f>
        <v>73.8733</v>
      </c>
      <c r="E646" s="4">
        <f>449.524581964926 * CHOOSE(CONTROL!$C$9, $C$13, 100%, $E$13) + CHOOSE(CONTROL!$C$28, 0, 0)</f>
        <v>449.52458196492603</v>
      </c>
    </row>
    <row r="647" spans="1:5" ht="15">
      <c r="A647" s="13">
        <v>61209</v>
      </c>
      <c r="B647" s="4">
        <f>78.7426 * CHOOSE(CONTROL!$C$9, $C$13, 100%, $E$13) + CHOOSE(CONTROL!$C$28, 0.0271, 0)</f>
        <v>78.7697</v>
      </c>
      <c r="C647" s="4">
        <f>78.4301 * CHOOSE(CONTROL!$C$9, $C$13, 100%, $E$13) + CHOOSE(CONTROL!$C$28, 0.0271, 0)</f>
        <v>78.4572</v>
      </c>
      <c r="D647" s="4">
        <f>75.075 * CHOOSE(CONTROL!$C$9, $C$13, 100%, $E$13) + CHOOSE(CONTROL!$C$28, 0, 0)</f>
        <v>75.075000000000003</v>
      </c>
      <c r="E647" s="4">
        <f>449.381603408322 * CHOOSE(CONTROL!$C$9, $C$13, 100%, $E$13) + CHOOSE(CONTROL!$C$28, 0, 0)</f>
        <v>449.38160340832201</v>
      </c>
    </row>
    <row r="648" spans="1:5" ht="15">
      <c r="A648" s="13">
        <v>61240</v>
      </c>
      <c r="B648" s="4">
        <f>80.583 * CHOOSE(CONTROL!$C$9, $C$13, 100%, $E$13) + CHOOSE(CONTROL!$C$28, 0.0271, 0)</f>
        <v>80.610100000000003</v>
      </c>
      <c r="C648" s="4">
        <f>80.2705 * CHOOSE(CONTROL!$C$9, $C$13, 100%, $E$13) + CHOOSE(CONTROL!$C$28, 0.0271, 0)</f>
        <v>80.297600000000003</v>
      </c>
      <c r="D648" s="4">
        <f>74.2814 * CHOOSE(CONTROL!$C$9, $C$13, 100%, $E$13) + CHOOSE(CONTROL!$C$28, 0, 0)</f>
        <v>74.281400000000005</v>
      </c>
      <c r="E648" s="4">
        <f>460.140739792819 * CHOOSE(CONTROL!$C$9, $C$13, 100%, $E$13) + CHOOSE(CONTROL!$C$28, 0, 0)</f>
        <v>460.14073979281898</v>
      </c>
    </row>
    <row r="649" spans="1:5" ht="15">
      <c r="A649" s="13">
        <v>61270</v>
      </c>
      <c r="B649" s="4">
        <f>77.4464 * CHOOSE(CONTROL!$C$9, $C$13, 100%, $E$13) + CHOOSE(CONTROL!$C$28, 0.0271, 0)</f>
        <v>77.473500000000001</v>
      </c>
      <c r="C649" s="4">
        <f>77.1339 * CHOOSE(CONTROL!$C$9, $C$13, 100%, $E$13) + CHOOSE(CONTROL!$C$28, 0.0271, 0)</f>
        <v>77.161000000000001</v>
      </c>
      <c r="D649" s="4">
        <f>73.9064 * CHOOSE(CONTROL!$C$9, $C$13, 100%, $E$13) + CHOOSE(CONTROL!$C$28, 0, 0)</f>
        <v>73.906400000000005</v>
      </c>
      <c r="E649" s="4">
        <f>441.803739908277 * CHOOSE(CONTROL!$C$9, $C$13, 100%, $E$13) + CHOOSE(CONTROL!$C$28, 0, 0)</f>
        <v>441.80373990827701</v>
      </c>
    </row>
    <row r="650" spans="1:5" ht="15">
      <c r="A650" s="13">
        <v>61301</v>
      </c>
      <c r="B650" s="4">
        <f>74.9355 * CHOOSE(CONTROL!$C$9, $C$13, 100%, $E$13) + CHOOSE(CONTROL!$C$28, 0.0003, 0)</f>
        <v>74.9358</v>
      </c>
      <c r="C650" s="4">
        <f>74.623 * CHOOSE(CONTROL!$C$9, $C$13, 100%, $E$13) + CHOOSE(CONTROL!$C$28, 0.0003, 0)</f>
        <v>74.6233</v>
      </c>
      <c r="D650" s="4">
        <f>72.9025 * CHOOSE(CONTROL!$C$9, $C$13, 100%, $E$13) + CHOOSE(CONTROL!$C$28, 0, 0)</f>
        <v>72.902500000000003</v>
      </c>
      <c r="E650" s="4">
        <f>427.124608096869 * CHOOSE(CONTROL!$C$9, $C$13, 100%, $E$13) + CHOOSE(CONTROL!$C$28, 0, 0)</f>
        <v>427.124608096869</v>
      </c>
    </row>
    <row r="651" spans="1:5" ht="15">
      <c r="A651" s="13">
        <v>61331</v>
      </c>
      <c r="B651" s="4">
        <f>73.3183 * CHOOSE(CONTROL!$C$9, $C$13, 100%, $E$13) + CHOOSE(CONTROL!$C$28, 0.0003, 0)</f>
        <v>73.318599999999989</v>
      </c>
      <c r="C651" s="4">
        <f>73.0058 * CHOOSE(CONTROL!$C$9, $C$13, 100%, $E$13) + CHOOSE(CONTROL!$C$28, 0.0003, 0)</f>
        <v>73.006099999999989</v>
      </c>
      <c r="D651" s="4">
        <f>72.5573 * CHOOSE(CONTROL!$C$9, $C$13, 100%, $E$13) + CHOOSE(CONTROL!$C$28, 0, 0)</f>
        <v>72.557299999999998</v>
      </c>
      <c r="E651" s="4">
        <f>417.670151041389 * CHOOSE(CONTROL!$C$9, $C$13, 100%, $E$13) + CHOOSE(CONTROL!$C$28, 0, 0)</f>
        <v>417.67015104138898</v>
      </c>
    </row>
    <row r="652" spans="1:5" ht="15">
      <c r="A652" s="13">
        <v>61362</v>
      </c>
      <c r="B652" s="4">
        <f>72.1994 * CHOOSE(CONTROL!$C$9, $C$13, 100%, $E$13) + CHOOSE(CONTROL!$C$28, 0.0003, 0)</f>
        <v>72.199699999999993</v>
      </c>
      <c r="C652" s="4">
        <f>71.8869 * CHOOSE(CONTROL!$C$9, $C$13, 100%, $E$13) + CHOOSE(CONTROL!$C$28, 0.0003, 0)</f>
        <v>71.887199999999993</v>
      </c>
      <c r="D652" s="4">
        <f>70.0162 * CHOOSE(CONTROL!$C$9, $C$13, 100%, $E$13) + CHOOSE(CONTROL!$C$28, 0, 0)</f>
        <v>70.016199999999998</v>
      </c>
      <c r="E652" s="4">
        <f>411.128882076727 * CHOOSE(CONTROL!$C$9, $C$13, 100%, $E$13) + CHOOSE(CONTROL!$C$28, 0, 0)</f>
        <v>411.128882076727</v>
      </c>
    </row>
    <row r="653" spans="1:5" ht="15">
      <c r="A653" s="13">
        <v>61393</v>
      </c>
      <c r="B653" s="4">
        <f>70.3814 * CHOOSE(CONTROL!$C$9, $C$13, 100%, $E$13) + CHOOSE(CONTROL!$C$28, 0.0003, 0)</f>
        <v>70.381699999999995</v>
      </c>
      <c r="C653" s="4">
        <f>70.0689 * CHOOSE(CONTROL!$C$9, $C$13, 100%, $E$13) + CHOOSE(CONTROL!$C$28, 0.0003, 0)</f>
        <v>70.069199999999995</v>
      </c>
      <c r="D653" s="4">
        <f>67.6807 * CHOOSE(CONTROL!$C$9, $C$13, 100%, $E$13) + CHOOSE(CONTROL!$C$28, 0, 0)</f>
        <v>67.680700000000002</v>
      </c>
      <c r="E653" s="4">
        <f>399.339272426301 * CHOOSE(CONTROL!$C$9, $C$13, 100%, $E$13) + CHOOSE(CONTROL!$C$28, 0, 0)</f>
        <v>399.33927242630102</v>
      </c>
    </row>
    <row r="654" spans="1:5" ht="15">
      <c r="A654" s="13">
        <v>61422</v>
      </c>
      <c r="B654" s="4">
        <f>72.008 * CHOOSE(CONTROL!$C$9, $C$13, 100%, $E$13) + CHOOSE(CONTROL!$C$28, 0.0003, 0)</f>
        <v>72.008299999999991</v>
      </c>
      <c r="C654" s="4">
        <f>71.6955 * CHOOSE(CONTROL!$C$9, $C$13, 100%, $E$13) + CHOOSE(CONTROL!$C$28, 0.0003, 0)</f>
        <v>71.695799999999991</v>
      </c>
      <c r="D654" s="4">
        <f>70.0325 * CHOOSE(CONTROL!$C$9, $C$13, 100%, $E$13) + CHOOSE(CONTROL!$C$28, 0, 0)</f>
        <v>70.032499999999999</v>
      </c>
      <c r="E654" s="4">
        <f>408.82116051361 * CHOOSE(CONTROL!$C$9, $C$13, 100%, $E$13) + CHOOSE(CONTROL!$C$28, 0, 0)</f>
        <v>408.82116051360998</v>
      </c>
    </row>
    <row r="655" spans="1:5" ht="15">
      <c r="A655" s="13">
        <v>61453</v>
      </c>
      <c r="B655" s="4">
        <f>76.2796 * CHOOSE(CONTROL!$C$9, $C$13, 100%, $E$13) + CHOOSE(CONTROL!$C$28, 0.0003, 0)</f>
        <v>76.279899999999998</v>
      </c>
      <c r="C655" s="4">
        <f>75.9671 * CHOOSE(CONTROL!$C$9, $C$13, 100%, $E$13) + CHOOSE(CONTROL!$C$28, 0.0003, 0)</f>
        <v>75.967399999999998</v>
      </c>
      <c r="D655" s="4">
        <f>73.7142 * CHOOSE(CONTROL!$C$9, $C$13, 100%, $E$13) + CHOOSE(CONTROL!$C$28, 0, 0)</f>
        <v>73.714200000000005</v>
      </c>
      <c r="E655" s="4">
        <f>433.721102529019 * CHOOSE(CONTROL!$C$9, $C$13, 100%, $E$13) + CHOOSE(CONTROL!$C$28, 0, 0)</f>
        <v>433.72110252901899</v>
      </c>
    </row>
    <row r="656" spans="1:5" ht="15">
      <c r="A656" s="13">
        <v>61483</v>
      </c>
      <c r="B656" s="4">
        <f>79.3146 * CHOOSE(CONTROL!$C$9, $C$13, 100%, $E$13) + CHOOSE(CONTROL!$C$28, 0.0003, 0)</f>
        <v>79.314899999999994</v>
      </c>
      <c r="C656" s="4">
        <f>79.0021 * CHOOSE(CONTROL!$C$9, $C$13, 100%, $E$13) + CHOOSE(CONTROL!$C$28, 0.0003, 0)</f>
        <v>79.002399999999994</v>
      </c>
      <c r="D656" s="4">
        <f>75.835 * CHOOSE(CONTROL!$C$9, $C$13, 100%, $E$13) + CHOOSE(CONTROL!$C$28, 0, 0)</f>
        <v>75.834999999999994</v>
      </c>
      <c r="E656" s="4">
        <f>451.412843166325 * CHOOSE(CONTROL!$C$9, $C$13, 100%, $E$13) + CHOOSE(CONTROL!$C$28, 0, 0)</f>
        <v>451.41284316632499</v>
      </c>
    </row>
    <row r="657" spans="1:5" ht="15">
      <c r="A657" s="13">
        <v>61514</v>
      </c>
      <c r="B657" s="4">
        <f>81.1689 * CHOOSE(CONTROL!$C$9, $C$13, 100%, $E$13) + CHOOSE(CONTROL!$C$28, 0.0271, 0)</f>
        <v>81.195999999999998</v>
      </c>
      <c r="C657" s="4">
        <f>80.8564 * CHOOSE(CONTROL!$C$9, $C$13, 100%, $E$13) + CHOOSE(CONTROL!$C$28, 0.0271, 0)</f>
        <v>80.883499999999998</v>
      </c>
      <c r="D657" s="4">
        <f>74.997 * CHOOSE(CONTROL!$C$9, $C$13, 100%, $E$13) + CHOOSE(CONTROL!$C$28, 0, 0)</f>
        <v>74.997</v>
      </c>
      <c r="E657" s="4">
        <f>462.222072683873 * CHOOSE(CONTROL!$C$9, $C$13, 100%, $E$13) + CHOOSE(CONTROL!$C$28, 0, 0)</f>
        <v>462.22207268387302</v>
      </c>
    </row>
    <row r="658" spans="1:5" ht="15">
      <c r="A658" s="13">
        <v>61544</v>
      </c>
      <c r="B658" s="4">
        <f>81.4198 * CHOOSE(CONTROL!$C$9, $C$13, 100%, $E$13) + CHOOSE(CONTROL!$C$28, 0.0271, 0)</f>
        <v>81.446899999999999</v>
      </c>
      <c r="C658" s="4">
        <f>81.1073 * CHOOSE(CONTROL!$C$9, $C$13, 100%, $E$13) + CHOOSE(CONTROL!$C$28, 0.0271, 0)</f>
        <v>81.134399999999999</v>
      </c>
      <c r="D658" s="4">
        <f>75.6795 * CHOOSE(CONTROL!$C$9, $C$13, 100%, $E$13) + CHOOSE(CONTROL!$C$28, 0, 0)</f>
        <v>75.679500000000004</v>
      </c>
      <c r="E658" s="4">
        <f>463.684606296822 * CHOOSE(CONTROL!$C$9, $C$13, 100%, $E$13) + CHOOSE(CONTROL!$C$28, 0, 0)</f>
        <v>463.68460629682198</v>
      </c>
    </row>
    <row r="659" spans="1:5" ht="15">
      <c r="A659" s="13">
        <v>61575</v>
      </c>
      <c r="B659" s="4">
        <f>81.3945 * CHOOSE(CONTROL!$C$9, $C$13, 100%, $E$13) + CHOOSE(CONTROL!$C$28, 0.0271, 0)</f>
        <v>81.421599999999998</v>
      </c>
      <c r="C659" s="4">
        <f>81.082 * CHOOSE(CONTROL!$C$9, $C$13, 100%, $E$13) + CHOOSE(CONTROL!$C$28, 0.0271, 0)</f>
        <v>81.109099999999998</v>
      </c>
      <c r="D659" s="4">
        <f>76.9109 * CHOOSE(CONTROL!$C$9, $C$13, 100%, $E$13) + CHOOSE(CONTROL!$C$28, 0, 0)</f>
        <v>76.910899999999998</v>
      </c>
      <c r="E659" s="4">
        <f>463.537123915684 * CHOOSE(CONTROL!$C$9, $C$13, 100%, $E$13) + CHOOSE(CONTROL!$C$28, 0, 0)</f>
        <v>463.53712391568399</v>
      </c>
    </row>
    <row r="660" spans="1:5" ht="15">
      <c r="A660" s="13">
        <v>61606</v>
      </c>
      <c r="B660" s="4">
        <f>83.2984 * CHOOSE(CONTROL!$C$9, $C$13, 100%, $E$13) + CHOOSE(CONTROL!$C$28, 0.0271, 0)</f>
        <v>83.325500000000005</v>
      </c>
      <c r="C660" s="4">
        <f>82.9859 * CHOOSE(CONTROL!$C$9, $C$13, 100%, $E$13) + CHOOSE(CONTROL!$C$28, 0.0271, 0)</f>
        <v>83.013000000000005</v>
      </c>
      <c r="D660" s="4">
        <f>76.0977 * CHOOSE(CONTROL!$C$9, $C$13, 100%, $E$13) + CHOOSE(CONTROL!$C$28, 0, 0)</f>
        <v>76.097700000000003</v>
      </c>
      <c r="E660" s="4">
        <f>474.635173096293 * CHOOSE(CONTROL!$C$9, $C$13, 100%, $E$13) + CHOOSE(CONTROL!$C$28, 0, 0)</f>
        <v>474.63517309629299</v>
      </c>
    </row>
    <row r="661" spans="1:5" ht="15">
      <c r="A661" s="13">
        <v>61636</v>
      </c>
      <c r="B661" s="4">
        <f>80.0536 * CHOOSE(CONTROL!$C$9, $C$13, 100%, $E$13) + CHOOSE(CONTROL!$C$28, 0.0271, 0)</f>
        <v>80.080700000000007</v>
      </c>
      <c r="C661" s="4">
        <f>79.7411 * CHOOSE(CONTROL!$C$9, $C$13, 100%, $E$13) + CHOOSE(CONTROL!$C$28, 0.0271, 0)</f>
        <v>79.768200000000007</v>
      </c>
      <c r="D661" s="4">
        <f>75.7134 * CHOOSE(CONTROL!$C$9, $C$13, 100%, $E$13) + CHOOSE(CONTROL!$C$28, 0, 0)</f>
        <v>75.713399999999993</v>
      </c>
      <c r="E661" s="4">
        <f>455.720557715388 * CHOOSE(CONTROL!$C$9, $C$13, 100%, $E$13) + CHOOSE(CONTROL!$C$28, 0, 0)</f>
        <v>455.720557715388</v>
      </c>
    </row>
    <row r="662" spans="1:5" ht="15">
      <c r="A662" s="13">
        <v>61667</v>
      </c>
      <c r="B662" s="4">
        <f>77.4561 * CHOOSE(CONTROL!$C$9, $C$13, 100%, $E$13) + CHOOSE(CONTROL!$C$28, 0.0003, 0)</f>
        <v>77.456400000000002</v>
      </c>
      <c r="C662" s="4">
        <f>77.1436 * CHOOSE(CONTROL!$C$9, $C$13, 100%, $E$13) + CHOOSE(CONTROL!$C$28, 0.0003, 0)</f>
        <v>77.143900000000002</v>
      </c>
      <c r="D662" s="4">
        <f>74.6846 * CHOOSE(CONTROL!$C$9, $C$13, 100%, $E$13) + CHOOSE(CONTROL!$C$28, 0, 0)</f>
        <v>74.684600000000003</v>
      </c>
      <c r="E662" s="4">
        <f>440.579033251921 * CHOOSE(CONTROL!$C$9, $C$13, 100%, $E$13) + CHOOSE(CONTROL!$C$28, 0, 0)</f>
        <v>440.57903325192098</v>
      </c>
    </row>
    <row r="663" spans="1:5" ht="15">
      <c r="A663" s="13">
        <v>61697</v>
      </c>
      <c r="B663" s="4">
        <f>75.7831 * CHOOSE(CONTROL!$C$9, $C$13, 100%, $E$13) + CHOOSE(CONTROL!$C$28, 0.0003, 0)</f>
        <v>75.7834</v>
      </c>
      <c r="C663" s="4">
        <f>75.4706 * CHOOSE(CONTROL!$C$9, $C$13, 100%, $E$13) + CHOOSE(CONTROL!$C$28, 0.0003, 0)</f>
        <v>75.4709</v>
      </c>
      <c r="D663" s="4">
        <f>74.3308 * CHOOSE(CONTROL!$C$9, $C$13, 100%, $E$13) + CHOOSE(CONTROL!$C$28, 0, 0)</f>
        <v>74.330799999999996</v>
      </c>
      <c r="E663" s="4">
        <f>430.826760799192 * CHOOSE(CONTROL!$C$9, $C$13, 100%, $E$13) + CHOOSE(CONTROL!$C$28, 0, 0)</f>
        <v>430.82676079919202</v>
      </c>
    </row>
    <row r="664" spans="1:5" ht="15">
      <c r="A664" s="13">
        <v>61728</v>
      </c>
      <c r="B664" s="4">
        <f>74.6256 * CHOOSE(CONTROL!$C$9, $C$13, 100%, $E$13) + CHOOSE(CONTROL!$C$28, 0.0003, 0)</f>
        <v>74.625900000000001</v>
      </c>
      <c r="C664" s="4">
        <f>74.3131 * CHOOSE(CONTROL!$C$9, $C$13, 100%, $E$13) + CHOOSE(CONTROL!$C$28, 0.0003, 0)</f>
        <v>74.313400000000001</v>
      </c>
      <c r="D664" s="4">
        <f>71.7267 * CHOOSE(CONTROL!$C$9, $C$13, 100%, $E$13) + CHOOSE(CONTROL!$C$28, 0, 0)</f>
        <v>71.726699999999994</v>
      </c>
      <c r="E664" s="4">
        <f>424.079441862144 * CHOOSE(CONTROL!$C$9, $C$13, 100%, $E$13) + CHOOSE(CONTROL!$C$28, 0, 0)</f>
        <v>424.07944186214399</v>
      </c>
    </row>
    <row r="665" spans="1:5" ht="15">
      <c r="A665" s="13">
        <v>61759</v>
      </c>
      <c r="B665" s="4">
        <f>72.7449 * CHOOSE(CONTROL!$C$9, $C$13, 100%, $E$13) + CHOOSE(CONTROL!$C$28, 0.0003, 0)</f>
        <v>72.745199999999997</v>
      </c>
      <c r="C665" s="4">
        <f>72.4324 * CHOOSE(CONTROL!$C$9, $C$13, 100%, $E$13) + CHOOSE(CONTROL!$C$28, 0.0003, 0)</f>
        <v>72.432699999999997</v>
      </c>
      <c r="D665" s="4">
        <f>69.3333 * CHOOSE(CONTROL!$C$9, $C$13, 100%, $E$13) + CHOOSE(CONTROL!$C$28, 0, 0)</f>
        <v>69.333299999999994</v>
      </c>
      <c r="E665" s="4">
        <f>411.918459507729 * CHOOSE(CONTROL!$C$9, $C$13, 100%, $E$13) + CHOOSE(CONTROL!$C$28, 0, 0)</f>
        <v>411.91845950772898</v>
      </c>
    </row>
    <row r="666" spans="1:5" ht="15">
      <c r="A666" s="13">
        <v>61787</v>
      </c>
      <c r="B666" s="4">
        <f>74.4276 * CHOOSE(CONTROL!$C$9, $C$13, 100%, $E$13) + CHOOSE(CONTROL!$C$28, 0.0003, 0)</f>
        <v>74.427899999999994</v>
      </c>
      <c r="C666" s="4">
        <f>74.1151 * CHOOSE(CONTROL!$C$9, $C$13, 100%, $E$13) + CHOOSE(CONTROL!$C$28, 0.0003, 0)</f>
        <v>74.115399999999994</v>
      </c>
      <c r="D666" s="4">
        <f>71.7435 * CHOOSE(CONTROL!$C$9, $C$13, 100%, $E$13) + CHOOSE(CONTROL!$C$28, 0, 0)</f>
        <v>71.743499999999997</v>
      </c>
      <c r="E666" s="4">
        <f>421.699027069789 * CHOOSE(CONTROL!$C$9, $C$13, 100%, $E$13) + CHOOSE(CONTROL!$C$28, 0, 0)</f>
        <v>421.699027069789</v>
      </c>
    </row>
    <row r="667" spans="1:5" ht="15">
      <c r="A667" s="13">
        <v>61818</v>
      </c>
      <c r="B667" s="4">
        <f>78.8465 * CHOOSE(CONTROL!$C$9, $C$13, 100%, $E$13) + CHOOSE(CONTROL!$C$28, 0.0003, 0)</f>
        <v>78.846800000000002</v>
      </c>
      <c r="C667" s="4">
        <f>78.534 * CHOOSE(CONTROL!$C$9, $C$13, 100%, $E$13) + CHOOSE(CONTROL!$C$28, 0.0003, 0)</f>
        <v>78.534300000000002</v>
      </c>
      <c r="D667" s="4">
        <f>75.5164 * CHOOSE(CONTROL!$C$9, $C$13, 100%, $E$13) + CHOOSE(CONTROL!$C$28, 0, 0)</f>
        <v>75.516400000000004</v>
      </c>
      <c r="E667" s="4">
        <f>447.383317258683 * CHOOSE(CONTROL!$C$9, $C$13, 100%, $E$13) + CHOOSE(CONTROL!$C$28, 0, 0)</f>
        <v>447.38331725868301</v>
      </c>
    </row>
    <row r="668" spans="1:5" ht="15">
      <c r="A668" s="13">
        <v>61848</v>
      </c>
      <c r="B668" s="4">
        <f>81.9863 * CHOOSE(CONTROL!$C$9, $C$13, 100%, $E$13) + CHOOSE(CONTROL!$C$28, 0.0003, 0)</f>
        <v>81.986599999999996</v>
      </c>
      <c r="C668" s="4">
        <f>81.6738 * CHOOSE(CONTROL!$C$9, $C$13, 100%, $E$13) + CHOOSE(CONTROL!$C$28, 0.0003, 0)</f>
        <v>81.674099999999996</v>
      </c>
      <c r="D668" s="4">
        <f>77.6898 * CHOOSE(CONTROL!$C$9, $C$13, 100%, $E$13) + CHOOSE(CONTROL!$C$28, 0, 0)</f>
        <v>77.689800000000005</v>
      </c>
      <c r="E668" s="4">
        <f>465.632347726064 * CHOOSE(CONTROL!$C$9, $C$13, 100%, $E$13) + CHOOSE(CONTROL!$C$28, 0, 0)</f>
        <v>465.63234772606398</v>
      </c>
    </row>
    <row r="669" spans="1:5" ht="15">
      <c r="A669" s="13">
        <v>61879</v>
      </c>
      <c r="B669" s="4">
        <f>83.9046 * CHOOSE(CONTROL!$C$9, $C$13, 100%, $E$13) + CHOOSE(CONTROL!$C$28, 0.0271, 0)</f>
        <v>83.931700000000006</v>
      </c>
      <c r="C669" s="4">
        <f>83.5921 * CHOOSE(CONTROL!$C$9, $C$13, 100%, $E$13) + CHOOSE(CONTROL!$C$28, 0.0271, 0)</f>
        <v>83.619200000000006</v>
      </c>
      <c r="D669" s="4">
        <f>76.831 * CHOOSE(CONTROL!$C$9, $C$13, 100%, $E$13) + CHOOSE(CONTROL!$C$28, 0, 0)</f>
        <v>76.831000000000003</v>
      </c>
      <c r="E669" s="4">
        <f>476.782067973415 * CHOOSE(CONTROL!$C$9, $C$13, 100%, $E$13) + CHOOSE(CONTROL!$C$28, 0, 0)</f>
        <v>476.782067973415</v>
      </c>
    </row>
    <row r="670" spans="1:5" ht="15">
      <c r="A670" s="13">
        <v>61909</v>
      </c>
      <c r="B670" s="4">
        <f>84.1641 * CHOOSE(CONTROL!$C$9, $C$13, 100%, $E$13) + CHOOSE(CONTROL!$C$28, 0.0271, 0)</f>
        <v>84.191200000000009</v>
      </c>
      <c r="C670" s="4">
        <f>83.8516 * CHOOSE(CONTROL!$C$9, $C$13, 100%, $E$13) + CHOOSE(CONTROL!$C$28, 0.0271, 0)</f>
        <v>83.878700000000009</v>
      </c>
      <c r="D670" s="4">
        <f>77.5304 * CHOOSE(CONTROL!$C$9, $C$13, 100%, $E$13) + CHOOSE(CONTROL!$C$28, 0, 0)</f>
        <v>77.5304</v>
      </c>
      <c r="E670" s="4">
        <f>478.290671395171 * CHOOSE(CONTROL!$C$9, $C$13, 100%, $E$13) + CHOOSE(CONTROL!$C$28, 0, 0)</f>
        <v>478.29067139517099</v>
      </c>
    </row>
    <row r="671" spans="1:5" ht="15">
      <c r="A671" s="13">
        <v>61940</v>
      </c>
      <c r="B671" s="4">
        <f>84.1379 * CHOOSE(CONTROL!$C$9, $C$13, 100%, $E$13) + CHOOSE(CONTROL!$C$28, 0.0271, 0)</f>
        <v>84.165000000000006</v>
      </c>
      <c r="C671" s="4">
        <f>83.8254 * CHOOSE(CONTROL!$C$9, $C$13, 100%, $E$13) + CHOOSE(CONTROL!$C$28, 0.0271, 0)</f>
        <v>83.852500000000006</v>
      </c>
      <c r="D671" s="4">
        <f>78.7924 * CHOOSE(CONTROL!$C$9, $C$13, 100%, $E$13) + CHOOSE(CONTROL!$C$28, 0, 0)</f>
        <v>78.792400000000001</v>
      </c>
      <c r="E671" s="4">
        <f>478.138543319028 * CHOOSE(CONTROL!$C$9, $C$13, 100%, $E$13) + CHOOSE(CONTROL!$C$28, 0, 0)</f>
        <v>478.13854331902797</v>
      </c>
    </row>
    <row r="672" spans="1:5" ht="15">
      <c r="A672" s="13">
        <v>61971</v>
      </c>
      <c r="B672" s="4">
        <f>86.1075 * CHOOSE(CONTROL!$C$9, $C$13, 100%, $E$13) + CHOOSE(CONTROL!$C$28, 0.0271, 0)</f>
        <v>86.134600000000006</v>
      </c>
      <c r="C672" s="4">
        <f>85.795 * CHOOSE(CONTROL!$C$9, $C$13, 100%, $E$13) + CHOOSE(CONTROL!$C$28, 0.0271, 0)</f>
        <v>85.822100000000006</v>
      </c>
      <c r="D672" s="4">
        <f>77.959 * CHOOSE(CONTROL!$C$9, $C$13, 100%, $E$13) + CHOOSE(CONTROL!$C$28, 0, 0)</f>
        <v>77.959000000000003</v>
      </c>
      <c r="E672" s="4">
        <f>489.586181048827 * CHOOSE(CONTROL!$C$9, $C$13, 100%, $E$13) + CHOOSE(CONTROL!$C$28, 0, 0)</f>
        <v>489.58618104882697</v>
      </c>
    </row>
    <row r="673" spans="1:5" ht="15">
      <c r="A673" s="13">
        <v>62001</v>
      </c>
      <c r="B673" s="4">
        <f>82.7507 * CHOOSE(CONTROL!$C$9, $C$13, 100%, $E$13) + CHOOSE(CONTROL!$C$28, 0.0271, 0)</f>
        <v>82.777799999999999</v>
      </c>
      <c r="C673" s="4">
        <f>82.4382 * CHOOSE(CONTROL!$C$9, $C$13, 100%, $E$13) + CHOOSE(CONTROL!$C$28, 0.0271, 0)</f>
        <v>82.465299999999999</v>
      </c>
      <c r="D673" s="4">
        <f>77.5652 * CHOOSE(CONTROL!$C$9, $C$13, 100%, $E$13) + CHOOSE(CONTROL!$C$28, 0, 0)</f>
        <v>77.565200000000004</v>
      </c>
      <c r="E673" s="4">
        <f>470.075755283423 * CHOOSE(CONTROL!$C$9, $C$13, 100%, $E$13) + CHOOSE(CONTROL!$C$28, 0, 0)</f>
        <v>470.07575528342301</v>
      </c>
    </row>
    <row r="674" spans="1:5" ht="15">
      <c r="A674" s="13">
        <v>62032</v>
      </c>
      <c r="B674" s="4">
        <f>80.0636 * CHOOSE(CONTROL!$C$9, $C$13, 100%, $E$13) + CHOOSE(CONTROL!$C$28, 0.0003, 0)</f>
        <v>80.06389999999999</v>
      </c>
      <c r="C674" s="4">
        <f>79.7511 * CHOOSE(CONTROL!$C$9, $C$13, 100%, $E$13) + CHOOSE(CONTROL!$C$28, 0.0003, 0)</f>
        <v>79.75139999999999</v>
      </c>
      <c r="D674" s="4">
        <f>76.5108 * CHOOSE(CONTROL!$C$9, $C$13, 100%, $E$13) + CHOOSE(CONTROL!$C$28, 0, 0)</f>
        <v>76.510800000000003</v>
      </c>
      <c r="E674" s="4">
        <f>454.457272799356 * CHOOSE(CONTROL!$C$9, $C$13, 100%, $E$13) + CHOOSE(CONTROL!$C$28, 0, 0)</f>
        <v>454.45727279935602</v>
      </c>
    </row>
    <row r="675" spans="1:5" ht="15">
      <c r="A675" s="13">
        <v>62062</v>
      </c>
      <c r="B675" s="4">
        <f>78.3329 * CHOOSE(CONTROL!$C$9, $C$13, 100%, $E$13) + CHOOSE(CONTROL!$C$28, 0.0003, 0)</f>
        <v>78.333199999999991</v>
      </c>
      <c r="C675" s="4">
        <f>78.0204 * CHOOSE(CONTROL!$C$9, $C$13, 100%, $E$13) + CHOOSE(CONTROL!$C$28, 0.0003, 0)</f>
        <v>78.020699999999991</v>
      </c>
      <c r="D675" s="4">
        <f>76.1483 * CHOOSE(CONTROL!$C$9, $C$13, 100%, $E$13) + CHOOSE(CONTROL!$C$28, 0, 0)</f>
        <v>76.148300000000006</v>
      </c>
      <c r="E675" s="4">
        <f>444.397803764367 * CHOOSE(CONTROL!$C$9, $C$13, 100%, $E$13) + CHOOSE(CONTROL!$C$28, 0, 0)</f>
        <v>444.39780376436698</v>
      </c>
    </row>
    <row r="676" spans="1:5" ht="15">
      <c r="A676" s="13">
        <v>62093</v>
      </c>
      <c r="B676" s="4">
        <f>77.1355 * CHOOSE(CONTROL!$C$9, $C$13, 100%, $E$13) + CHOOSE(CONTROL!$C$28, 0.0003, 0)</f>
        <v>77.135799999999989</v>
      </c>
      <c r="C676" s="4">
        <f>76.823 * CHOOSE(CONTROL!$C$9, $C$13, 100%, $E$13) + CHOOSE(CONTROL!$C$28, 0.0003, 0)</f>
        <v>76.823299999999989</v>
      </c>
      <c r="D676" s="4">
        <f>73.4796 * CHOOSE(CONTROL!$C$9, $C$13, 100%, $E$13) + CHOOSE(CONTROL!$C$28, 0, 0)</f>
        <v>73.479600000000005</v>
      </c>
      <c r="E676" s="4">
        <f>437.437944280802 * CHOOSE(CONTROL!$C$9, $C$13, 100%, $E$13) + CHOOSE(CONTROL!$C$28, 0, 0)</f>
        <v>437.43794428080201</v>
      </c>
    </row>
    <row r="677" spans="1:5" ht="15">
      <c r="A677" s="13">
        <v>62124</v>
      </c>
      <c r="B677" s="4">
        <f>75.1899 * CHOOSE(CONTROL!$C$9, $C$13, 100%, $E$13) + CHOOSE(CONTROL!$C$28, 0.0003, 0)</f>
        <v>75.19019999999999</v>
      </c>
      <c r="C677" s="4">
        <f>74.8774 * CHOOSE(CONTROL!$C$9, $C$13, 100%, $E$13) + CHOOSE(CONTROL!$C$28, 0.0003, 0)</f>
        <v>74.87769999999999</v>
      </c>
      <c r="D677" s="4">
        <f>71.0268 * CHOOSE(CONTROL!$C$9, $C$13, 100%, $E$13) + CHOOSE(CONTROL!$C$28, 0, 0)</f>
        <v>71.026799999999994</v>
      </c>
      <c r="E677" s="4">
        <f>424.893890982223 * CHOOSE(CONTROL!$C$9, $C$13, 100%, $E$13) + CHOOSE(CONTROL!$C$28, 0, 0)</f>
        <v>424.89389098222301</v>
      </c>
    </row>
    <row r="678" spans="1:5" ht="15">
      <c r="A678" s="13">
        <v>62152</v>
      </c>
      <c r="B678" s="4">
        <f>76.9307 * CHOOSE(CONTROL!$C$9, $C$13, 100%, $E$13) + CHOOSE(CONTROL!$C$28, 0.0003, 0)</f>
        <v>76.930999999999997</v>
      </c>
      <c r="C678" s="4">
        <f>76.6182 * CHOOSE(CONTROL!$C$9, $C$13, 100%, $E$13) + CHOOSE(CONTROL!$C$28, 0.0003, 0)</f>
        <v>76.618499999999997</v>
      </c>
      <c r="D678" s="4">
        <f>73.4968 * CHOOSE(CONTROL!$C$9, $C$13, 100%, $E$13) + CHOOSE(CONTROL!$C$28, 0, 0)</f>
        <v>73.496799999999993</v>
      </c>
      <c r="E678" s="4">
        <f>434.982546422487 * CHOOSE(CONTROL!$C$9, $C$13, 100%, $E$13) + CHOOSE(CONTROL!$C$28, 0, 0)</f>
        <v>434.98254642248702</v>
      </c>
    </row>
    <row r="679" spans="1:5" ht="15">
      <c r="A679" s="13">
        <v>62183</v>
      </c>
      <c r="B679" s="4">
        <f>81.5021 * CHOOSE(CONTROL!$C$9, $C$13, 100%, $E$13) + CHOOSE(CONTROL!$C$28, 0.0003, 0)</f>
        <v>81.502399999999994</v>
      </c>
      <c r="C679" s="4">
        <f>81.1896 * CHOOSE(CONTROL!$C$9, $C$13, 100%, $E$13) + CHOOSE(CONTROL!$C$28, 0.0003, 0)</f>
        <v>81.189899999999994</v>
      </c>
      <c r="D679" s="4">
        <f>77.3634 * CHOOSE(CONTROL!$C$9, $C$13, 100%, $E$13) + CHOOSE(CONTROL!$C$28, 0, 0)</f>
        <v>77.363399999999999</v>
      </c>
      <c r="E679" s="4">
        <f>461.475891752332 * CHOOSE(CONTROL!$C$9, $C$13, 100%, $E$13) + CHOOSE(CONTROL!$C$28, 0, 0)</f>
        <v>461.47589175233202</v>
      </c>
    </row>
    <row r="680" spans="1:5" ht="15">
      <c r="A680" s="13">
        <v>62213</v>
      </c>
      <c r="B680" s="4">
        <f>84.7501 * CHOOSE(CONTROL!$C$9, $C$13, 100%, $E$13) + CHOOSE(CONTROL!$C$28, 0.0003, 0)</f>
        <v>84.750399999999999</v>
      </c>
      <c r="C680" s="4">
        <f>84.4376 * CHOOSE(CONTROL!$C$9, $C$13, 100%, $E$13) + CHOOSE(CONTROL!$C$28, 0.0003, 0)</f>
        <v>84.437899999999999</v>
      </c>
      <c r="D680" s="4">
        <f>79.5906 * CHOOSE(CONTROL!$C$9, $C$13, 100%, $E$13) + CHOOSE(CONTROL!$C$28, 0, 0)</f>
        <v>79.590599999999995</v>
      </c>
      <c r="E680" s="4">
        <f>480.299766679435 * CHOOSE(CONTROL!$C$9, $C$13, 100%, $E$13) + CHOOSE(CONTROL!$C$28, 0, 0)</f>
        <v>480.29976667943498</v>
      </c>
    </row>
    <row r="681" spans="1:5" ht="15">
      <c r="A681" s="13">
        <v>62244</v>
      </c>
      <c r="B681" s="4">
        <f>86.7346 * CHOOSE(CONTROL!$C$9, $C$13, 100%, $E$13) + CHOOSE(CONTROL!$C$28, 0.0271, 0)</f>
        <v>86.761700000000005</v>
      </c>
      <c r="C681" s="4">
        <f>86.4221 * CHOOSE(CONTROL!$C$9, $C$13, 100%, $E$13) + CHOOSE(CONTROL!$C$28, 0.0271, 0)</f>
        <v>86.449200000000005</v>
      </c>
      <c r="D681" s="4">
        <f>78.7105 * CHOOSE(CONTROL!$C$9, $C$13, 100%, $E$13) + CHOOSE(CONTROL!$C$28, 0, 0)</f>
        <v>78.710499999999996</v>
      </c>
      <c r="E681" s="4">
        <f>491.800703114578 * CHOOSE(CONTROL!$C$9, $C$13, 100%, $E$13) + CHOOSE(CONTROL!$C$28, 0, 0)</f>
        <v>491.80070311457803</v>
      </c>
    </row>
    <row r="682" spans="1:5" ht="15">
      <c r="A682" s="13">
        <v>62274</v>
      </c>
      <c r="B682" s="4">
        <f>87.0031 * CHOOSE(CONTROL!$C$9, $C$13, 100%, $E$13) + CHOOSE(CONTROL!$C$28, 0.0271, 0)</f>
        <v>87.030200000000008</v>
      </c>
      <c r="C682" s="4">
        <f>86.6906 * CHOOSE(CONTROL!$C$9, $C$13, 100%, $E$13) + CHOOSE(CONTROL!$C$28, 0.0271, 0)</f>
        <v>86.717700000000008</v>
      </c>
      <c r="D682" s="4">
        <f>79.4273 * CHOOSE(CONTROL!$C$9, $C$13, 100%, $E$13) + CHOOSE(CONTROL!$C$28, 0, 0)</f>
        <v>79.427300000000002</v>
      </c>
      <c r="E682" s="4">
        <f>493.356827544119 * CHOOSE(CONTROL!$C$9, $C$13, 100%, $E$13) + CHOOSE(CONTROL!$C$28, 0, 0)</f>
        <v>493.35682754411903</v>
      </c>
    </row>
    <row r="683" spans="1:5" ht="15">
      <c r="A683" s="13">
        <v>62305</v>
      </c>
      <c r="B683" s="4">
        <f>86.976 * CHOOSE(CONTROL!$C$9, $C$13, 100%, $E$13) + CHOOSE(CONTROL!$C$28, 0.0271, 0)</f>
        <v>87.003100000000003</v>
      </c>
      <c r="C683" s="4">
        <f>86.6635 * CHOOSE(CONTROL!$C$9, $C$13, 100%, $E$13) + CHOOSE(CONTROL!$C$28, 0.0271, 0)</f>
        <v>86.690600000000003</v>
      </c>
      <c r="D683" s="4">
        <f>80.7206 * CHOOSE(CONTROL!$C$9, $C$13, 100%, $E$13) + CHOOSE(CONTROL!$C$28, 0, 0)</f>
        <v>80.720600000000005</v>
      </c>
      <c r="E683" s="4">
        <f>493.199907433577 * CHOOSE(CONTROL!$C$9, $C$13, 100%, $E$13) + CHOOSE(CONTROL!$C$28, 0, 0)</f>
        <v>493.19990743357698</v>
      </c>
    </row>
    <row r="684" spans="1:5" ht="15">
      <c r="A684" s="13">
        <v>62336</v>
      </c>
      <c r="B684" s="4">
        <f>89.0135 * CHOOSE(CONTROL!$C$9, $C$13, 100%, $E$13) + CHOOSE(CONTROL!$C$28, 0.0271, 0)</f>
        <v>89.040599999999998</v>
      </c>
      <c r="C684" s="4">
        <f>88.701 * CHOOSE(CONTROL!$C$9, $C$13, 100%, $E$13) + CHOOSE(CONTROL!$C$28, 0.0271, 0)</f>
        <v>88.728099999999998</v>
      </c>
      <c r="D684" s="4">
        <f>79.8665 * CHOOSE(CONTROL!$C$9, $C$13, 100%, $E$13) + CHOOSE(CONTROL!$C$28, 0, 0)</f>
        <v>79.866500000000002</v>
      </c>
      <c r="E684" s="4">
        <f>505.008145751865 * CHOOSE(CONTROL!$C$9, $C$13, 100%, $E$13) + CHOOSE(CONTROL!$C$28, 0, 0)</f>
        <v>505.00814575186502</v>
      </c>
    </row>
    <row r="685" spans="1:5" ht="15">
      <c r="A685" s="13">
        <v>62366</v>
      </c>
      <c r="B685" s="4">
        <f>85.541 * CHOOSE(CONTROL!$C$9, $C$13, 100%, $E$13) + CHOOSE(CONTROL!$C$28, 0.0271, 0)</f>
        <v>85.568100000000001</v>
      </c>
      <c r="C685" s="4">
        <f>85.2285 * CHOOSE(CONTROL!$C$9, $C$13, 100%, $E$13) + CHOOSE(CONTROL!$C$28, 0.0271, 0)</f>
        <v>85.255600000000001</v>
      </c>
      <c r="D685" s="4">
        <f>79.4629 * CHOOSE(CONTROL!$C$9, $C$13, 100%, $E$13) + CHOOSE(CONTROL!$C$28, 0, 0)</f>
        <v>79.462900000000005</v>
      </c>
      <c r="E685" s="4">
        <f>484.88314157485 * CHOOSE(CONTROL!$C$9, $C$13, 100%, $E$13) + CHOOSE(CONTROL!$C$28, 0, 0)</f>
        <v>484.88314157485001</v>
      </c>
    </row>
    <row r="686" spans="1:5" ht="15">
      <c r="A686" s="13">
        <v>62397</v>
      </c>
      <c r="B686" s="4">
        <f>82.7611 * CHOOSE(CONTROL!$C$9, $C$13, 100%, $E$13) + CHOOSE(CONTROL!$C$28, 0.0003, 0)</f>
        <v>82.761399999999995</v>
      </c>
      <c r="C686" s="4">
        <f>82.4486 * CHOOSE(CONTROL!$C$9, $C$13, 100%, $E$13) + CHOOSE(CONTROL!$C$28, 0.0003, 0)</f>
        <v>82.448899999999995</v>
      </c>
      <c r="D686" s="4">
        <f>78.3824 * CHOOSE(CONTROL!$C$9, $C$13, 100%, $E$13) + CHOOSE(CONTROL!$C$28, 0, 0)</f>
        <v>78.382400000000004</v>
      </c>
      <c r="E686" s="4">
        <f>468.772676892536 * CHOOSE(CONTROL!$C$9, $C$13, 100%, $E$13) + CHOOSE(CONTROL!$C$28, 0, 0)</f>
        <v>468.77267689253603</v>
      </c>
    </row>
    <row r="687" spans="1:5" ht="15">
      <c r="A687" s="13">
        <v>62427</v>
      </c>
      <c r="B687" s="4">
        <f>80.9707 * CHOOSE(CONTROL!$C$9, $C$13, 100%, $E$13) + CHOOSE(CONTROL!$C$28, 0.0003, 0)</f>
        <v>80.970999999999989</v>
      </c>
      <c r="C687" s="4">
        <f>80.6582 * CHOOSE(CONTROL!$C$9, $C$13, 100%, $E$13) + CHOOSE(CONTROL!$C$28, 0.0003, 0)</f>
        <v>80.658499999999989</v>
      </c>
      <c r="D687" s="4">
        <f>78.0109 * CHOOSE(CONTROL!$C$9, $C$13, 100%, $E$13) + CHOOSE(CONTROL!$C$28, 0, 0)</f>
        <v>78.010900000000007</v>
      </c>
      <c r="E687" s="4">
        <f>458.396334582945 * CHOOSE(CONTROL!$C$9, $C$13, 100%, $E$13) + CHOOSE(CONTROL!$C$28, 0, 0)</f>
        <v>458.39633458294497</v>
      </c>
    </row>
    <row r="688" spans="1:5" ht="15">
      <c r="A688" s="13">
        <v>62458</v>
      </c>
      <c r="B688" s="4">
        <f>79.732 * CHOOSE(CONTROL!$C$9, $C$13, 100%, $E$13) + CHOOSE(CONTROL!$C$28, 0.0003, 0)</f>
        <v>79.732299999999995</v>
      </c>
      <c r="C688" s="4">
        <f>79.4195 * CHOOSE(CONTROL!$C$9, $C$13, 100%, $E$13) + CHOOSE(CONTROL!$C$28, 0.0003, 0)</f>
        <v>79.419799999999995</v>
      </c>
      <c r="D688" s="4">
        <f>75.276 * CHOOSE(CONTROL!$C$9, $C$13, 100%, $E$13) + CHOOSE(CONTROL!$C$28, 0, 0)</f>
        <v>75.275999999999996</v>
      </c>
      <c r="E688" s="4">
        <f>451.217239525647 * CHOOSE(CONTROL!$C$9, $C$13, 100%, $E$13) + CHOOSE(CONTROL!$C$28, 0, 0)</f>
        <v>451.21723952564702</v>
      </c>
    </row>
    <row r="689" spans="1:5" ht="15">
      <c r="A689" s="13">
        <v>62489</v>
      </c>
      <c r="B689" s="4">
        <f>77.7193 * CHOOSE(CONTROL!$C$9, $C$13, 100%, $E$13) + CHOOSE(CONTROL!$C$28, 0.0003, 0)</f>
        <v>77.7196</v>
      </c>
      <c r="C689" s="4">
        <f>77.4068 * CHOOSE(CONTROL!$C$9, $C$13, 100%, $E$13) + CHOOSE(CONTROL!$C$28, 0.0003, 0)</f>
        <v>77.4071</v>
      </c>
      <c r="D689" s="4">
        <f>72.7624 * CHOOSE(CONTROL!$C$9, $C$13, 100%, $E$13) + CHOOSE(CONTROL!$C$28, 0, 0)</f>
        <v>72.7624</v>
      </c>
      <c r="E689" s="4">
        <f>438.278048548163 * CHOOSE(CONTROL!$C$9, $C$13, 100%, $E$13) + CHOOSE(CONTROL!$C$28, 0, 0)</f>
        <v>438.27804854816299</v>
      </c>
    </row>
    <row r="690" spans="1:5" ht="15">
      <c r="A690" s="13">
        <v>62517</v>
      </c>
      <c r="B690" s="4">
        <f>79.5201 * CHOOSE(CONTROL!$C$9, $C$13, 100%, $E$13) + CHOOSE(CONTROL!$C$28, 0.0003, 0)</f>
        <v>79.520399999999995</v>
      </c>
      <c r="C690" s="4">
        <f>79.2076 * CHOOSE(CONTROL!$C$9, $C$13, 100%, $E$13) + CHOOSE(CONTROL!$C$28, 0.0003, 0)</f>
        <v>79.207899999999995</v>
      </c>
      <c r="D690" s="4">
        <f>75.2936 * CHOOSE(CONTROL!$C$9, $C$13, 100%, $E$13) + CHOOSE(CONTROL!$C$28, 0, 0)</f>
        <v>75.293599999999998</v>
      </c>
      <c r="E690" s="4">
        <f>448.684496634795 * CHOOSE(CONTROL!$C$9, $C$13, 100%, $E$13) + CHOOSE(CONTROL!$C$28, 0, 0)</f>
        <v>448.68449663479498</v>
      </c>
    </row>
    <row r="691" spans="1:5" ht="15">
      <c r="A691" s="13">
        <v>62548</v>
      </c>
      <c r="B691" s="4">
        <f>84.2492 * CHOOSE(CONTROL!$C$9, $C$13, 100%, $E$13) + CHOOSE(CONTROL!$C$28, 0.0003, 0)</f>
        <v>84.249499999999998</v>
      </c>
      <c r="C691" s="4">
        <f>83.9367 * CHOOSE(CONTROL!$C$9, $C$13, 100%, $E$13) + CHOOSE(CONTROL!$C$28, 0.0003, 0)</f>
        <v>83.936999999999998</v>
      </c>
      <c r="D691" s="4">
        <f>79.2561 * CHOOSE(CONTROL!$C$9, $C$13, 100%, $E$13) + CHOOSE(CONTROL!$C$28, 0, 0)</f>
        <v>79.256100000000004</v>
      </c>
      <c r="E691" s="4">
        <f>476.01238234253 * CHOOSE(CONTROL!$C$9, $C$13, 100%, $E$13) + CHOOSE(CONTROL!$C$28, 0, 0)</f>
        <v>476.01238234252997</v>
      </c>
    </row>
    <row r="692" spans="1:5" ht="15">
      <c r="A692" s="13">
        <v>62578</v>
      </c>
      <c r="B692" s="4">
        <f>87.6093 * CHOOSE(CONTROL!$C$9, $C$13, 100%, $E$13) + CHOOSE(CONTROL!$C$28, 0.0003, 0)</f>
        <v>87.6096</v>
      </c>
      <c r="C692" s="4">
        <f>87.2968 * CHOOSE(CONTROL!$C$9, $C$13, 100%, $E$13) + CHOOSE(CONTROL!$C$28, 0.0003, 0)</f>
        <v>87.2971</v>
      </c>
      <c r="D692" s="4">
        <f>81.5386 * CHOOSE(CONTROL!$C$9, $C$13, 100%, $E$13) + CHOOSE(CONTROL!$C$28, 0, 0)</f>
        <v>81.538600000000002</v>
      </c>
      <c r="E692" s="4">
        <f>495.429209329838 * CHOOSE(CONTROL!$C$9, $C$13, 100%, $E$13) + CHOOSE(CONTROL!$C$28, 0, 0)</f>
        <v>495.42920932983799</v>
      </c>
    </row>
    <row r="693" spans="1:5" ht="15">
      <c r="A693" s="13">
        <v>62609</v>
      </c>
      <c r="B693" s="4">
        <f>89.6622 * CHOOSE(CONTROL!$C$9, $C$13, 100%, $E$13) + CHOOSE(CONTROL!$C$28, 0.0271, 0)</f>
        <v>89.689300000000003</v>
      </c>
      <c r="C693" s="4">
        <f>89.3497 * CHOOSE(CONTROL!$C$9, $C$13, 100%, $E$13) + CHOOSE(CONTROL!$C$28, 0.0271, 0)</f>
        <v>89.376800000000003</v>
      </c>
      <c r="D693" s="4">
        <f>80.6366 * CHOOSE(CONTROL!$C$9, $C$13, 100%, $E$13) + CHOOSE(CONTROL!$C$28, 0, 0)</f>
        <v>80.636600000000001</v>
      </c>
      <c r="E693" s="4">
        <f>507.292425262687 * CHOOSE(CONTROL!$C$9, $C$13, 100%, $E$13) + CHOOSE(CONTROL!$C$28, 0, 0)</f>
        <v>507.292425262687</v>
      </c>
    </row>
    <row r="694" spans="1:5" ht="15">
      <c r="A694" s="13">
        <v>62639</v>
      </c>
      <c r="B694" s="4">
        <f>89.94 * CHOOSE(CONTROL!$C$9, $C$13, 100%, $E$13) + CHOOSE(CONTROL!$C$28, 0.0271, 0)</f>
        <v>89.967100000000002</v>
      </c>
      <c r="C694" s="4">
        <f>89.6275 * CHOOSE(CONTROL!$C$9, $C$13, 100%, $E$13) + CHOOSE(CONTROL!$C$28, 0.0271, 0)</f>
        <v>89.654600000000002</v>
      </c>
      <c r="D694" s="4">
        <f>81.3712 * CHOOSE(CONTROL!$C$9, $C$13, 100%, $E$13) + CHOOSE(CONTROL!$C$28, 0, 0)</f>
        <v>81.371200000000002</v>
      </c>
      <c r="E694" s="4">
        <f>508.897567611759 * CHOOSE(CONTROL!$C$9, $C$13, 100%, $E$13) + CHOOSE(CONTROL!$C$28, 0, 0)</f>
        <v>508.89756761175897</v>
      </c>
    </row>
    <row r="695" spans="1:5" ht="15">
      <c r="A695" s="13">
        <v>62670</v>
      </c>
      <c r="B695" s="4">
        <f>89.912 * CHOOSE(CONTROL!$C$9, $C$13, 100%, $E$13) + CHOOSE(CONTROL!$C$28, 0.0271, 0)</f>
        <v>89.93910000000001</v>
      </c>
      <c r="C695" s="4">
        <f>89.5995 * CHOOSE(CONTROL!$C$9, $C$13, 100%, $E$13) + CHOOSE(CONTROL!$C$28, 0.0271, 0)</f>
        <v>89.62660000000001</v>
      </c>
      <c r="D695" s="4">
        <f>82.6966 * CHOOSE(CONTROL!$C$9, $C$13, 100%, $E$13) + CHOOSE(CONTROL!$C$28, 0, 0)</f>
        <v>82.696600000000004</v>
      </c>
      <c r="E695" s="4">
        <f>508.735704517735 * CHOOSE(CONTROL!$C$9, $C$13, 100%, $E$13) + CHOOSE(CONTROL!$C$28, 0, 0)</f>
        <v>508.73570451773497</v>
      </c>
    </row>
    <row r="696" spans="1:5" ht="15">
      <c r="A696" s="13">
        <v>62701</v>
      </c>
      <c r="B696" s="4">
        <f>92.0198 * CHOOSE(CONTROL!$C$9, $C$13, 100%, $E$13) + CHOOSE(CONTROL!$C$28, 0.0271, 0)</f>
        <v>92.046900000000008</v>
      </c>
      <c r="C696" s="4">
        <f>91.7073 * CHOOSE(CONTROL!$C$9, $C$13, 100%, $E$13) + CHOOSE(CONTROL!$C$28, 0.0271, 0)</f>
        <v>91.734400000000008</v>
      </c>
      <c r="D696" s="4">
        <f>81.8213 * CHOOSE(CONTROL!$C$9, $C$13, 100%, $E$13) + CHOOSE(CONTROL!$C$28, 0, 0)</f>
        <v>81.821299999999994</v>
      </c>
      <c r="E696" s="4">
        <f>520.915902343048 * CHOOSE(CONTROL!$C$9, $C$13, 100%, $E$13) + CHOOSE(CONTROL!$C$28, 0, 0)</f>
        <v>520.91590234304795</v>
      </c>
    </row>
    <row r="697" spans="1:5" ht="15">
      <c r="A697" s="13">
        <v>62731</v>
      </c>
      <c r="B697" s="4">
        <f>88.4274 * CHOOSE(CONTROL!$C$9, $C$13, 100%, $E$13) + CHOOSE(CONTROL!$C$28, 0.0271, 0)</f>
        <v>88.45450000000001</v>
      </c>
      <c r="C697" s="4">
        <f>88.1149 * CHOOSE(CONTROL!$C$9, $C$13, 100%, $E$13) + CHOOSE(CONTROL!$C$28, 0.0271, 0)</f>
        <v>88.14200000000001</v>
      </c>
      <c r="D697" s="4">
        <f>81.4077 * CHOOSE(CONTROL!$C$9, $C$13, 100%, $E$13) + CHOOSE(CONTROL!$C$28, 0, 0)</f>
        <v>81.407700000000006</v>
      </c>
      <c r="E697" s="4">
        <f>500.156960534458 * CHOOSE(CONTROL!$C$9, $C$13, 100%, $E$13) + CHOOSE(CONTROL!$C$28, 0, 0)</f>
        <v>500.15696053445799</v>
      </c>
    </row>
    <row r="698" spans="1:5" ht="15">
      <c r="A698" s="13">
        <v>62762</v>
      </c>
      <c r="B698" s="4">
        <f>85.5517 * CHOOSE(CONTROL!$C$9, $C$13, 100%, $E$13) + CHOOSE(CONTROL!$C$28, 0.0003, 0)</f>
        <v>85.551999999999992</v>
      </c>
      <c r="C698" s="4">
        <f>85.2392 * CHOOSE(CONTROL!$C$9, $C$13, 100%, $E$13) + CHOOSE(CONTROL!$C$28, 0.0003, 0)</f>
        <v>85.239499999999992</v>
      </c>
      <c r="D698" s="4">
        <f>80.3004 * CHOOSE(CONTROL!$C$9, $C$13, 100%, $E$13) + CHOOSE(CONTROL!$C$28, 0, 0)</f>
        <v>80.300399999999996</v>
      </c>
      <c r="E698" s="4">
        <f>483.539016214651 * CHOOSE(CONTROL!$C$9, $C$13, 100%, $E$13) + CHOOSE(CONTROL!$C$28, 0, 0)</f>
        <v>483.53901621465099</v>
      </c>
    </row>
    <row r="699" spans="1:5" ht="15">
      <c r="A699" s="13">
        <v>62792</v>
      </c>
      <c r="B699" s="4">
        <f>83.6995 * CHOOSE(CONTROL!$C$9, $C$13, 100%, $E$13) + CHOOSE(CONTROL!$C$28, 0.0003, 0)</f>
        <v>83.699799999999996</v>
      </c>
      <c r="C699" s="4">
        <f>83.387 * CHOOSE(CONTROL!$C$9, $C$13, 100%, $E$13) + CHOOSE(CONTROL!$C$28, 0.0003, 0)</f>
        <v>83.387299999999996</v>
      </c>
      <c r="D699" s="4">
        <f>79.9197 * CHOOSE(CONTROL!$C$9, $C$13, 100%, $E$13) + CHOOSE(CONTROL!$C$28, 0, 0)</f>
        <v>79.919700000000006</v>
      </c>
      <c r="E699" s="4">
        <f>472.835819122307 * CHOOSE(CONTROL!$C$9, $C$13, 100%, $E$13) + CHOOSE(CONTROL!$C$28, 0, 0)</f>
        <v>472.83581912230699</v>
      </c>
    </row>
    <row r="700" spans="1:5" ht="15">
      <c r="A700" s="13">
        <v>62823</v>
      </c>
      <c r="B700" s="4">
        <f>82.418 * CHOOSE(CONTROL!$C$9, $C$13, 100%, $E$13) + CHOOSE(CONTROL!$C$28, 0.0003, 0)</f>
        <v>82.418300000000002</v>
      </c>
      <c r="C700" s="4">
        <f>82.1055 * CHOOSE(CONTROL!$C$9, $C$13, 100%, $E$13) + CHOOSE(CONTROL!$C$28, 0.0003, 0)</f>
        <v>82.105800000000002</v>
      </c>
      <c r="D700" s="4">
        <f>77.117 * CHOOSE(CONTROL!$C$9, $C$13, 100%, $E$13) + CHOOSE(CONTROL!$C$28, 0, 0)</f>
        <v>77.117000000000004</v>
      </c>
      <c r="E700" s="4">
        <f>465.430582570705 * CHOOSE(CONTROL!$C$9, $C$13, 100%, $E$13) + CHOOSE(CONTROL!$C$28, 0, 0)</f>
        <v>465.43058257070498</v>
      </c>
    </row>
    <row r="701" spans="1:5" ht="15">
      <c r="A701" s="13">
        <v>62854</v>
      </c>
      <c r="B701" s="4">
        <f>80.3359 * CHOOSE(CONTROL!$C$9, $C$13, 100%, $E$13) + CHOOSE(CONTROL!$C$28, 0.0003, 0)</f>
        <v>80.336199999999991</v>
      </c>
      <c r="C701" s="4">
        <f>80.0234 * CHOOSE(CONTROL!$C$9, $C$13, 100%, $E$13) + CHOOSE(CONTROL!$C$28, 0.0003, 0)</f>
        <v>80.023699999999991</v>
      </c>
      <c r="D701" s="4">
        <f>74.541 * CHOOSE(CONTROL!$C$9, $C$13, 100%, $E$13) + CHOOSE(CONTROL!$C$28, 0, 0)</f>
        <v>74.540999999999997</v>
      </c>
      <c r="E701" s="4">
        <f>452.08380707743 * CHOOSE(CONTROL!$C$9, $C$13, 100%, $E$13) + CHOOSE(CONTROL!$C$28, 0, 0)</f>
        <v>452.08380707742998</v>
      </c>
    </row>
    <row r="702" spans="1:5" ht="15">
      <c r="A702" s="13">
        <v>62883</v>
      </c>
      <c r="B702" s="4">
        <f>82.1989 * CHOOSE(CONTROL!$C$9, $C$13, 100%, $E$13) + CHOOSE(CONTROL!$C$28, 0.0003, 0)</f>
        <v>82.19919999999999</v>
      </c>
      <c r="C702" s="4">
        <f>81.8864 * CHOOSE(CONTROL!$C$9, $C$13, 100%, $E$13) + CHOOSE(CONTROL!$C$28, 0.0003, 0)</f>
        <v>81.88669999999999</v>
      </c>
      <c r="D702" s="4">
        <f>77.135 * CHOOSE(CONTROL!$C$9, $C$13, 100%, $E$13) + CHOOSE(CONTROL!$C$28, 0, 0)</f>
        <v>77.135000000000005</v>
      </c>
      <c r="E702" s="4">
        <f>462.818058278792 * CHOOSE(CONTROL!$C$9, $C$13, 100%, $E$13) + CHOOSE(CONTROL!$C$28, 0, 0)</f>
        <v>462.81805827879202</v>
      </c>
    </row>
    <row r="703" spans="1:5" ht="15">
      <c r="A703" s="13">
        <v>62914</v>
      </c>
      <c r="B703" s="4">
        <f>87.0911 * CHOOSE(CONTROL!$C$9, $C$13, 100%, $E$13) + CHOOSE(CONTROL!$C$28, 0.0003, 0)</f>
        <v>87.091399999999993</v>
      </c>
      <c r="C703" s="4">
        <f>86.7786 * CHOOSE(CONTROL!$C$9, $C$13, 100%, $E$13) + CHOOSE(CONTROL!$C$28, 0.0003, 0)</f>
        <v>86.778899999999993</v>
      </c>
      <c r="D703" s="4">
        <f>81.1957 * CHOOSE(CONTROL!$C$9, $C$13, 100%, $E$13) + CHOOSE(CONTROL!$C$28, 0, 0)</f>
        <v>81.195700000000002</v>
      </c>
      <c r="E703" s="4">
        <f>491.00677238632 * CHOOSE(CONTROL!$C$9, $C$13, 100%, $E$13) + CHOOSE(CONTROL!$C$28, 0, 0)</f>
        <v>491.00677238631999</v>
      </c>
    </row>
    <row r="704" spans="1:5" ht="15">
      <c r="A704" s="13">
        <v>62944</v>
      </c>
      <c r="B704" s="4">
        <f>90.5671 * CHOOSE(CONTROL!$C$9, $C$13, 100%, $E$13) + CHOOSE(CONTROL!$C$28, 0.0003, 0)</f>
        <v>90.567399999999992</v>
      </c>
      <c r="C704" s="4">
        <f>90.2546 * CHOOSE(CONTROL!$C$9, $C$13, 100%, $E$13) + CHOOSE(CONTROL!$C$28, 0.0003, 0)</f>
        <v>90.254899999999992</v>
      </c>
      <c r="D704" s="4">
        <f>83.5348 * CHOOSE(CONTROL!$C$9, $C$13, 100%, $E$13) + CHOOSE(CONTROL!$C$28, 0, 0)</f>
        <v>83.534800000000004</v>
      </c>
      <c r="E704" s="4">
        <f>511.035229423728 * CHOOSE(CONTROL!$C$9, $C$13, 100%, $E$13) + CHOOSE(CONTROL!$C$28, 0, 0)</f>
        <v>511.03522942372803</v>
      </c>
    </row>
    <row r="705" spans="1:5" ht="15">
      <c r="A705" s="13">
        <v>62975</v>
      </c>
      <c r="B705" s="4">
        <f>92.6909 * CHOOSE(CONTROL!$C$9, $C$13, 100%, $E$13) + CHOOSE(CONTROL!$C$28, 0.0271, 0)</f>
        <v>92.718000000000004</v>
      </c>
      <c r="C705" s="4">
        <f>92.3784 * CHOOSE(CONTROL!$C$9, $C$13, 100%, $E$13) + CHOOSE(CONTROL!$C$28, 0.0271, 0)</f>
        <v>92.405500000000004</v>
      </c>
      <c r="D705" s="4">
        <f>82.6105 * CHOOSE(CONTROL!$C$9, $C$13, 100%, $E$13) + CHOOSE(CONTROL!$C$28, 0, 0)</f>
        <v>82.610500000000002</v>
      </c>
      <c r="E705" s="4">
        <f>523.272136658462 * CHOOSE(CONTROL!$C$9, $C$13, 100%, $E$13) + CHOOSE(CONTROL!$C$28, 0, 0)</f>
        <v>523.27213665846205</v>
      </c>
    </row>
    <row r="706" spans="1:5" ht="15">
      <c r="A706" s="13">
        <v>63005</v>
      </c>
      <c r="B706" s="4">
        <f>92.9782 * CHOOSE(CONTROL!$C$9, $C$13, 100%, $E$13) + CHOOSE(CONTROL!$C$28, 0.0271, 0)</f>
        <v>93.005300000000005</v>
      </c>
      <c r="C706" s="4">
        <f>92.6657 * CHOOSE(CONTROL!$C$9, $C$13, 100%, $E$13) + CHOOSE(CONTROL!$C$28, 0.0271, 0)</f>
        <v>92.692800000000005</v>
      </c>
      <c r="D706" s="4">
        <f>83.3633 * CHOOSE(CONTROL!$C$9, $C$13, 100%, $E$13) + CHOOSE(CONTROL!$C$28, 0, 0)</f>
        <v>83.363299999999995</v>
      </c>
      <c r="E706" s="4">
        <f>524.92784099153 * CHOOSE(CONTROL!$C$9, $C$13, 100%, $E$13) + CHOOSE(CONTROL!$C$28, 0, 0)</f>
        <v>524.92784099153005</v>
      </c>
    </row>
    <row r="707" spans="1:5" ht="15">
      <c r="A707" s="13">
        <v>63036</v>
      </c>
      <c r="B707" s="4">
        <f>92.9493 * CHOOSE(CONTROL!$C$9, $C$13, 100%, $E$13) + CHOOSE(CONTROL!$C$28, 0.0271, 0)</f>
        <v>92.976399999999998</v>
      </c>
      <c r="C707" s="4">
        <f>92.6368 * CHOOSE(CONTROL!$C$9, $C$13, 100%, $E$13) + CHOOSE(CONTROL!$C$28, 0.0271, 0)</f>
        <v>92.663899999999998</v>
      </c>
      <c r="D707" s="4">
        <f>84.7216 * CHOOSE(CONTROL!$C$9, $C$13, 100%, $E$13) + CHOOSE(CONTROL!$C$28, 0, 0)</f>
        <v>84.721599999999995</v>
      </c>
      <c r="E707" s="4">
        <f>524.760879210044 * CHOOSE(CONTROL!$C$9, $C$13, 100%, $E$13) + CHOOSE(CONTROL!$C$28, 0, 0)</f>
        <v>524.76087921004398</v>
      </c>
    </row>
    <row r="708" spans="1:5" ht="15">
      <c r="A708" s="13">
        <v>63067</v>
      </c>
      <c r="B708" s="4">
        <f>95.1298 * CHOOSE(CONTROL!$C$9, $C$13, 100%, $E$13) + CHOOSE(CONTROL!$C$28, 0.0271, 0)</f>
        <v>95.156900000000007</v>
      </c>
      <c r="C708" s="4">
        <f>94.8173 * CHOOSE(CONTROL!$C$9, $C$13, 100%, $E$13) + CHOOSE(CONTROL!$C$28, 0.0271, 0)</f>
        <v>94.844400000000007</v>
      </c>
      <c r="D708" s="4">
        <f>83.8246 * CHOOSE(CONTROL!$C$9, $C$13, 100%, $E$13) + CHOOSE(CONTROL!$C$28, 0, 0)</f>
        <v>83.824600000000004</v>
      </c>
      <c r="E708" s="4">
        <f>537.324753266854 * CHOOSE(CONTROL!$C$9, $C$13, 100%, $E$13) + CHOOSE(CONTROL!$C$28, 0, 0)</f>
        <v>537.32475326685403</v>
      </c>
    </row>
    <row r="709" spans="1:5" ht="15">
      <c r="A709" s="13">
        <v>63097</v>
      </c>
      <c r="B709" s="4">
        <f>91.4135 * CHOOSE(CONTROL!$C$9, $C$13, 100%, $E$13) + CHOOSE(CONTROL!$C$28, 0.0271, 0)</f>
        <v>91.440600000000003</v>
      </c>
      <c r="C709" s="4">
        <f>91.101 * CHOOSE(CONTROL!$C$9, $C$13, 100%, $E$13) + CHOOSE(CONTROL!$C$28, 0.0271, 0)</f>
        <v>91.128100000000003</v>
      </c>
      <c r="D709" s="4">
        <f>83.4007 * CHOOSE(CONTROL!$C$9, $C$13, 100%, $E$13) + CHOOSE(CONTROL!$C$28, 0, 0)</f>
        <v>83.400700000000001</v>
      </c>
      <c r="E709" s="4">
        <f>515.911904791294 * CHOOSE(CONTROL!$C$9, $C$13, 100%, $E$13) + CHOOSE(CONTROL!$C$28, 0, 0)</f>
        <v>515.91190479129398</v>
      </c>
    </row>
    <row r="710" spans="1:5" ht="15">
      <c r="A710" s="13">
        <v>63128</v>
      </c>
      <c r="B710" s="4">
        <f>88.4385 * CHOOSE(CONTROL!$C$9, $C$13, 100%, $E$13) + CHOOSE(CONTROL!$C$28, 0.0003, 0)</f>
        <v>88.438800000000001</v>
      </c>
      <c r="C710" s="4">
        <f>88.126 * CHOOSE(CONTROL!$C$9, $C$13, 100%, $E$13) + CHOOSE(CONTROL!$C$28, 0.0003, 0)</f>
        <v>88.126300000000001</v>
      </c>
      <c r="D710" s="4">
        <f>82.266 * CHOOSE(CONTROL!$C$9, $C$13, 100%, $E$13) + CHOOSE(CONTROL!$C$28, 0, 0)</f>
        <v>82.266000000000005</v>
      </c>
      <c r="E710" s="4">
        <f>498.770495225412 * CHOOSE(CONTROL!$C$9, $C$13, 100%, $E$13) + CHOOSE(CONTROL!$C$28, 0, 0)</f>
        <v>498.77049522541199</v>
      </c>
    </row>
    <row r="711" spans="1:5" ht="15">
      <c r="A711" s="13">
        <v>63158</v>
      </c>
      <c r="B711" s="4">
        <f>86.5224 * CHOOSE(CONTROL!$C$9, $C$13, 100%, $E$13) + CHOOSE(CONTROL!$C$28, 0.0003, 0)</f>
        <v>86.5227</v>
      </c>
      <c r="C711" s="4">
        <f>86.2099 * CHOOSE(CONTROL!$C$9, $C$13, 100%, $E$13) + CHOOSE(CONTROL!$C$28, 0.0003, 0)</f>
        <v>86.2102</v>
      </c>
      <c r="D711" s="4">
        <f>81.8758 * CHOOSE(CONTROL!$C$9, $C$13, 100%, $E$13) + CHOOSE(CONTROL!$C$28, 0, 0)</f>
        <v>81.875799999999998</v>
      </c>
      <c r="E711" s="4">
        <f>487.73014742466 * CHOOSE(CONTROL!$C$9, $C$13, 100%, $E$13) + CHOOSE(CONTROL!$C$28, 0, 0)</f>
        <v>487.73014742466</v>
      </c>
    </row>
    <row r="712" spans="1:5" ht="15">
      <c r="A712" s="13">
        <v>63189</v>
      </c>
      <c r="B712" s="4">
        <f>85.1967 * CHOOSE(CONTROL!$C$9, $C$13, 100%, $E$13) + CHOOSE(CONTROL!$C$28, 0.0003, 0)</f>
        <v>85.197000000000003</v>
      </c>
      <c r="C712" s="4">
        <f>84.8842 * CHOOSE(CONTROL!$C$9, $C$13, 100%, $E$13) + CHOOSE(CONTROL!$C$28, 0.0003, 0)</f>
        <v>84.884500000000003</v>
      </c>
      <c r="D712" s="4">
        <f>79.0036 * CHOOSE(CONTROL!$C$9, $C$13, 100%, $E$13) + CHOOSE(CONTROL!$C$28, 0, 0)</f>
        <v>79.003600000000006</v>
      </c>
      <c r="E712" s="4">
        <f>480.091645921682 * CHOOSE(CONTROL!$C$9, $C$13, 100%, $E$13) + CHOOSE(CONTROL!$C$28, 0, 0)</f>
        <v>480.09164592168202</v>
      </c>
    </row>
    <row r="713" spans="1:5" ht="15">
      <c r="A713" s="13">
        <v>63220</v>
      </c>
      <c r="B713" s="4">
        <f>83.0428 * CHOOSE(CONTROL!$C$9, $C$13, 100%, $E$13) + CHOOSE(CONTROL!$C$28, 0.0003, 0)</f>
        <v>83.043099999999995</v>
      </c>
      <c r="C713" s="4">
        <f>82.7303 * CHOOSE(CONTROL!$C$9, $C$13, 100%, $E$13) + CHOOSE(CONTROL!$C$28, 0.0003, 0)</f>
        <v>82.730599999999995</v>
      </c>
      <c r="D713" s="4">
        <f>76.3638 * CHOOSE(CONTROL!$C$9, $C$13, 100%, $E$13) + CHOOSE(CONTROL!$C$28, 0, 0)</f>
        <v>76.363799999999998</v>
      </c>
      <c r="E713" s="4">
        <f>466.324447000369 * CHOOSE(CONTROL!$C$9, $C$13, 100%, $E$13) + CHOOSE(CONTROL!$C$28, 0, 0)</f>
        <v>466.32444700036899</v>
      </c>
    </row>
    <row r="714" spans="1:5" ht="15">
      <c r="A714" s="13">
        <v>63248</v>
      </c>
      <c r="B714" s="4">
        <f>84.97 * CHOOSE(CONTROL!$C$9, $C$13, 100%, $E$13) + CHOOSE(CONTROL!$C$28, 0.0003, 0)</f>
        <v>84.970299999999995</v>
      </c>
      <c r="C714" s="4">
        <f>84.6575 * CHOOSE(CONTROL!$C$9, $C$13, 100%, $E$13) + CHOOSE(CONTROL!$C$28, 0.0003, 0)</f>
        <v>84.657799999999995</v>
      </c>
      <c r="D714" s="4">
        <f>79.0221 * CHOOSE(CONTROL!$C$9, $C$13, 100%, $E$13) + CHOOSE(CONTROL!$C$28, 0, 0)</f>
        <v>79.022099999999995</v>
      </c>
      <c r="E714" s="4">
        <f>477.396827114574 * CHOOSE(CONTROL!$C$9, $C$13, 100%, $E$13) + CHOOSE(CONTROL!$C$28, 0, 0)</f>
        <v>477.39682711457402</v>
      </c>
    </row>
    <row r="715" spans="1:5" ht="15">
      <c r="A715" s="13">
        <v>63279</v>
      </c>
      <c r="B715" s="4">
        <f>90.0311 * CHOOSE(CONTROL!$C$9, $C$13, 100%, $E$13) + CHOOSE(CONTROL!$C$28, 0.0003, 0)</f>
        <v>90.031399999999991</v>
      </c>
      <c r="C715" s="4">
        <f>89.7186 * CHOOSE(CONTROL!$C$9, $C$13, 100%, $E$13) + CHOOSE(CONTROL!$C$28, 0.0003, 0)</f>
        <v>89.718899999999991</v>
      </c>
      <c r="D715" s="4">
        <f>83.1835 * CHOOSE(CONTROL!$C$9, $C$13, 100%, $E$13) + CHOOSE(CONTROL!$C$28, 0, 0)</f>
        <v>83.183499999999995</v>
      </c>
      <c r="E715" s="4">
        <f>506.473485716489 * CHOOSE(CONTROL!$C$9, $C$13, 100%, $E$13) + CHOOSE(CONTROL!$C$28, 0, 0)</f>
        <v>506.47348571648899</v>
      </c>
    </row>
    <row r="716" spans="1:5" ht="15">
      <c r="A716" s="13">
        <v>63309</v>
      </c>
      <c r="B716" s="4">
        <f>93.627 * CHOOSE(CONTROL!$C$9, $C$13, 100%, $E$13) + CHOOSE(CONTROL!$C$28, 0.0003, 0)</f>
        <v>93.627299999999991</v>
      </c>
      <c r="C716" s="4">
        <f>93.3145 * CHOOSE(CONTROL!$C$9, $C$13, 100%, $E$13) + CHOOSE(CONTROL!$C$28, 0.0003, 0)</f>
        <v>93.314799999999991</v>
      </c>
      <c r="D716" s="4">
        <f>85.5806 * CHOOSE(CONTROL!$C$9, $C$13, 100%, $E$13) + CHOOSE(CONTROL!$C$28, 0, 0)</f>
        <v>85.580600000000004</v>
      </c>
      <c r="E716" s="4">
        <f>527.132839150575 * CHOOSE(CONTROL!$C$9, $C$13, 100%, $E$13) + CHOOSE(CONTROL!$C$28, 0, 0)</f>
        <v>527.13283915057502</v>
      </c>
    </row>
    <row r="717" spans="1:5" ht="15">
      <c r="A717" s="13">
        <v>63340</v>
      </c>
      <c r="B717" s="4">
        <f>95.824 * CHOOSE(CONTROL!$C$9, $C$13, 100%, $E$13) + CHOOSE(CONTROL!$C$28, 0.0271, 0)</f>
        <v>95.851100000000002</v>
      </c>
      <c r="C717" s="4">
        <f>95.5115 * CHOOSE(CONTROL!$C$9, $C$13, 100%, $E$13) + CHOOSE(CONTROL!$C$28, 0.0271, 0)</f>
        <v>95.538600000000002</v>
      </c>
      <c r="D717" s="4">
        <f>84.6334 * CHOOSE(CONTROL!$C$9, $C$13, 100%, $E$13) + CHOOSE(CONTROL!$C$28, 0, 0)</f>
        <v>84.633399999999995</v>
      </c>
      <c r="E717" s="4">
        <f>539.755208963203 * CHOOSE(CONTROL!$C$9, $C$13, 100%, $E$13) + CHOOSE(CONTROL!$C$28, 0, 0)</f>
        <v>539.75520896320302</v>
      </c>
    </row>
    <row r="718" spans="1:5" ht="15">
      <c r="A718" s="13">
        <v>63370</v>
      </c>
      <c r="B718" s="4">
        <f>96.1213 * CHOOSE(CONTROL!$C$9, $C$13, 100%, $E$13) + CHOOSE(CONTROL!$C$28, 0.0271, 0)</f>
        <v>96.148400000000009</v>
      </c>
      <c r="C718" s="4">
        <f>95.8088 * CHOOSE(CONTROL!$C$9, $C$13, 100%, $E$13) + CHOOSE(CONTROL!$C$28, 0.0271, 0)</f>
        <v>95.835900000000009</v>
      </c>
      <c r="D718" s="4">
        <f>85.4048 * CHOOSE(CONTROL!$C$9, $C$13, 100%, $E$13) + CHOOSE(CONTROL!$C$28, 0, 0)</f>
        <v>85.404799999999994</v>
      </c>
      <c r="E718" s="4">
        <f>541.463067982763 * CHOOSE(CONTROL!$C$9, $C$13, 100%, $E$13) + CHOOSE(CONTROL!$C$28, 0, 0)</f>
        <v>541.46306798276305</v>
      </c>
    </row>
    <row r="719" spans="1:5" ht="15">
      <c r="A719" s="13">
        <v>63401</v>
      </c>
      <c r="B719" s="4">
        <f>96.0913 * CHOOSE(CONTROL!$C$9, $C$13, 100%, $E$13) + CHOOSE(CONTROL!$C$28, 0.0271, 0)</f>
        <v>96.118400000000008</v>
      </c>
      <c r="C719" s="4">
        <f>95.7788 * CHOOSE(CONTROL!$C$9, $C$13, 100%, $E$13) + CHOOSE(CONTROL!$C$28, 0.0271, 0)</f>
        <v>95.805900000000008</v>
      </c>
      <c r="D719" s="4">
        <f>86.7968 * CHOOSE(CONTROL!$C$9, $C$13, 100%, $E$13) + CHOOSE(CONTROL!$C$28, 0, 0)</f>
        <v>86.796800000000005</v>
      </c>
      <c r="E719" s="4">
        <f>541.29084690516 * CHOOSE(CONTROL!$C$9, $C$13, 100%, $E$13) + CHOOSE(CONTROL!$C$28, 0, 0)</f>
        <v>541.29084690516004</v>
      </c>
    </row>
    <row r="720" spans="1:5" ht="15">
      <c r="A720" s="13">
        <v>63432</v>
      </c>
      <c r="B720" s="4">
        <f>98.3471 * CHOOSE(CONTROL!$C$9, $C$13, 100%, $E$13) + CHOOSE(CONTROL!$C$28, 0.0271, 0)</f>
        <v>98.374200000000002</v>
      </c>
      <c r="C720" s="4">
        <f>98.0346 * CHOOSE(CONTROL!$C$9, $C$13, 100%, $E$13) + CHOOSE(CONTROL!$C$28, 0.0271, 0)</f>
        <v>98.061700000000002</v>
      </c>
      <c r="D720" s="4">
        <f>85.8775 * CHOOSE(CONTROL!$C$9, $C$13, 100%, $E$13) + CHOOSE(CONTROL!$C$28, 0, 0)</f>
        <v>85.877499999999998</v>
      </c>
      <c r="E720" s="4">
        <f>554.25048299476 * CHOOSE(CONTROL!$C$9, $C$13, 100%, $E$13) + CHOOSE(CONTROL!$C$28, 0, 0)</f>
        <v>554.25048299475998</v>
      </c>
    </row>
    <row r="721" spans="1:5" ht="15">
      <c r="A721" s="13">
        <v>63462</v>
      </c>
      <c r="B721" s="4">
        <f>94.5026 * CHOOSE(CONTROL!$C$9, $C$13, 100%, $E$13) + CHOOSE(CONTROL!$C$28, 0.0271, 0)</f>
        <v>94.529700000000005</v>
      </c>
      <c r="C721" s="4">
        <f>94.1901 * CHOOSE(CONTROL!$C$9, $C$13, 100%, $E$13) + CHOOSE(CONTROL!$C$28, 0.0271, 0)</f>
        <v>94.217200000000005</v>
      </c>
      <c r="D721" s="4">
        <f>85.4432 * CHOOSE(CONTROL!$C$9, $C$13, 100%, $E$13) + CHOOSE(CONTROL!$C$28, 0, 0)</f>
        <v>85.443200000000004</v>
      </c>
      <c r="E721" s="4">
        <f>532.163129792219 * CHOOSE(CONTROL!$C$9, $C$13, 100%, $E$13) + CHOOSE(CONTROL!$C$28, 0, 0)</f>
        <v>532.16312979221902</v>
      </c>
    </row>
    <row r="722" spans="1:5" ht="15">
      <c r="A722" s="13">
        <v>63493</v>
      </c>
      <c r="B722" s="4">
        <f>91.425 * CHOOSE(CONTROL!$C$9, $C$13, 100%, $E$13) + CHOOSE(CONTROL!$C$28, 0.0003, 0)</f>
        <v>91.425299999999993</v>
      </c>
      <c r="C722" s="4">
        <f>91.1125 * CHOOSE(CONTROL!$C$9, $C$13, 100%, $E$13) + CHOOSE(CONTROL!$C$28, 0.0003, 0)</f>
        <v>91.112799999999993</v>
      </c>
      <c r="D722" s="4">
        <f>84.2803 * CHOOSE(CONTROL!$C$9, $C$13, 100%, $E$13) + CHOOSE(CONTROL!$C$28, 0, 0)</f>
        <v>84.280299999999997</v>
      </c>
      <c r="E722" s="4">
        <f>514.481765825013 * CHOOSE(CONTROL!$C$9, $C$13, 100%, $E$13) + CHOOSE(CONTROL!$C$28, 0, 0)</f>
        <v>514.48176582501299</v>
      </c>
    </row>
    <row r="723" spans="1:5" ht="15">
      <c r="A723" s="13">
        <v>63523</v>
      </c>
      <c r="B723" s="4">
        <f>89.4428 * CHOOSE(CONTROL!$C$9, $C$13, 100%, $E$13) + CHOOSE(CONTROL!$C$28, 0.0003, 0)</f>
        <v>89.443100000000001</v>
      </c>
      <c r="C723" s="4">
        <f>89.1303 * CHOOSE(CONTROL!$C$9, $C$13, 100%, $E$13) + CHOOSE(CONTROL!$C$28, 0.0003, 0)</f>
        <v>89.130600000000001</v>
      </c>
      <c r="D723" s="4">
        <f>83.8804 * CHOOSE(CONTROL!$C$9, $C$13, 100%, $E$13) + CHOOSE(CONTROL!$C$28, 0, 0)</f>
        <v>83.880399999999995</v>
      </c>
      <c r="E723" s="4">
        <f>503.093647068537 * CHOOSE(CONTROL!$C$9, $C$13, 100%, $E$13) + CHOOSE(CONTROL!$C$28, 0, 0)</f>
        <v>503.093647068537</v>
      </c>
    </row>
    <row r="724" spans="1:5" ht="15">
      <c r="A724" s="13">
        <v>63554</v>
      </c>
      <c r="B724" s="4">
        <f>88.0713 * CHOOSE(CONTROL!$C$9, $C$13, 100%, $E$13) + CHOOSE(CONTROL!$C$28, 0.0003, 0)</f>
        <v>88.071599999999989</v>
      </c>
      <c r="C724" s="4">
        <f>87.7588 * CHOOSE(CONTROL!$C$9, $C$13, 100%, $E$13) + CHOOSE(CONTROL!$C$28, 0.0003, 0)</f>
        <v>87.759099999999989</v>
      </c>
      <c r="D724" s="4">
        <f>80.937 * CHOOSE(CONTROL!$C$9, $C$13, 100%, $E$13) + CHOOSE(CONTROL!$C$28, 0, 0)</f>
        <v>80.936999999999998</v>
      </c>
      <c r="E724" s="4">
        <f>495.214532768215 * CHOOSE(CONTROL!$C$9, $C$13, 100%, $E$13) + CHOOSE(CONTROL!$C$28, 0, 0)</f>
        <v>495.21453276821501</v>
      </c>
    </row>
    <row r="725" spans="1:5" ht="15">
      <c r="A725" s="13">
        <v>63585</v>
      </c>
      <c r="B725" s="4">
        <f>85.8431 * CHOOSE(CONTROL!$C$9, $C$13, 100%, $E$13) + CHOOSE(CONTROL!$C$28, 0.0003, 0)</f>
        <v>85.843400000000003</v>
      </c>
      <c r="C725" s="4">
        <f>85.5306 * CHOOSE(CONTROL!$C$9, $C$13, 100%, $E$13) + CHOOSE(CONTROL!$C$28, 0.0003, 0)</f>
        <v>85.530900000000003</v>
      </c>
      <c r="D725" s="4">
        <f>78.2317 * CHOOSE(CONTROL!$C$9, $C$13, 100%, $E$13) + CHOOSE(CONTROL!$C$28, 0, 0)</f>
        <v>78.231700000000004</v>
      </c>
      <c r="E725" s="4">
        <f>481.013667080881 * CHOOSE(CONTROL!$C$9, $C$13, 100%, $E$13) + CHOOSE(CONTROL!$C$28, 0, 0)</f>
        <v>481.01366708088102</v>
      </c>
    </row>
    <row r="726" spans="1:5" ht="15">
      <c r="A726" s="13">
        <v>63613</v>
      </c>
      <c r="B726" s="4">
        <f>87.8368 * CHOOSE(CONTROL!$C$9, $C$13, 100%, $E$13) + CHOOSE(CONTROL!$C$28, 0.0003, 0)</f>
        <v>87.837099999999992</v>
      </c>
      <c r="C726" s="4">
        <f>87.5243 * CHOOSE(CONTROL!$C$9, $C$13, 100%, $E$13) + CHOOSE(CONTROL!$C$28, 0.0003, 0)</f>
        <v>87.524599999999992</v>
      </c>
      <c r="D726" s="4">
        <f>80.9559 * CHOOSE(CONTROL!$C$9, $C$13, 100%, $E$13) + CHOOSE(CONTROL!$C$28, 0, 0)</f>
        <v>80.9559</v>
      </c>
      <c r="E726" s="4">
        <f>492.434827168683 * CHOOSE(CONTROL!$C$9, $C$13, 100%, $E$13) + CHOOSE(CONTROL!$C$28, 0, 0)</f>
        <v>492.434827168683</v>
      </c>
    </row>
    <row r="727" spans="1:5" ht="15">
      <c r="A727" s="13">
        <v>63644</v>
      </c>
      <c r="B727" s="4">
        <f>93.0725 * CHOOSE(CONTROL!$C$9, $C$13, 100%, $E$13) + CHOOSE(CONTROL!$C$28, 0.0003, 0)</f>
        <v>93.072800000000001</v>
      </c>
      <c r="C727" s="4">
        <f>92.76 * CHOOSE(CONTROL!$C$9, $C$13, 100%, $E$13) + CHOOSE(CONTROL!$C$28, 0.0003, 0)</f>
        <v>92.760300000000001</v>
      </c>
      <c r="D727" s="4">
        <f>85.2206 * CHOOSE(CONTROL!$C$9, $C$13, 100%, $E$13) + CHOOSE(CONTROL!$C$28, 0, 0)</f>
        <v>85.220600000000005</v>
      </c>
      <c r="E727" s="4">
        <f>522.427400516559 * CHOOSE(CONTROL!$C$9, $C$13, 100%, $E$13) + CHOOSE(CONTROL!$C$28, 0, 0)</f>
        <v>522.42740051655903</v>
      </c>
    </row>
    <row r="728" spans="1:5" ht="15">
      <c r="A728" s="13">
        <v>63674</v>
      </c>
      <c r="B728" s="4">
        <f>96.7924 * CHOOSE(CONTROL!$C$9, $C$13, 100%, $E$13) + CHOOSE(CONTROL!$C$28, 0.0003, 0)</f>
        <v>96.792699999999996</v>
      </c>
      <c r="C728" s="4">
        <f>96.4799 * CHOOSE(CONTROL!$C$9, $C$13, 100%, $E$13) + CHOOSE(CONTROL!$C$28, 0.0003, 0)</f>
        <v>96.480199999999996</v>
      </c>
      <c r="D728" s="4">
        <f>87.6771 * CHOOSE(CONTROL!$C$9, $C$13, 100%, $E$13) + CHOOSE(CONTROL!$C$28, 0, 0)</f>
        <v>87.677099999999996</v>
      </c>
      <c r="E728" s="4">
        <f>543.737523583818 * CHOOSE(CONTROL!$C$9, $C$13, 100%, $E$13) + CHOOSE(CONTROL!$C$28, 0, 0)</f>
        <v>543.73752358381796</v>
      </c>
    </row>
    <row r="729" spans="1:5" ht="15">
      <c r="A729" s="13">
        <v>63705</v>
      </c>
      <c r="B729" s="4">
        <f>99.0653 * CHOOSE(CONTROL!$C$9, $C$13, 100%, $E$13) + CHOOSE(CONTROL!$C$28, 0.0271, 0)</f>
        <v>99.092399999999998</v>
      </c>
      <c r="C729" s="4">
        <f>98.7528 * CHOOSE(CONTROL!$C$9, $C$13, 100%, $E$13) + CHOOSE(CONTROL!$C$28, 0.0271, 0)</f>
        <v>98.779899999999998</v>
      </c>
      <c r="D729" s="4">
        <f>86.7064 * CHOOSE(CONTROL!$C$9, $C$13, 100%, $E$13) + CHOOSE(CONTROL!$C$28, 0, 0)</f>
        <v>86.706400000000002</v>
      </c>
      <c r="E729" s="4">
        <f>556.757498045544 * CHOOSE(CONTROL!$C$9, $C$13, 100%, $E$13) + CHOOSE(CONTROL!$C$28, 0, 0)</f>
        <v>556.75749804554403</v>
      </c>
    </row>
    <row r="730" spans="1:5" ht="15">
      <c r="A730" s="13">
        <v>63735</v>
      </c>
      <c r="B730" s="4">
        <f>99.3728 * CHOOSE(CONTROL!$C$9, $C$13, 100%, $E$13) + CHOOSE(CONTROL!$C$28, 0.0271, 0)</f>
        <v>99.399900000000002</v>
      </c>
      <c r="C730" s="4">
        <f>99.0603 * CHOOSE(CONTROL!$C$9, $C$13, 100%, $E$13) + CHOOSE(CONTROL!$C$28, 0.0271, 0)</f>
        <v>99.087400000000002</v>
      </c>
      <c r="D730" s="4">
        <f>87.497 * CHOOSE(CONTROL!$C$9, $C$13, 100%, $E$13) + CHOOSE(CONTROL!$C$28, 0, 0)</f>
        <v>87.497</v>
      </c>
      <c r="E730" s="4">
        <f>558.51915462422 * CHOOSE(CONTROL!$C$9, $C$13, 100%, $E$13) + CHOOSE(CONTROL!$C$28, 0, 0)</f>
        <v>558.51915462422005</v>
      </c>
    </row>
    <row r="731" spans="1:5" ht="15">
      <c r="A731" s="13">
        <v>63766</v>
      </c>
      <c r="B731" s="4">
        <f>99.3418 * CHOOSE(CONTROL!$C$9, $C$13, 100%, $E$13) + CHOOSE(CONTROL!$C$28, 0.0271, 0)</f>
        <v>99.368900000000011</v>
      </c>
      <c r="C731" s="4">
        <f>99.0293 * CHOOSE(CONTROL!$C$9, $C$13, 100%, $E$13) + CHOOSE(CONTROL!$C$28, 0.0271, 0)</f>
        <v>99.056400000000011</v>
      </c>
      <c r="D731" s="4">
        <f>88.9234 * CHOOSE(CONTROL!$C$9, $C$13, 100%, $E$13) + CHOOSE(CONTROL!$C$28, 0, 0)</f>
        <v>88.923400000000001</v>
      </c>
      <c r="E731" s="4">
        <f>558.341508582673 * CHOOSE(CONTROL!$C$9, $C$13, 100%, $E$13) + CHOOSE(CONTROL!$C$28, 0, 0)</f>
        <v>558.34150858267299</v>
      </c>
    </row>
    <row r="732" spans="1:5" ht="15">
      <c r="A732" s="13">
        <v>63797</v>
      </c>
      <c r="B732" s="4">
        <f>101.6754 * CHOOSE(CONTROL!$C$9, $C$13, 100%, $E$13) + CHOOSE(CONTROL!$C$28, 0.0271, 0)</f>
        <v>101.7025</v>
      </c>
      <c r="C732" s="4">
        <f>101.3629 * CHOOSE(CONTROL!$C$9, $C$13, 100%, $E$13) + CHOOSE(CONTROL!$C$28, 0.0271, 0)</f>
        <v>101.39</v>
      </c>
      <c r="D732" s="4">
        <f>87.9814 * CHOOSE(CONTROL!$C$9, $C$13, 100%, $E$13) + CHOOSE(CONTROL!$C$28, 0, 0)</f>
        <v>87.981399999999994</v>
      </c>
      <c r="E732" s="4">
        <f>571.709373209095 * CHOOSE(CONTROL!$C$9, $C$13, 100%, $E$13) + CHOOSE(CONTROL!$C$28, 0, 0)</f>
        <v>571.70937320909502</v>
      </c>
    </row>
    <row r="733" spans="1:5" ht="15">
      <c r="A733" s="13">
        <v>63827</v>
      </c>
      <c r="B733" s="4">
        <f>97.6982 * CHOOSE(CONTROL!$C$9, $C$13, 100%, $E$13) + CHOOSE(CONTROL!$C$28, 0.0271, 0)</f>
        <v>97.725300000000004</v>
      </c>
      <c r="C733" s="4">
        <f>97.3857 * CHOOSE(CONTROL!$C$9, $C$13, 100%, $E$13) + CHOOSE(CONTROL!$C$28, 0.0271, 0)</f>
        <v>97.412800000000004</v>
      </c>
      <c r="D733" s="4">
        <f>87.5363 * CHOOSE(CONTROL!$C$9, $C$13, 100%, $E$13) + CHOOSE(CONTROL!$C$28, 0, 0)</f>
        <v>87.536299999999997</v>
      </c>
      <c r="E733" s="4">
        <f>548.926268380674 * CHOOSE(CONTROL!$C$9, $C$13, 100%, $E$13) + CHOOSE(CONTROL!$C$28, 0, 0)</f>
        <v>548.92626838067395</v>
      </c>
    </row>
    <row r="734" spans="1:5" ht="15">
      <c r="A734" s="13">
        <v>63858</v>
      </c>
      <c r="B734" s="4">
        <f>94.5145 * CHOOSE(CONTROL!$C$9, $C$13, 100%, $E$13) + CHOOSE(CONTROL!$C$28, 0.0003, 0)</f>
        <v>94.514799999999994</v>
      </c>
      <c r="C734" s="4">
        <f>94.202 * CHOOSE(CONTROL!$C$9, $C$13, 100%, $E$13) + CHOOSE(CONTROL!$C$28, 0.0003, 0)</f>
        <v>94.202299999999994</v>
      </c>
      <c r="D734" s="4">
        <f>86.3445 * CHOOSE(CONTROL!$C$9, $C$13, 100%, $E$13) + CHOOSE(CONTROL!$C$28, 0, 0)</f>
        <v>86.344499999999996</v>
      </c>
      <c r="E734" s="4">
        <f>530.687941448501 * CHOOSE(CONTROL!$C$9, $C$13, 100%, $E$13) + CHOOSE(CONTROL!$C$28, 0, 0)</f>
        <v>530.68794144850096</v>
      </c>
    </row>
    <row r="735" spans="1:5" ht="15">
      <c r="A735" s="13">
        <v>63888</v>
      </c>
      <c r="B735" s="4">
        <f>92.4639 * CHOOSE(CONTROL!$C$9, $C$13, 100%, $E$13) + CHOOSE(CONTROL!$C$28, 0.0003, 0)</f>
        <v>92.464199999999991</v>
      </c>
      <c r="C735" s="4">
        <f>92.1514 * CHOOSE(CONTROL!$C$9, $C$13, 100%, $E$13) + CHOOSE(CONTROL!$C$28, 0.0003, 0)</f>
        <v>92.151699999999991</v>
      </c>
      <c r="D735" s="4">
        <f>85.9348 * CHOOSE(CONTROL!$C$9, $C$13, 100%, $E$13) + CHOOSE(CONTROL!$C$28, 0, 0)</f>
        <v>85.934799999999996</v>
      </c>
      <c r="E735" s="4">
        <f>518.941096951196 * CHOOSE(CONTROL!$C$9, $C$13, 100%, $E$13) + CHOOSE(CONTROL!$C$28, 0, 0)</f>
        <v>518.94109695119596</v>
      </c>
    </row>
    <row r="736" spans="1:5" ht="15">
      <c r="A736" s="13">
        <v>63919</v>
      </c>
      <c r="B736" s="4">
        <f>91.0451 * CHOOSE(CONTROL!$C$9, $C$13, 100%, $E$13) + CHOOSE(CONTROL!$C$28, 0.0003, 0)</f>
        <v>91.045400000000001</v>
      </c>
      <c r="C736" s="4">
        <f>90.7326 * CHOOSE(CONTROL!$C$9, $C$13, 100%, $E$13) + CHOOSE(CONTROL!$C$28, 0.0003, 0)</f>
        <v>90.732900000000001</v>
      </c>
      <c r="D736" s="4">
        <f>82.9183 * CHOOSE(CONTROL!$C$9, $C$13, 100%, $E$13) + CHOOSE(CONTROL!$C$28, 0, 0)</f>
        <v>82.918300000000002</v>
      </c>
      <c r="E736" s="4">
        <f>510.813790550414 * CHOOSE(CONTROL!$C$9, $C$13, 100%, $E$13) + CHOOSE(CONTROL!$C$28, 0, 0)</f>
        <v>510.81379055041401</v>
      </c>
    </row>
    <row r="737" spans="1:5" ht="15">
      <c r="A737" s="13">
        <v>63950</v>
      </c>
      <c r="B737" s="4">
        <f>88.74 * CHOOSE(CONTROL!$C$9, $C$13, 100%, $E$13) + CHOOSE(CONTROL!$C$28, 0.0003, 0)</f>
        <v>88.740299999999991</v>
      </c>
      <c r="C737" s="4">
        <f>88.4275 * CHOOSE(CONTROL!$C$9, $C$13, 100%, $E$13) + CHOOSE(CONTROL!$C$28, 0.0003, 0)</f>
        <v>88.427799999999991</v>
      </c>
      <c r="D737" s="4">
        <f>80.1459 * CHOOSE(CONTROL!$C$9, $C$13, 100%, $E$13) + CHOOSE(CONTROL!$C$28, 0, 0)</f>
        <v>80.145899999999997</v>
      </c>
      <c r="E737" s="4">
        <f>496.165597593929 * CHOOSE(CONTROL!$C$9, $C$13, 100%, $E$13) + CHOOSE(CONTROL!$C$28, 0, 0)</f>
        <v>496.16559759392902</v>
      </c>
    </row>
    <row r="738" spans="1:5" ht="15">
      <c r="A738" s="13">
        <v>63978</v>
      </c>
      <c r="B738" s="4">
        <f>90.8025 * CHOOSE(CONTROL!$C$9, $C$13, 100%, $E$13) + CHOOSE(CONTROL!$C$28, 0.0003, 0)</f>
        <v>90.802799999999991</v>
      </c>
      <c r="C738" s="4">
        <f>90.49 * CHOOSE(CONTROL!$C$9, $C$13, 100%, $E$13) + CHOOSE(CONTROL!$C$28, 0.0003, 0)</f>
        <v>90.490299999999991</v>
      </c>
      <c r="D738" s="4">
        <f>82.9378 * CHOOSE(CONTROL!$C$9, $C$13, 100%, $E$13) + CHOOSE(CONTROL!$C$28, 0, 0)</f>
        <v>82.937799999999996</v>
      </c>
      <c r="E738" s="4">
        <f>507.946524224496 * CHOOSE(CONTROL!$C$9, $C$13, 100%, $E$13) + CHOOSE(CONTROL!$C$28, 0, 0)</f>
        <v>507.94652422449599</v>
      </c>
    </row>
    <row r="739" spans="1:5" ht="15">
      <c r="A739" s="13">
        <v>64009</v>
      </c>
      <c r="B739" s="4">
        <f>96.2188 * CHOOSE(CONTROL!$C$9, $C$13, 100%, $E$13) + CHOOSE(CONTROL!$C$28, 0.0003, 0)</f>
        <v>96.219099999999997</v>
      </c>
      <c r="C739" s="4">
        <f>95.9063 * CHOOSE(CONTROL!$C$9, $C$13, 100%, $E$13) + CHOOSE(CONTROL!$C$28, 0.0003, 0)</f>
        <v>95.906599999999997</v>
      </c>
      <c r="D739" s="4">
        <f>87.3081 * CHOOSE(CONTROL!$C$9, $C$13, 100%, $E$13) + CHOOSE(CONTROL!$C$28, 0, 0)</f>
        <v>87.308099999999996</v>
      </c>
      <c r="E739" s="4">
        <f>538.88386363283 * CHOOSE(CONTROL!$C$9, $C$13, 100%, $E$13) + CHOOSE(CONTROL!$C$28, 0, 0)</f>
        <v>538.88386363282996</v>
      </c>
    </row>
    <row r="740" spans="1:5" ht="15">
      <c r="A740" s="13">
        <v>64039</v>
      </c>
      <c r="B740" s="4">
        <f>100.0671 * CHOOSE(CONTROL!$C$9, $C$13, 100%, $E$13) + CHOOSE(CONTROL!$C$28, 0.0003, 0)</f>
        <v>100.06739999999999</v>
      </c>
      <c r="C740" s="4">
        <f>99.7546 * CHOOSE(CONTROL!$C$9, $C$13, 100%, $E$13) + CHOOSE(CONTROL!$C$28, 0.0003, 0)</f>
        <v>99.754899999999992</v>
      </c>
      <c r="D740" s="4">
        <f>89.8256 * CHOOSE(CONTROL!$C$9, $C$13, 100%, $E$13) + CHOOSE(CONTROL!$C$28, 0, 0)</f>
        <v>89.825599999999994</v>
      </c>
      <c r="E740" s="4">
        <f>560.865255576709 * CHOOSE(CONTROL!$C$9, $C$13, 100%, $E$13) + CHOOSE(CONTROL!$C$28, 0, 0)</f>
        <v>560.86525557670905</v>
      </c>
    </row>
    <row r="741" spans="1:5" ht="15">
      <c r="A741" s="13">
        <v>64070</v>
      </c>
      <c r="B741" s="4">
        <f>102.4183 * CHOOSE(CONTROL!$C$9, $C$13, 100%, $E$13) + CHOOSE(CONTROL!$C$28, 0.0271, 0)</f>
        <v>102.44540000000001</v>
      </c>
      <c r="C741" s="4">
        <f>102.1058 * CHOOSE(CONTROL!$C$9, $C$13, 100%, $E$13) + CHOOSE(CONTROL!$C$28, 0.0271, 0)</f>
        <v>102.13290000000001</v>
      </c>
      <c r="D741" s="4">
        <f>88.8308 * CHOOSE(CONTROL!$C$9, $C$13, 100%, $E$13) + CHOOSE(CONTROL!$C$28, 0, 0)</f>
        <v>88.830799999999996</v>
      </c>
      <c r="E741" s="4">
        <f>574.295359233979 * CHOOSE(CONTROL!$C$9, $C$13, 100%, $E$13) + CHOOSE(CONTROL!$C$28, 0, 0)</f>
        <v>574.29535923397896</v>
      </c>
    </row>
    <row r="742" spans="1:5" ht="15">
      <c r="A742" s="13">
        <v>64100</v>
      </c>
      <c r="B742" s="4">
        <f>102.7365 * CHOOSE(CONTROL!$C$9, $C$13, 100%, $E$13) + CHOOSE(CONTROL!$C$28, 0.0271, 0)</f>
        <v>102.76360000000001</v>
      </c>
      <c r="C742" s="4">
        <f>102.424 * CHOOSE(CONTROL!$C$9, $C$13, 100%, $E$13) + CHOOSE(CONTROL!$C$28, 0.0271, 0)</f>
        <v>102.45110000000001</v>
      </c>
      <c r="D742" s="4">
        <f>89.641 * CHOOSE(CONTROL!$C$9, $C$13, 100%, $E$13) + CHOOSE(CONTROL!$C$28, 0, 0)</f>
        <v>89.641000000000005</v>
      </c>
      <c r="E742" s="4">
        <f>576.112507994883 * CHOOSE(CONTROL!$C$9, $C$13, 100%, $E$13) + CHOOSE(CONTROL!$C$28, 0, 0)</f>
        <v>576.112507994883</v>
      </c>
    </row>
    <row r="743" spans="1:5" ht="15">
      <c r="A743" s="13">
        <v>64131</v>
      </c>
      <c r="B743" s="4">
        <f>102.7044 * CHOOSE(CONTROL!$C$9, $C$13, 100%, $E$13) + CHOOSE(CONTROL!$C$28, 0.0271, 0)</f>
        <v>102.73150000000001</v>
      </c>
      <c r="C743" s="4">
        <f>102.3919 * CHOOSE(CONTROL!$C$9, $C$13, 100%, $E$13) + CHOOSE(CONTROL!$C$28, 0.0271, 0)</f>
        <v>102.41900000000001</v>
      </c>
      <c r="D743" s="4">
        <f>91.1028 * CHOOSE(CONTROL!$C$9, $C$13, 100%, $E$13) + CHOOSE(CONTROL!$C$28, 0, 0)</f>
        <v>91.102800000000002</v>
      </c>
      <c r="E743" s="4">
        <f>575.929266103027 * CHOOSE(CONTROL!$C$9, $C$13, 100%, $E$13) + CHOOSE(CONTROL!$C$28, 0, 0)</f>
        <v>575.92926610302698</v>
      </c>
    </row>
    <row r="744" spans="1:5" ht="15">
      <c r="A744" s="13">
        <v>64162</v>
      </c>
      <c r="B744" s="4">
        <f>105.1185 * CHOOSE(CONTROL!$C$9, $C$13, 100%, $E$13) + CHOOSE(CONTROL!$C$28, 0.0271, 0)</f>
        <v>105.1456</v>
      </c>
      <c r="C744" s="4">
        <f>104.806 * CHOOSE(CONTROL!$C$9, $C$13, 100%, $E$13) + CHOOSE(CONTROL!$C$28, 0.0271, 0)</f>
        <v>104.8331</v>
      </c>
      <c r="D744" s="4">
        <f>90.1374 * CHOOSE(CONTROL!$C$9, $C$13, 100%, $E$13) + CHOOSE(CONTROL!$C$28, 0, 0)</f>
        <v>90.1374</v>
      </c>
      <c r="E744" s="4">
        <f>589.718218465182 * CHOOSE(CONTROL!$C$9, $C$13, 100%, $E$13) + CHOOSE(CONTROL!$C$28, 0, 0)</f>
        <v>589.71821846518196</v>
      </c>
    </row>
    <row r="745" spans="1:5" ht="15">
      <c r="A745" s="13">
        <v>64192</v>
      </c>
      <c r="B745" s="4">
        <f>101.0041 * CHOOSE(CONTROL!$C$9, $C$13, 100%, $E$13) + CHOOSE(CONTROL!$C$28, 0.0271, 0)</f>
        <v>101.0312</v>
      </c>
      <c r="C745" s="4">
        <f>100.6916 * CHOOSE(CONTROL!$C$9, $C$13, 100%, $E$13) + CHOOSE(CONTROL!$C$28, 0.0271, 0)</f>
        <v>100.7187</v>
      </c>
      <c r="D745" s="4">
        <f>89.6813 * CHOOSE(CONTROL!$C$9, $C$13, 100%, $E$13) + CHOOSE(CONTROL!$C$28, 0, 0)</f>
        <v>89.681299999999993</v>
      </c>
      <c r="E745" s="4">
        <f>566.217445834666 * CHOOSE(CONTROL!$C$9, $C$13, 100%, $E$13) + CHOOSE(CONTROL!$C$28, 0, 0)</f>
        <v>566.21744583466602</v>
      </c>
    </row>
    <row r="746" spans="1:5" ht="15">
      <c r="A746" s="13">
        <v>64223</v>
      </c>
      <c r="B746" s="4">
        <f>97.7105 * CHOOSE(CONTROL!$C$9, $C$13, 100%, $E$13) + CHOOSE(CONTROL!$C$28, 0.0003, 0)</f>
        <v>97.710799999999992</v>
      </c>
      <c r="C746" s="4">
        <f>97.398 * CHOOSE(CONTROL!$C$9, $C$13, 100%, $E$13) + CHOOSE(CONTROL!$C$28, 0.0003, 0)</f>
        <v>97.398299999999992</v>
      </c>
      <c r="D746" s="4">
        <f>88.46 * CHOOSE(CONTROL!$C$9, $C$13, 100%, $E$13) + CHOOSE(CONTROL!$C$28, 0, 0)</f>
        <v>88.46</v>
      </c>
      <c r="E746" s="4">
        <f>547.404611604129 * CHOOSE(CONTROL!$C$9, $C$13, 100%, $E$13) + CHOOSE(CONTROL!$C$28, 0, 0)</f>
        <v>547.40461160412895</v>
      </c>
    </row>
    <row r="747" spans="1:5" ht="15">
      <c r="A747" s="13">
        <v>64253</v>
      </c>
      <c r="B747" s="4">
        <f>95.5892 * CHOOSE(CONTROL!$C$9, $C$13, 100%, $E$13) + CHOOSE(CONTROL!$C$28, 0.0003, 0)</f>
        <v>95.589500000000001</v>
      </c>
      <c r="C747" s="4">
        <f>95.2767 * CHOOSE(CONTROL!$C$9, $C$13, 100%, $E$13) + CHOOSE(CONTROL!$C$28, 0.0003, 0)</f>
        <v>95.277000000000001</v>
      </c>
      <c r="D747" s="4">
        <f>88.0401 * CHOOSE(CONTROL!$C$9, $C$13, 100%, $E$13) + CHOOSE(CONTROL!$C$28, 0, 0)</f>
        <v>88.040099999999995</v>
      </c>
      <c r="E747" s="4">
        <f>535.287741505159 * CHOOSE(CONTROL!$C$9, $C$13, 100%, $E$13) + CHOOSE(CONTROL!$C$28, 0, 0)</f>
        <v>535.28774150515903</v>
      </c>
    </row>
    <row r="748" spans="1:5" ht="15">
      <c r="A748" s="13">
        <v>64284</v>
      </c>
      <c r="B748" s="4">
        <f>94.1215 * CHOOSE(CONTROL!$C$9, $C$13, 100%, $E$13) + CHOOSE(CONTROL!$C$28, 0.0003, 0)</f>
        <v>94.121799999999993</v>
      </c>
      <c r="C748" s="4">
        <f>93.809 * CHOOSE(CONTROL!$C$9, $C$13, 100%, $E$13) + CHOOSE(CONTROL!$C$28, 0.0003, 0)</f>
        <v>93.809299999999993</v>
      </c>
      <c r="D748" s="4">
        <f>84.9488 * CHOOSE(CONTROL!$C$9, $C$13, 100%, $E$13) + CHOOSE(CONTROL!$C$28, 0, 0)</f>
        <v>84.948800000000006</v>
      </c>
      <c r="E748" s="4">
        <f>526.904424952752 * CHOOSE(CONTROL!$C$9, $C$13, 100%, $E$13) + CHOOSE(CONTROL!$C$28, 0, 0)</f>
        <v>526.90442495275204</v>
      </c>
    </row>
    <row r="749" spans="1:5" ht="15">
      <c r="A749" s="13">
        <v>64315</v>
      </c>
      <c r="B749" s="4">
        <f>91.7368 * CHOOSE(CONTROL!$C$9, $C$13, 100%, $E$13) + CHOOSE(CONTROL!$C$28, 0.0003, 0)</f>
        <v>91.737099999999998</v>
      </c>
      <c r="C749" s="4">
        <f>91.4243 * CHOOSE(CONTROL!$C$9, $C$13, 100%, $E$13) + CHOOSE(CONTROL!$C$28, 0.0003, 0)</f>
        <v>91.424599999999998</v>
      </c>
      <c r="D749" s="4">
        <f>82.1077 * CHOOSE(CONTROL!$C$9, $C$13, 100%, $E$13) + CHOOSE(CONTROL!$C$28, 0, 0)</f>
        <v>82.107699999999994</v>
      </c>
      <c r="E749" s="4">
        <f>511.794813918137 * CHOOSE(CONTROL!$C$9, $C$13, 100%, $E$13) + CHOOSE(CONTROL!$C$28, 0, 0)</f>
        <v>511.79481391813698</v>
      </c>
    </row>
    <row r="750" spans="1:5" ht="15">
      <c r="A750" s="13">
        <v>64344</v>
      </c>
      <c r="B750" s="4">
        <f>93.8705 * CHOOSE(CONTROL!$C$9, $C$13, 100%, $E$13) + CHOOSE(CONTROL!$C$28, 0.0003, 0)</f>
        <v>93.870800000000003</v>
      </c>
      <c r="C750" s="4">
        <f>93.558 * CHOOSE(CONTROL!$C$9, $C$13, 100%, $E$13) + CHOOSE(CONTROL!$C$28, 0.0003, 0)</f>
        <v>93.558300000000003</v>
      </c>
      <c r="D750" s="4">
        <f>84.9687 * CHOOSE(CONTROL!$C$9, $C$13, 100%, $E$13) + CHOOSE(CONTROL!$C$28, 0, 0)</f>
        <v>84.968699999999998</v>
      </c>
      <c r="E750" s="4">
        <f>523.946839737568 * CHOOSE(CONTROL!$C$9, $C$13, 100%, $E$13) + CHOOSE(CONTROL!$C$28, 0, 0)</f>
        <v>523.94683973756798</v>
      </c>
    </row>
    <row r="751" spans="1:5" ht="15">
      <c r="A751" s="13">
        <v>64375</v>
      </c>
      <c r="B751" s="4">
        <f>99.4736 * CHOOSE(CONTROL!$C$9, $C$13, 100%, $E$13) + CHOOSE(CONTROL!$C$28, 0.0003, 0)</f>
        <v>99.4739</v>
      </c>
      <c r="C751" s="4">
        <f>99.1611 * CHOOSE(CONTROL!$C$9, $C$13, 100%, $E$13) + CHOOSE(CONTROL!$C$28, 0.0003, 0)</f>
        <v>99.1614</v>
      </c>
      <c r="D751" s="4">
        <f>89.4475 * CHOOSE(CONTROL!$C$9, $C$13, 100%, $E$13) + CHOOSE(CONTROL!$C$28, 0, 0)</f>
        <v>89.447500000000005</v>
      </c>
      <c r="E751" s="4">
        <f>555.858705337264 * CHOOSE(CONTROL!$C$9, $C$13, 100%, $E$13) + CHOOSE(CONTROL!$C$28, 0, 0)</f>
        <v>555.85870533726404</v>
      </c>
    </row>
    <row r="752" spans="1:5" ht="15">
      <c r="A752" s="13">
        <v>64405</v>
      </c>
      <c r="B752" s="4">
        <f>103.4547 * CHOOSE(CONTROL!$C$9, $C$13, 100%, $E$13) + CHOOSE(CONTROL!$C$28, 0.0003, 0)</f>
        <v>103.455</v>
      </c>
      <c r="C752" s="4">
        <f>103.1422 * CHOOSE(CONTROL!$C$9, $C$13, 100%, $E$13) + CHOOSE(CONTROL!$C$28, 0.0003, 0)</f>
        <v>103.1425</v>
      </c>
      <c r="D752" s="4">
        <f>92.0274 * CHOOSE(CONTROL!$C$9, $C$13, 100%, $E$13) + CHOOSE(CONTROL!$C$28, 0, 0)</f>
        <v>92.0274</v>
      </c>
      <c r="E752" s="4">
        <f>578.532511127375 * CHOOSE(CONTROL!$C$9, $C$13, 100%, $E$13) + CHOOSE(CONTROL!$C$28, 0, 0)</f>
        <v>578.53251112737496</v>
      </c>
    </row>
    <row r="753" spans="1:5" ht="15">
      <c r="A753" s="13">
        <v>64436</v>
      </c>
      <c r="B753" s="4">
        <f>105.8871 * CHOOSE(CONTROL!$C$9, $C$13, 100%, $E$13) + CHOOSE(CONTROL!$C$28, 0.0271, 0)</f>
        <v>105.91420000000001</v>
      </c>
      <c r="C753" s="4">
        <f>105.5746 * CHOOSE(CONTROL!$C$9, $C$13, 100%, $E$13) + CHOOSE(CONTROL!$C$28, 0.0271, 0)</f>
        <v>105.60170000000001</v>
      </c>
      <c r="D753" s="4">
        <f>91.0079 * CHOOSE(CONTROL!$C$9, $C$13, 100%, $E$13) + CHOOSE(CONTROL!$C$28, 0, 0)</f>
        <v>91.007900000000006</v>
      </c>
      <c r="E753" s="4">
        <f>592.385663049849 * CHOOSE(CONTROL!$C$9, $C$13, 100%, $E$13) + CHOOSE(CONTROL!$C$28, 0, 0)</f>
        <v>592.38566304984897</v>
      </c>
    </row>
    <row r="754" spans="1:5" ht="15">
      <c r="A754" s="13">
        <v>64466</v>
      </c>
      <c r="B754" s="4">
        <f>106.2162 * CHOOSE(CONTROL!$C$9, $C$13, 100%, $E$13) + CHOOSE(CONTROL!$C$28, 0.0271, 0)</f>
        <v>106.2433</v>
      </c>
      <c r="C754" s="4">
        <f>105.9037 * CHOOSE(CONTROL!$C$9, $C$13, 100%, $E$13) + CHOOSE(CONTROL!$C$28, 0.0271, 0)</f>
        <v>105.9308</v>
      </c>
      <c r="D754" s="4">
        <f>91.8382 * CHOOSE(CONTROL!$C$9, $C$13, 100%, $E$13) + CHOOSE(CONTROL!$C$28, 0, 0)</f>
        <v>91.838200000000001</v>
      </c>
      <c r="E754" s="4">
        <f>594.260051996722 * CHOOSE(CONTROL!$C$9, $C$13, 100%, $E$13) + CHOOSE(CONTROL!$C$28, 0, 0)</f>
        <v>594.26005199672204</v>
      </c>
    </row>
    <row r="755" spans="1:5" ht="15">
      <c r="A755" s="13">
        <v>64497</v>
      </c>
      <c r="B755" s="4">
        <f>106.183 * CHOOSE(CONTROL!$C$9, $C$13, 100%, $E$13) + CHOOSE(CONTROL!$C$28, 0.0271, 0)</f>
        <v>106.21010000000001</v>
      </c>
      <c r="C755" s="4">
        <f>105.8705 * CHOOSE(CONTROL!$C$9, $C$13, 100%, $E$13) + CHOOSE(CONTROL!$C$28, 0.0271, 0)</f>
        <v>105.89760000000001</v>
      </c>
      <c r="D755" s="4">
        <f>93.3363 * CHOOSE(CONTROL!$C$9, $C$13, 100%, $E$13) + CHOOSE(CONTROL!$C$28, 0, 0)</f>
        <v>93.336299999999994</v>
      </c>
      <c r="E755" s="4">
        <f>594.071037985272 * CHOOSE(CONTROL!$C$9, $C$13, 100%, $E$13) + CHOOSE(CONTROL!$C$28, 0, 0)</f>
        <v>594.07103798527203</v>
      </c>
    </row>
    <row r="756" spans="1:5" ht="15">
      <c r="A756" s="13">
        <v>64528</v>
      </c>
      <c r="B756" s="4">
        <f>108.6804 * CHOOSE(CONTROL!$C$9, $C$13, 100%, $E$13) + CHOOSE(CONTROL!$C$28, 0.0271, 0)</f>
        <v>108.70750000000001</v>
      </c>
      <c r="C756" s="4">
        <f>108.3679 * CHOOSE(CONTROL!$C$9, $C$13, 100%, $E$13) + CHOOSE(CONTROL!$C$28, 0.0271, 0)</f>
        <v>108.39500000000001</v>
      </c>
      <c r="D756" s="4">
        <f>92.3469 * CHOOSE(CONTROL!$C$9, $C$13, 100%, $E$13) + CHOOSE(CONTROL!$C$28, 0, 0)</f>
        <v>92.346900000000005</v>
      </c>
      <c r="E756" s="4">
        <f>608.294342346835 * CHOOSE(CONTROL!$C$9, $C$13, 100%, $E$13) + CHOOSE(CONTROL!$C$28, 0, 0)</f>
        <v>608.29434234683504</v>
      </c>
    </row>
    <row r="757" spans="1:5" ht="15">
      <c r="A757" s="13">
        <v>64558</v>
      </c>
      <c r="B757" s="4">
        <f>104.4241 * CHOOSE(CONTROL!$C$9, $C$13, 100%, $E$13) + CHOOSE(CONTROL!$C$28, 0.0271, 0)</f>
        <v>104.4512</v>
      </c>
      <c r="C757" s="4">
        <f>104.1116 * CHOOSE(CONTROL!$C$9, $C$13, 100%, $E$13) + CHOOSE(CONTROL!$C$28, 0.0271, 0)</f>
        <v>104.1387</v>
      </c>
      <c r="D757" s="4">
        <f>91.8795 * CHOOSE(CONTROL!$C$9, $C$13, 100%, $E$13) + CHOOSE(CONTROL!$C$28, 0, 0)</f>
        <v>91.879499999999993</v>
      </c>
      <c r="E757" s="4">
        <f>584.053295378458 * CHOOSE(CONTROL!$C$9, $C$13, 100%, $E$13) + CHOOSE(CONTROL!$C$28, 0, 0)</f>
        <v>584.05329537845796</v>
      </c>
    </row>
    <row r="758" spans="1:5" ht="15">
      <c r="A758" s="13">
        <v>64589</v>
      </c>
      <c r="B758" s="4">
        <f>101.0168 * CHOOSE(CONTROL!$C$9, $C$13, 100%, $E$13) + CHOOSE(CONTROL!$C$28, 0.0003, 0)</f>
        <v>101.0171</v>
      </c>
      <c r="C758" s="4">
        <f>100.7043 * CHOOSE(CONTROL!$C$9, $C$13, 100%, $E$13) + CHOOSE(CONTROL!$C$28, 0.0003, 0)</f>
        <v>100.7046</v>
      </c>
      <c r="D758" s="4">
        <f>90.6279 * CHOOSE(CONTROL!$C$9, $C$13, 100%, $E$13) + CHOOSE(CONTROL!$C$28, 0, 0)</f>
        <v>90.627899999999997</v>
      </c>
      <c r="E758" s="4">
        <f>564.647856869659 * CHOOSE(CONTROL!$C$9, $C$13, 100%, $E$13) + CHOOSE(CONTROL!$C$28, 0, 0)</f>
        <v>564.64785686965899</v>
      </c>
    </row>
    <row r="759" spans="1:5" ht="15">
      <c r="A759" s="13">
        <v>64619</v>
      </c>
      <c r="B759" s="4">
        <f>98.8223 * CHOOSE(CONTROL!$C$9, $C$13, 100%, $E$13) + CHOOSE(CONTROL!$C$28, 0.0003, 0)</f>
        <v>98.822599999999994</v>
      </c>
      <c r="C759" s="4">
        <f>98.5098 * CHOOSE(CONTROL!$C$9, $C$13, 100%, $E$13) + CHOOSE(CONTROL!$C$28, 0.0003, 0)</f>
        <v>98.510099999999994</v>
      </c>
      <c r="D759" s="4">
        <f>90.1976 * CHOOSE(CONTROL!$C$9, $C$13, 100%, $E$13) + CHOOSE(CONTROL!$C$28, 0, 0)</f>
        <v>90.197599999999994</v>
      </c>
      <c r="E759" s="4">
        <f>552.149305362571 * CHOOSE(CONTROL!$C$9, $C$13, 100%, $E$13) + CHOOSE(CONTROL!$C$28, 0, 0)</f>
        <v>552.149305362571</v>
      </c>
    </row>
    <row r="760" spans="1:5" ht="15">
      <c r="A760" s="13">
        <v>64650</v>
      </c>
      <c r="B760" s="4">
        <f>97.304 * CHOOSE(CONTROL!$C$9, $C$13, 100%, $E$13) + CHOOSE(CONTROL!$C$28, 0.0003, 0)</f>
        <v>97.304299999999998</v>
      </c>
      <c r="C760" s="4">
        <f>96.9915 * CHOOSE(CONTROL!$C$9, $C$13, 100%, $E$13) + CHOOSE(CONTROL!$C$28, 0.0003, 0)</f>
        <v>96.991799999999998</v>
      </c>
      <c r="D760" s="4">
        <f>87.0296 * CHOOSE(CONTROL!$C$9, $C$13, 100%, $E$13) + CHOOSE(CONTROL!$C$28, 0, 0)</f>
        <v>87.029600000000002</v>
      </c>
      <c r="E760" s="4">
        <f>543.501914338764 * CHOOSE(CONTROL!$C$9, $C$13, 100%, $E$13) + CHOOSE(CONTROL!$C$28, 0, 0)</f>
        <v>543.50191433876398</v>
      </c>
    </row>
    <row r="761" spans="1:5" ht="15">
      <c r="A761" s="13">
        <v>64681</v>
      </c>
      <c r="B761" s="4">
        <f>94.837 * CHOOSE(CONTROL!$C$9, $C$13, 100%, $E$13) + CHOOSE(CONTROL!$C$28, 0.0003, 0)</f>
        <v>94.837299999999999</v>
      </c>
      <c r="C761" s="4">
        <f>94.5245 * CHOOSE(CONTROL!$C$9, $C$13, 100%, $E$13) + CHOOSE(CONTROL!$C$28, 0.0003, 0)</f>
        <v>94.524799999999999</v>
      </c>
      <c r="D761" s="4">
        <f>84.118 * CHOOSE(CONTROL!$C$9, $C$13, 100%, $E$13) + CHOOSE(CONTROL!$C$28, 0, 0)</f>
        <v>84.117999999999995</v>
      </c>
      <c r="E761" s="4">
        <f>527.916350556559 * CHOOSE(CONTROL!$C$9, $C$13, 100%, $E$13) + CHOOSE(CONTROL!$C$28, 0, 0)</f>
        <v>527.916350556559</v>
      </c>
    </row>
    <row r="762" spans="1:5" ht="15">
      <c r="A762" s="13">
        <v>64709</v>
      </c>
      <c r="B762" s="4">
        <f>97.0443 * CHOOSE(CONTROL!$C$9, $C$13, 100%, $E$13) + CHOOSE(CONTROL!$C$28, 0.0003, 0)</f>
        <v>97.044600000000003</v>
      </c>
      <c r="C762" s="4">
        <f>96.7318 * CHOOSE(CONTROL!$C$9, $C$13, 100%, $E$13) + CHOOSE(CONTROL!$C$28, 0.0003, 0)</f>
        <v>96.732100000000003</v>
      </c>
      <c r="D762" s="4">
        <f>87.05 * CHOOSE(CONTROL!$C$9, $C$13, 100%, $E$13) + CHOOSE(CONTROL!$C$28, 0, 0)</f>
        <v>87.05</v>
      </c>
      <c r="E762" s="4">
        <f>540.451165189301 * CHOOSE(CONTROL!$C$9, $C$13, 100%, $E$13) + CHOOSE(CONTROL!$C$28, 0, 0)</f>
        <v>540.45116518930104</v>
      </c>
    </row>
    <row r="763" spans="1:5" ht="15">
      <c r="A763" s="13">
        <v>64740</v>
      </c>
      <c r="B763" s="4">
        <f>102.8408 * CHOOSE(CONTROL!$C$9, $C$13, 100%, $E$13) + CHOOSE(CONTROL!$C$28, 0.0003, 0)</f>
        <v>102.8411</v>
      </c>
      <c r="C763" s="4">
        <f>102.5283 * CHOOSE(CONTROL!$C$9, $C$13, 100%, $E$13) + CHOOSE(CONTROL!$C$28, 0.0003, 0)</f>
        <v>102.5286</v>
      </c>
      <c r="D763" s="4">
        <f>91.6399 * CHOOSE(CONTROL!$C$9, $C$13, 100%, $E$13) + CHOOSE(CONTROL!$C$28, 0, 0)</f>
        <v>91.639899999999997</v>
      </c>
      <c r="E763" s="4">
        <f>573.368254555388 * CHOOSE(CONTROL!$C$9, $C$13, 100%, $E$13) + CHOOSE(CONTROL!$C$28, 0, 0)</f>
        <v>573.36825455538803</v>
      </c>
    </row>
    <row r="764" spans="1:5" ht="15">
      <c r="A764" s="13">
        <v>64770</v>
      </c>
      <c r="B764" s="4">
        <f>106.9592 * CHOOSE(CONTROL!$C$9, $C$13, 100%, $E$13) + CHOOSE(CONTROL!$C$28, 0.0003, 0)</f>
        <v>106.95949999999999</v>
      </c>
      <c r="C764" s="4">
        <f>106.6467 * CHOOSE(CONTROL!$C$9, $C$13, 100%, $E$13) + CHOOSE(CONTROL!$C$28, 0.0003, 0)</f>
        <v>106.64699999999999</v>
      </c>
      <c r="D764" s="4">
        <f>94.2838 * CHOOSE(CONTROL!$C$9, $C$13, 100%, $E$13) + CHOOSE(CONTROL!$C$28, 0, 0)</f>
        <v>94.283799999999999</v>
      </c>
      <c r="E764" s="4">
        <f>596.756285227887 * CHOOSE(CONTROL!$C$9, $C$13, 100%, $E$13) + CHOOSE(CONTROL!$C$28, 0, 0)</f>
        <v>596.75628522788702</v>
      </c>
    </row>
    <row r="765" spans="1:5" ht="15">
      <c r="A765" s="13">
        <v>64801</v>
      </c>
      <c r="B765" s="4">
        <f>109.4755 * CHOOSE(CONTROL!$C$9, $C$13, 100%, $E$13) + CHOOSE(CONTROL!$C$28, 0.0271, 0)</f>
        <v>109.5026</v>
      </c>
      <c r="C765" s="4">
        <f>109.163 * CHOOSE(CONTROL!$C$9, $C$13, 100%, $E$13) + CHOOSE(CONTROL!$C$28, 0.0271, 0)</f>
        <v>109.1901</v>
      </c>
      <c r="D765" s="4">
        <f>93.239 * CHOOSE(CONTROL!$C$9, $C$13, 100%, $E$13) + CHOOSE(CONTROL!$C$28, 0, 0)</f>
        <v>93.239000000000004</v>
      </c>
      <c r="E765" s="4">
        <f>611.04581143592 * CHOOSE(CONTROL!$C$9, $C$13, 100%, $E$13) + CHOOSE(CONTROL!$C$28, 0, 0)</f>
        <v>611.04581143591997</v>
      </c>
    </row>
    <row r="766" spans="1:5" ht="15">
      <c r="A766" s="13">
        <v>64831</v>
      </c>
      <c r="B766" s="4">
        <f>109.816 * CHOOSE(CONTROL!$C$9, $C$13, 100%, $E$13) + CHOOSE(CONTROL!$C$28, 0.0271, 0)</f>
        <v>109.84310000000001</v>
      </c>
      <c r="C766" s="4">
        <f>109.5035 * CHOOSE(CONTROL!$C$9, $C$13, 100%, $E$13) + CHOOSE(CONTROL!$C$28, 0.0271, 0)</f>
        <v>109.53060000000001</v>
      </c>
      <c r="D766" s="4">
        <f>94.0899 * CHOOSE(CONTROL!$C$9, $C$13, 100%, $E$13) + CHOOSE(CONTROL!$C$28, 0, 0)</f>
        <v>94.0899</v>
      </c>
      <c r="E766" s="4">
        <f>612.979243634619 * CHOOSE(CONTROL!$C$9, $C$13, 100%, $E$13) + CHOOSE(CONTROL!$C$28, 0, 0)</f>
        <v>612.97924363461902</v>
      </c>
    </row>
    <row r="767" spans="1:5" ht="15">
      <c r="A767" s="13">
        <v>64862</v>
      </c>
      <c r="B767" s="4">
        <f>109.7816 * CHOOSE(CONTROL!$C$9, $C$13, 100%, $E$13) + CHOOSE(CONTROL!$C$28, 0.0271, 0)</f>
        <v>109.8087</v>
      </c>
      <c r="C767" s="4">
        <f>109.4691 * CHOOSE(CONTROL!$C$9, $C$13, 100%, $E$13) + CHOOSE(CONTROL!$C$28, 0.0271, 0)</f>
        <v>109.4962</v>
      </c>
      <c r="D767" s="4">
        <f>95.6252 * CHOOSE(CONTROL!$C$9, $C$13, 100%, $E$13) + CHOOSE(CONTROL!$C$28, 0, 0)</f>
        <v>95.625200000000007</v>
      </c>
      <c r="E767" s="4">
        <f>612.784275681809 * CHOOSE(CONTROL!$C$9, $C$13, 100%, $E$13) + CHOOSE(CONTROL!$C$28, 0, 0)</f>
        <v>612.78427568180905</v>
      </c>
    </row>
    <row r="768" spans="1:5" ht="15">
      <c r="A768" s="13">
        <v>64893</v>
      </c>
      <c r="B768" s="4">
        <f>112.3651 * CHOOSE(CONTROL!$C$9, $C$13, 100%, $E$13) + CHOOSE(CONTROL!$C$28, 0.0271, 0)</f>
        <v>112.3922</v>
      </c>
      <c r="C768" s="4">
        <f>112.0526 * CHOOSE(CONTROL!$C$9, $C$13, 100%, $E$13) + CHOOSE(CONTROL!$C$28, 0.0271, 0)</f>
        <v>112.0797</v>
      </c>
      <c r="D768" s="4">
        <f>94.6113 * CHOOSE(CONTROL!$C$9, $C$13, 100%, $E$13) + CHOOSE(CONTROL!$C$28, 0, 0)</f>
        <v>94.6113</v>
      </c>
      <c r="E768" s="4">
        <f>627.455614130761 * CHOOSE(CONTROL!$C$9, $C$13, 100%, $E$13) + CHOOSE(CONTROL!$C$28, 0, 0)</f>
        <v>627.45561413076098</v>
      </c>
    </row>
    <row r="769" spans="1:5" ht="15">
      <c r="A769" s="13">
        <v>64923</v>
      </c>
      <c r="B769" s="4">
        <f>107.962 * CHOOSE(CONTROL!$C$9, $C$13, 100%, $E$13) + CHOOSE(CONTROL!$C$28, 0.0271, 0)</f>
        <v>107.98910000000001</v>
      </c>
      <c r="C769" s="4">
        <f>107.6495 * CHOOSE(CONTROL!$C$9, $C$13, 100%, $E$13) + CHOOSE(CONTROL!$C$28, 0.0271, 0)</f>
        <v>107.67660000000001</v>
      </c>
      <c r="D769" s="4">
        <f>94.1322 * CHOOSE(CONTROL!$C$9, $C$13, 100%, $E$13) + CHOOSE(CONTROL!$C$28, 0, 0)</f>
        <v>94.132199999999997</v>
      </c>
      <c r="E769" s="4">
        <f>602.450974182879 * CHOOSE(CONTROL!$C$9, $C$13, 100%, $E$13) + CHOOSE(CONTROL!$C$28, 0, 0)</f>
        <v>602.45097418287901</v>
      </c>
    </row>
    <row r="770" spans="1:5" ht="15">
      <c r="A770" s="13">
        <v>64954</v>
      </c>
      <c r="B770" s="4">
        <f>104.4372 * CHOOSE(CONTROL!$C$9, $C$13, 100%, $E$13) + CHOOSE(CONTROL!$C$28, 0.0003, 0)</f>
        <v>104.4375</v>
      </c>
      <c r="C770" s="4">
        <f>104.1247 * CHOOSE(CONTROL!$C$9, $C$13, 100%, $E$13) + CHOOSE(CONTROL!$C$28, 0.0003, 0)</f>
        <v>104.125</v>
      </c>
      <c r="D770" s="4">
        <f>92.8496 * CHOOSE(CONTROL!$C$9, $C$13, 100%, $E$13) + CHOOSE(CONTROL!$C$28, 0, 0)</f>
        <v>92.849599999999995</v>
      </c>
      <c r="E770" s="4">
        <f>582.434264361053 * CHOOSE(CONTROL!$C$9, $C$13, 100%, $E$13) + CHOOSE(CONTROL!$C$28, 0, 0)</f>
        <v>582.43426436105301</v>
      </c>
    </row>
    <row r="771" spans="1:5" ht="15">
      <c r="A771" s="13">
        <v>64984</v>
      </c>
      <c r="B771" s="4">
        <f>102.167 * CHOOSE(CONTROL!$C$9, $C$13, 100%, $E$13) + CHOOSE(CONTROL!$C$28, 0.0003, 0)</f>
        <v>102.1673</v>
      </c>
      <c r="C771" s="4">
        <f>101.8545 * CHOOSE(CONTROL!$C$9, $C$13, 100%, $E$13) + CHOOSE(CONTROL!$C$28, 0.0003, 0)</f>
        <v>101.8548</v>
      </c>
      <c r="D771" s="4">
        <f>92.4086 * CHOOSE(CONTROL!$C$9, $C$13, 100%, $E$13) + CHOOSE(CONTROL!$C$28, 0, 0)</f>
        <v>92.408600000000007</v>
      </c>
      <c r="E771" s="4">
        <f>569.542008481492 * CHOOSE(CONTROL!$C$9, $C$13, 100%, $E$13) + CHOOSE(CONTROL!$C$28, 0, 0)</f>
        <v>569.54200848149196</v>
      </c>
    </row>
    <row r="772" spans="1:5" ht="15">
      <c r="A772" s="13">
        <v>65015</v>
      </c>
      <c r="B772" s="4">
        <f>100.5963 * CHOOSE(CONTROL!$C$9, $C$13, 100%, $E$13) + CHOOSE(CONTROL!$C$28, 0.0003, 0)</f>
        <v>100.5966</v>
      </c>
      <c r="C772" s="4">
        <f>100.2838 * CHOOSE(CONTROL!$C$9, $C$13, 100%, $E$13) + CHOOSE(CONTROL!$C$28, 0.0003, 0)</f>
        <v>100.2841</v>
      </c>
      <c r="D772" s="4">
        <f>89.1621 * CHOOSE(CONTROL!$C$9, $C$13, 100%, $E$13) + CHOOSE(CONTROL!$C$28, 0, 0)</f>
        <v>89.162099999999995</v>
      </c>
      <c r="E772" s="4">
        <f>560.622224640435 * CHOOSE(CONTROL!$C$9, $C$13, 100%, $E$13) + CHOOSE(CONTROL!$C$28, 0, 0)</f>
        <v>560.62222464043498</v>
      </c>
    </row>
    <row r="773" spans="1:5" ht="15">
      <c r="A773" s="13">
        <v>65046</v>
      </c>
      <c r="B773" s="4">
        <f>98.0442 * CHOOSE(CONTROL!$C$9, $C$13, 100%, $E$13) + CHOOSE(CONTROL!$C$28, 0.0003, 0)</f>
        <v>98.044499999999999</v>
      </c>
      <c r="C773" s="4">
        <f>97.7317 * CHOOSE(CONTROL!$C$9, $C$13, 100%, $E$13) + CHOOSE(CONTROL!$C$28, 0.0003, 0)</f>
        <v>97.731999999999999</v>
      </c>
      <c r="D773" s="4">
        <f>86.1783 * CHOOSE(CONTROL!$C$9, $C$13, 100%, $E$13) + CHOOSE(CONTROL!$C$28, 0, 0)</f>
        <v>86.178299999999993</v>
      </c>
      <c r="E773" s="4">
        <f>544.54571559909 * CHOOSE(CONTROL!$C$9, $C$13, 100%, $E$13) + CHOOSE(CONTROL!$C$28, 0, 0)</f>
        <v>544.54571559909004</v>
      </c>
    </row>
    <row r="774" spans="1:5" ht="15">
      <c r="A774" s="13">
        <v>65074</v>
      </c>
      <c r="B774" s="4">
        <f>100.3277 * CHOOSE(CONTROL!$C$9, $C$13, 100%, $E$13) + CHOOSE(CONTROL!$C$28, 0.0003, 0)</f>
        <v>100.32799999999999</v>
      </c>
      <c r="C774" s="4">
        <f>100.0152 * CHOOSE(CONTROL!$C$9, $C$13, 100%, $E$13) + CHOOSE(CONTROL!$C$28, 0.0003, 0)</f>
        <v>100.01549999999999</v>
      </c>
      <c r="D774" s="4">
        <f>89.183 * CHOOSE(CONTROL!$C$9, $C$13, 100%, $E$13) + CHOOSE(CONTROL!$C$28, 0, 0)</f>
        <v>89.183000000000007</v>
      </c>
      <c r="E774" s="4">
        <f>557.475376892764 * CHOOSE(CONTROL!$C$9, $C$13, 100%, $E$13) + CHOOSE(CONTROL!$C$28, 0, 0)</f>
        <v>557.47537689276396</v>
      </c>
    </row>
    <row r="775" spans="1:5" ht="15">
      <c r="A775" s="13">
        <v>65105</v>
      </c>
      <c r="B775" s="4">
        <f>106.3241 * CHOOSE(CONTROL!$C$9, $C$13, 100%, $E$13) + CHOOSE(CONTROL!$C$28, 0.0003, 0)</f>
        <v>106.3244</v>
      </c>
      <c r="C775" s="4">
        <f>106.0116 * CHOOSE(CONTROL!$C$9, $C$13, 100%, $E$13) + CHOOSE(CONTROL!$C$28, 0.0003, 0)</f>
        <v>106.0119</v>
      </c>
      <c r="D775" s="4">
        <f>93.8867 * CHOOSE(CONTROL!$C$9, $C$13, 100%, $E$13) + CHOOSE(CONTROL!$C$28, 0, 0)</f>
        <v>93.886700000000005</v>
      </c>
      <c r="E775" s="4">
        <f>591.429354573883 * CHOOSE(CONTROL!$C$9, $C$13, 100%, $E$13) + CHOOSE(CONTROL!$C$28, 0, 0)</f>
        <v>591.42935457388296</v>
      </c>
    </row>
    <row r="776" spans="1:5" ht="15">
      <c r="A776" s="13">
        <v>65135</v>
      </c>
      <c r="B776" s="4">
        <f>110.5846 * CHOOSE(CONTROL!$C$9, $C$13, 100%, $E$13) + CHOOSE(CONTROL!$C$28, 0.0003, 0)</f>
        <v>110.58489999999999</v>
      </c>
      <c r="C776" s="4">
        <f>110.2721 * CHOOSE(CONTROL!$C$9, $C$13, 100%, $E$13) + CHOOSE(CONTROL!$C$28, 0.0003, 0)</f>
        <v>110.27239999999999</v>
      </c>
      <c r="D776" s="4">
        <f>96.5961 * CHOOSE(CONTROL!$C$9, $C$13, 100%, $E$13) + CHOOSE(CONTROL!$C$28, 0, 0)</f>
        <v>96.596100000000007</v>
      </c>
      <c r="E776" s="4">
        <f>615.554108212566 * CHOOSE(CONTROL!$C$9, $C$13, 100%, $E$13) + CHOOSE(CONTROL!$C$28, 0, 0)</f>
        <v>615.55410821256601</v>
      </c>
    </row>
    <row r="777" spans="1:5" ht="15">
      <c r="A777" s="13">
        <v>65166</v>
      </c>
      <c r="B777" s="4">
        <f>113.1877 * CHOOSE(CONTROL!$C$9, $C$13, 100%, $E$13) + CHOOSE(CONTROL!$C$28, 0.0271, 0)</f>
        <v>113.21480000000001</v>
      </c>
      <c r="C777" s="4">
        <f>112.8752 * CHOOSE(CONTROL!$C$9, $C$13, 100%, $E$13) + CHOOSE(CONTROL!$C$28, 0.0271, 0)</f>
        <v>112.90230000000001</v>
      </c>
      <c r="D777" s="4">
        <f>95.5255 * CHOOSE(CONTROL!$C$9, $C$13, 100%, $E$13) + CHOOSE(CONTROL!$C$28, 0, 0)</f>
        <v>95.525499999999994</v>
      </c>
      <c r="E777" s="4">
        <f>630.293754496151 * CHOOSE(CONTROL!$C$9, $C$13, 100%, $E$13) + CHOOSE(CONTROL!$C$28, 0, 0)</f>
        <v>630.293754496151</v>
      </c>
    </row>
    <row r="778" spans="1:5" ht="15">
      <c r="A778" s="13">
        <v>65196</v>
      </c>
      <c r="B778" s="4">
        <f>113.5399 * CHOOSE(CONTROL!$C$9, $C$13, 100%, $E$13) + CHOOSE(CONTROL!$C$28, 0.0271, 0)</f>
        <v>113.56700000000001</v>
      </c>
      <c r="C778" s="4">
        <f>113.2274 * CHOOSE(CONTROL!$C$9, $C$13, 100%, $E$13) + CHOOSE(CONTROL!$C$28, 0.0271, 0)</f>
        <v>113.25450000000001</v>
      </c>
      <c r="D778" s="4">
        <f>96.3974 * CHOOSE(CONTROL!$C$9, $C$13, 100%, $E$13) + CHOOSE(CONTROL!$C$28, 0, 0)</f>
        <v>96.397400000000005</v>
      </c>
      <c r="E778" s="4">
        <f>632.288089809109 * CHOOSE(CONTROL!$C$9, $C$13, 100%, $E$13) + CHOOSE(CONTROL!$C$28, 0, 0)</f>
        <v>632.28808980910901</v>
      </c>
    </row>
    <row r="779" spans="1:5" ht="15">
      <c r="A779" s="13">
        <v>65227</v>
      </c>
      <c r="B779" s="4">
        <f>113.5044 * CHOOSE(CONTROL!$C$9, $C$13, 100%, $E$13) + CHOOSE(CONTROL!$C$28, 0.0271, 0)</f>
        <v>113.53150000000001</v>
      </c>
      <c r="C779" s="4">
        <f>113.1919 * CHOOSE(CONTROL!$C$9, $C$13, 100%, $E$13) + CHOOSE(CONTROL!$C$28, 0.0271, 0)</f>
        <v>113.21900000000001</v>
      </c>
      <c r="D779" s="4">
        <f>97.9708 * CHOOSE(CONTROL!$C$9, $C$13, 100%, $E$13) + CHOOSE(CONTROL!$C$28, 0, 0)</f>
        <v>97.970799999999997</v>
      </c>
      <c r="E779" s="4">
        <f>632.086980365786 * CHOOSE(CONTROL!$C$9, $C$13, 100%, $E$13) + CHOOSE(CONTROL!$C$28, 0, 0)</f>
        <v>632.08698036578596</v>
      </c>
    </row>
    <row r="780" spans="1:5" ht="15">
      <c r="A780" s="13">
        <v>65258</v>
      </c>
      <c r="B780" s="4">
        <f>116.1771 * CHOOSE(CONTROL!$C$9, $C$13, 100%, $E$13) + CHOOSE(CONTROL!$C$28, 0.0271, 0)</f>
        <v>116.2042</v>
      </c>
      <c r="C780" s="4">
        <f>115.8646 * CHOOSE(CONTROL!$C$9, $C$13, 100%, $E$13) + CHOOSE(CONTROL!$C$28, 0.0271, 0)</f>
        <v>115.8917</v>
      </c>
      <c r="D780" s="4">
        <f>96.9317 * CHOOSE(CONTROL!$C$9, $C$13, 100%, $E$13) + CHOOSE(CONTROL!$C$28, 0, 0)</f>
        <v>96.931700000000006</v>
      </c>
      <c r="E780" s="4">
        <f>647.22046597588 * CHOOSE(CONTROL!$C$9, $C$13, 100%, $E$13) + CHOOSE(CONTROL!$C$28, 0, 0)</f>
        <v>647.22046597587996</v>
      </c>
    </row>
    <row r="781" spans="1:5" ht="15">
      <c r="A781" s="13">
        <v>65288</v>
      </c>
      <c r="B781" s="4">
        <f>111.622 * CHOOSE(CONTROL!$C$9, $C$13, 100%, $E$13) + CHOOSE(CONTROL!$C$28, 0.0271, 0)</f>
        <v>111.6491</v>
      </c>
      <c r="C781" s="4">
        <f>111.3095 * CHOOSE(CONTROL!$C$9, $C$13, 100%, $E$13) + CHOOSE(CONTROL!$C$28, 0.0271, 0)</f>
        <v>111.3366</v>
      </c>
      <c r="D781" s="4">
        <f>96.4408 * CHOOSE(CONTROL!$C$9, $C$13, 100%, $E$13) + CHOOSE(CONTROL!$C$28, 0, 0)</f>
        <v>96.440799999999996</v>
      </c>
      <c r="E781" s="4">
        <f>621.42817986964 * CHOOSE(CONTROL!$C$9, $C$13, 100%, $E$13) + CHOOSE(CONTROL!$C$28, 0, 0)</f>
        <v>621.42817986963996</v>
      </c>
    </row>
    <row r="782" spans="1:5" ht="15">
      <c r="A782" s="13">
        <v>65319</v>
      </c>
      <c r="B782" s="4">
        <f>107.9756 * CHOOSE(CONTROL!$C$9, $C$13, 100%, $E$13) + CHOOSE(CONTROL!$C$28, 0.0003, 0)</f>
        <v>107.9759</v>
      </c>
      <c r="C782" s="4">
        <f>107.6631 * CHOOSE(CONTROL!$C$9, $C$13, 100%, $E$13) + CHOOSE(CONTROL!$C$28, 0.0003, 0)</f>
        <v>107.6634</v>
      </c>
      <c r="D782" s="4">
        <f>95.1263 * CHOOSE(CONTROL!$C$9, $C$13, 100%, $E$13) + CHOOSE(CONTROL!$C$28, 0, 0)</f>
        <v>95.126300000000001</v>
      </c>
      <c r="E782" s="4">
        <f>600.780943688426 * CHOOSE(CONTROL!$C$9, $C$13, 100%, $E$13) + CHOOSE(CONTROL!$C$28, 0, 0)</f>
        <v>600.78094368842596</v>
      </c>
    </row>
    <row r="783" spans="1:5" ht="15">
      <c r="A783" s="13">
        <v>65349</v>
      </c>
      <c r="B783" s="4">
        <f>105.6271 * CHOOSE(CONTROL!$C$9, $C$13, 100%, $E$13) + CHOOSE(CONTROL!$C$28, 0.0003, 0)</f>
        <v>105.62739999999999</v>
      </c>
      <c r="C783" s="4">
        <f>105.3146 * CHOOSE(CONTROL!$C$9, $C$13, 100%, $E$13) + CHOOSE(CONTROL!$C$28, 0.0003, 0)</f>
        <v>105.31489999999999</v>
      </c>
      <c r="D783" s="4">
        <f>94.6744 * CHOOSE(CONTROL!$C$9, $C$13, 100%, $E$13) + CHOOSE(CONTROL!$C$28, 0, 0)</f>
        <v>94.674400000000006</v>
      </c>
      <c r="E783" s="4">
        <f>587.482581748659 * CHOOSE(CONTROL!$C$9, $C$13, 100%, $E$13) + CHOOSE(CONTROL!$C$28, 0, 0)</f>
        <v>587.48258174865896</v>
      </c>
    </row>
    <row r="784" spans="1:5" ht="15">
      <c r="A784" s="13">
        <v>65380</v>
      </c>
      <c r="B784" s="4">
        <f>104.0022 * CHOOSE(CONTROL!$C$9, $C$13, 100%, $E$13) + CHOOSE(CONTROL!$C$28, 0.0003, 0)</f>
        <v>104.0025</v>
      </c>
      <c r="C784" s="4">
        <f>103.6897 * CHOOSE(CONTROL!$C$9, $C$13, 100%, $E$13) + CHOOSE(CONTROL!$C$28, 0.0003, 0)</f>
        <v>103.69</v>
      </c>
      <c r="D784" s="4">
        <f>91.3474 * CHOOSE(CONTROL!$C$9, $C$13, 100%, $E$13) + CHOOSE(CONTROL!$C$28, 0, 0)</f>
        <v>91.347399999999993</v>
      </c>
      <c r="E784" s="4">
        <f>578.281824716609 * CHOOSE(CONTROL!$C$9, $C$13, 100%, $E$13) + CHOOSE(CONTROL!$C$28, 0, 0)</f>
        <v>578.28182471660898</v>
      </c>
    </row>
    <row r="785" spans="1:5" ht="15">
      <c r="A785" s="13">
        <v>65411</v>
      </c>
      <c r="B785" s="4">
        <f>101.3621 * CHOOSE(CONTROL!$C$9, $C$13, 100%, $E$13) + CHOOSE(CONTROL!$C$28, 0.0003, 0)</f>
        <v>101.36239999999999</v>
      </c>
      <c r="C785" s="4">
        <f>101.0496 * CHOOSE(CONTROL!$C$9, $C$13, 100%, $E$13) + CHOOSE(CONTROL!$C$28, 0.0003, 0)</f>
        <v>101.04989999999999</v>
      </c>
      <c r="D785" s="4">
        <f>88.2896 * CHOOSE(CONTROL!$C$9, $C$13, 100%, $E$13) + CHOOSE(CONTROL!$C$28, 0, 0)</f>
        <v>88.289599999999993</v>
      </c>
      <c r="E785" s="4">
        <f>561.698905640462 * CHOOSE(CONTROL!$C$9, $C$13, 100%, $E$13) + CHOOSE(CONTROL!$C$28, 0, 0)</f>
        <v>561.69890564046204</v>
      </c>
    </row>
    <row r="786" spans="1:5" ht="15">
      <c r="A786" s="13">
        <v>65439</v>
      </c>
      <c r="B786" s="4">
        <f>103.7243 * CHOOSE(CONTROL!$C$9, $C$13, 100%, $E$13) + CHOOSE(CONTROL!$C$28, 0.0003, 0)</f>
        <v>103.7246</v>
      </c>
      <c r="C786" s="4">
        <f>103.4118 * CHOOSE(CONTROL!$C$9, $C$13, 100%, $E$13) + CHOOSE(CONTROL!$C$28, 0.0003, 0)</f>
        <v>103.4121</v>
      </c>
      <c r="D786" s="4">
        <f>91.3688 * CHOOSE(CONTROL!$C$9, $C$13, 100%, $E$13) + CHOOSE(CONTROL!$C$28, 0, 0)</f>
        <v>91.368799999999993</v>
      </c>
      <c r="E786" s="4">
        <f>575.035851264886 * CHOOSE(CONTROL!$C$9, $C$13, 100%, $E$13) + CHOOSE(CONTROL!$C$28, 0, 0)</f>
        <v>575.03585126488599</v>
      </c>
    </row>
    <row r="787" spans="1:5" ht="15">
      <c r="A787" s="13">
        <v>65470</v>
      </c>
      <c r="B787" s="4">
        <f>109.9276 * CHOOSE(CONTROL!$C$9, $C$13, 100%, $E$13) + CHOOSE(CONTROL!$C$28, 0.0003, 0)</f>
        <v>109.92789999999999</v>
      </c>
      <c r="C787" s="4">
        <f>109.6151 * CHOOSE(CONTROL!$C$9, $C$13, 100%, $E$13) + CHOOSE(CONTROL!$C$28, 0.0003, 0)</f>
        <v>109.61539999999999</v>
      </c>
      <c r="D787" s="4">
        <f>96.1892 * CHOOSE(CONTROL!$C$9, $C$13, 100%, $E$13) + CHOOSE(CONTROL!$C$28, 0, 0)</f>
        <v>96.1892</v>
      </c>
      <c r="E787" s="4">
        <f>610.059379242961 * CHOOSE(CONTROL!$C$9, $C$13, 100%, $E$13) + CHOOSE(CONTROL!$C$28, 0, 0)</f>
        <v>610.05937924296097</v>
      </c>
    </row>
    <row r="788" spans="1:5" ht="15">
      <c r="A788" s="13">
        <v>65500</v>
      </c>
      <c r="B788" s="4">
        <f>114.3351 * CHOOSE(CONTROL!$C$9, $C$13, 100%, $E$13) + CHOOSE(CONTROL!$C$28, 0.0003, 0)</f>
        <v>114.33539999999999</v>
      </c>
      <c r="C788" s="4">
        <f>114.0226 * CHOOSE(CONTROL!$C$9, $C$13, 100%, $E$13) + CHOOSE(CONTROL!$C$28, 0.0003, 0)</f>
        <v>114.02289999999999</v>
      </c>
      <c r="D788" s="4">
        <f>98.9658 * CHOOSE(CONTROL!$C$9, $C$13, 100%, $E$13) + CHOOSE(CONTROL!$C$28, 0, 0)</f>
        <v>98.965800000000002</v>
      </c>
      <c r="E788" s="4">
        <f>634.944062621262 * CHOOSE(CONTROL!$C$9, $C$13, 100%, $E$13) + CHOOSE(CONTROL!$C$28, 0, 0)</f>
        <v>634.94406262126199</v>
      </c>
    </row>
    <row r="789" spans="1:5" ht="15">
      <c r="A789" s="13">
        <v>65531</v>
      </c>
      <c r="B789" s="4">
        <f>117.028 * CHOOSE(CONTROL!$C$9, $C$13, 100%, $E$13) + CHOOSE(CONTROL!$C$28, 0.0271, 0)</f>
        <v>117.05510000000001</v>
      </c>
      <c r="C789" s="4">
        <f>116.7155 * CHOOSE(CONTROL!$C$9, $C$13, 100%, $E$13) + CHOOSE(CONTROL!$C$28, 0.0271, 0)</f>
        <v>116.74260000000001</v>
      </c>
      <c r="D789" s="4">
        <f>97.8686 * CHOOSE(CONTROL!$C$9, $C$13, 100%, $E$13) + CHOOSE(CONTROL!$C$28, 0, 0)</f>
        <v>97.868600000000001</v>
      </c>
      <c r="E789" s="4">
        <f>650.14800776278 * CHOOSE(CONTROL!$C$9, $C$13, 100%, $E$13) + CHOOSE(CONTROL!$C$28, 0, 0)</f>
        <v>650.14800776278003</v>
      </c>
    </row>
    <row r="790" spans="1:5" ht="15">
      <c r="A790" s="13">
        <v>65561</v>
      </c>
      <c r="B790" s="4">
        <f>117.3924 * CHOOSE(CONTROL!$C$9, $C$13, 100%, $E$13) + CHOOSE(CONTROL!$C$28, 0.0271, 0)</f>
        <v>117.4195</v>
      </c>
      <c r="C790" s="4">
        <f>117.0799 * CHOOSE(CONTROL!$C$9, $C$13, 100%, $E$13) + CHOOSE(CONTROL!$C$28, 0.0271, 0)</f>
        <v>117.107</v>
      </c>
      <c r="D790" s="4">
        <f>98.7622 * CHOOSE(CONTROL!$C$9, $C$13, 100%, $E$13) + CHOOSE(CONTROL!$C$28, 0, 0)</f>
        <v>98.762200000000007</v>
      </c>
      <c r="E790" s="4">
        <f>652.205164638096 * CHOOSE(CONTROL!$C$9, $C$13, 100%, $E$13) + CHOOSE(CONTROL!$C$28, 0, 0)</f>
        <v>652.20516463809599</v>
      </c>
    </row>
    <row r="791" spans="1:5" ht="15">
      <c r="A791" s="13">
        <v>65592</v>
      </c>
      <c r="B791" s="4">
        <f>117.3556 * CHOOSE(CONTROL!$C$9, $C$13, 100%, $E$13) + CHOOSE(CONTROL!$C$28, 0.0271, 0)</f>
        <v>117.3827</v>
      </c>
      <c r="C791" s="4">
        <f>117.0431 * CHOOSE(CONTROL!$C$9, $C$13, 100%, $E$13) + CHOOSE(CONTROL!$C$28, 0.0271, 0)</f>
        <v>117.0702</v>
      </c>
      <c r="D791" s="4">
        <f>100.3745 * CHOOSE(CONTROL!$C$9, $C$13, 100%, $E$13) + CHOOSE(CONTROL!$C$28, 0, 0)</f>
        <v>100.3745</v>
      </c>
      <c r="E791" s="4">
        <f>651.997720247308 * CHOOSE(CONTROL!$C$9, $C$13, 100%, $E$13) + CHOOSE(CONTROL!$C$28, 0, 0)</f>
        <v>651.99772024730805</v>
      </c>
    </row>
    <row r="792" spans="1:5" ht="15">
      <c r="A792" s="13">
        <v>65623</v>
      </c>
      <c r="B792" s="4">
        <f>120.1205 * CHOOSE(CONTROL!$C$9, $C$13, 100%, $E$13) + CHOOSE(CONTROL!$C$28, 0.0271, 0)</f>
        <v>120.14760000000001</v>
      </c>
      <c r="C792" s="4">
        <f>119.808 * CHOOSE(CONTROL!$C$9, $C$13, 100%, $E$13) + CHOOSE(CONTROL!$C$28, 0.0271, 0)</f>
        <v>119.83510000000001</v>
      </c>
      <c r="D792" s="4">
        <f>99.3097 * CHOOSE(CONTROL!$C$9, $C$13, 100%, $E$13) + CHOOSE(CONTROL!$C$28, 0, 0)</f>
        <v>99.309700000000007</v>
      </c>
      <c r="E792" s="4">
        <f>667.60791065412 * CHOOSE(CONTROL!$C$9, $C$13, 100%, $E$13) + CHOOSE(CONTROL!$C$28, 0, 0)</f>
        <v>667.60791065412002</v>
      </c>
    </row>
    <row r="793" spans="1:5" ht="15">
      <c r="A793" s="13">
        <v>65653</v>
      </c>
      <c r="B793" s="4">
        <f>115.4083 * CHOOSE(CONTROL!$C$9, $C$13, 100%, $E$13) + CHOOSE(CONTROL!$C$28, 0.0271, 0)</f>
        <v>115.4354</v>
      </c>
      <c r="C793" s="4">
        <f>115.0958 * CHOOSE(CONTROL!$C$9, $C$13, 100%, $E$13) + CHOOSE(CONTROL!$C$28, 0.0271, 0)</f>
        <v>115.1229</v>
      </c>
      <c r="D793" s="4">
        <f>98.8066 * CHOOSE(CONTROL!$C$9, $C$13, 100%, $E$13) + CHOOSE(CONTROL!$C$28, 0, 0)</f>
        <v>98.806600000000003</v>
      </c>
      <c r="E793" s="4">
        <f>641.003167535534 * CHOOSE(CONTROL!$C$9, $C$13, 100%, $E$13) + CHOOSE(CONTROL!$C$28, 0, 0)</f>
        <v>641.00316753553398</v>
      </c>
    </row>
    <row r="794" spans="1:5" ht="15">
      <c r="A794" s="13">
        <v>65684</v>
      </c>
      <c r="B794" s="4">
        <f>111.6361 * CHOOSE(CONTROL!$C$9, $C$13, 100%, $E$13) + CHOOSE(CONTROL!$C$28, 0.0003, 0)</f>
        <v>111.63639999999999</v>
      </c>
      <c r="C794" s="4">
        <f>111.3236 * CHOOSE(CONTROL!$C$9, $C$13, 100%, $E$13) + CHOOSE(CONTROL!$C$28, 0.0003, 0)</f>
        <v>111.32389999999999</v>
      </c>
      <c r="D794" s="4">
        <f>97.4596 * CHOOSE(CONTROL!$C$9, $C$13, 100%, $E$13) + CHOOSE(CONTROL!$C$28, 0, 0)</f>
        <v>97.459599999999995</v>
      </c>
      <c r="E794" s="4">
        <f>619.705543414612 * CHOOSE(CONTROL!$C$9, $C$13, 100%, $E$13) + CHOOSE(CONTROL!$C$28, 0, 0)</f>
        <v>619.70554341461195</v>
      </c>
    </row>
    <row r="795" spans="1:5" ht="15">
      <c r="A795" s="13">
        <v>65714</v>
      </c>
      <c r="B795" s="4">
        <f>109.2065 * CHOOSE(CONTROL!$C$9, $C$13, 100%, $E$13) + CHOOSE(CONTROL!$C$28, 0.0003, 0)</f>
        <v>109.2068</v>
      </c>
      <c r="C795" s="4">
        <f>108.894 * CHOOSE(CONTROL!$C$9, $C$13, 100%, $E$13) + CHOOSE(CONTROL!$C$28, 0.0003, 0)</f>
        <v>108.8943</v>
      </c>
      <c r="D795" s="4">
        <f>96.9965 * CHOOSE(CONTROL!$C$9, $C$13, 100%, $E$13) + CHOOSE(CONTROL!$C$28, 0, 0)</f>
        <v>96.996499999999997</v>
      </c>
      <c r="E795" s="4">
        <f>605.988283073742 * CHOOSE(CONTROL!$C$9, $C$13, 100%, $E$13) + CHOOSE(CONTROL!$C$28, 0, 0)</f>
        <v>605.98828307374197</v>
      </c>
    </row>
    <row r="796" spans="1:5" ht="15">
      <c r="A796" s="13">
        <v>65745</v>
      </c>
      <c r="B796" s="4">
        <f>107.5256 * CHOOSE(CONTROL!$C$9, $C$13, 100%, $E$13) + CHOOSE(CONTROL!$C$28, 0.0003, 0)</f>
        <v>107.52589999999999</v>
      </c>
      <c r="C796" s="4">
        <f>107.2131 * CHOOSE(CONTROL!$C$9, $C$13, 100%, $E$13) + CHOOSE(CONTROL!$C$28, 0.0003, 0)</f>
        <v>107.21339999999999</v>
      </c>
      <c r="D796" s="4">
        <f>93.5869 * CHOOSE(CONTROL!$C$9, $C$13, 100%, $E$13) + CHOOSE(CONTROL!$C$28, 0, 0)</f>
        <v>93.5869</v>
      </c>
      <c r="E796" s="4">
        <f>596.497702195182 * CHOOSE(CONTROL!$C$9, $C$13, 100%, $E$13) + CHOOSE(CONTROL!$C$28, 0, 0)</f>
        <v>596.497702195182</v>
      </c>
    </row>
    <row r="797" spans="1:5" ht="15">
      <c r="A797" s="13">
        <v>65776</v>
      </c>
      <c r="B797" s="4">
        <f>104.7944 * CHOOSE(CONTROL!$C$9, $C$13, 100%, $E$13) + CHOOSE(CONTROL!$C$28, 0.0003, 0)</f>
        <v>104.79469999999999</v>
      </c>
      <c r="C797" s="4">
        <f>104.4819 * CHOOSE(CONTROL!$C$9, $C$13, 100%, $E$13) + CHOOSE(CONTROL!$C$28, 0.0003, 0)</f>
        <v>104.48219999999999</v>
      </c>
      <c r="D797" s="4">
        <f>90.4533 * CHOOSE(CONTROL!$C$9, $C$13, 100%, $E$13) + CHOOSE(CONTROL!$C$28, 0, 0)</f>
        <v>90.453299999999999</v>
      </c>
      <c r="E797" s="4">
        <f>579.392421168136 * CHOOSE(CONTROL!$C$9, $C$13, 100%, $E$13) + CHOOSE(CONTROL!$C$28, 0, 0)</f>
        <v>579.39242116813602</v>
      </c>
    </row>
    <row r="798" spans="1:5" ht="15">
      <c r="A798" s="13">
        <v>65805</v>
      </c>
      <c r="B798" s="4">
        <f>107.2381 * CHOOSE(CONTROL!$C$9, $C$13, 100%, $E$13) + CHOOSE(CONTROL!$C$28, 0.0003, 0)</f>
        <v>107.2384</v>
      </c>
      <c r="C798" s="4">
        <f>106.9256 * CHOOSE(CONTROL!$C$9, $C$13, 100%, $E$13) + CHOOSE(CONTROL!$C$28, 0.0003, 0)</f>
        <v>106.9259</v>
      </c>
      <c r="D798" s="4">
        <f>93.6089 * CHOOSE(CONTROL!$C$9, $C$13, 100%, $E$13) + CHOOSE(CONTROL!$C$28, 0, 0)</f>
        <v>93.608900000000006</v>
      </c>
      <c r="E798" s="4">
        <f>593.14948057973 * CHOOSE(CONTROL!$C$9, $C$13, 100%, $E$13) + CHOOSE(CONTROL!$C$28, 0, 0)</f>
        <v>593.14948057973004</v>
      </c>
    </row>
    <row r="799" spans="1:5" ht="15">
      <c r="A799" s="13">
        <v>65836</v>
      </c>
      <c r="B799" s="4">
        <f>113.6554 * CHOOSE(CONTROL!$C$9, $C$13, 100%, $E$13) + CHOOSE(CONTROL!$C$28, 0.0003, 0)</f>
        <v>113.6557</v>
      </c>
      <c r="C799" s="4">
        <f>113.3429 * CHOOSE(CONTROL!$C$9, $C$13, 100%, $E$13) + CHOOSE(CONTROL!$C$28, 0.0003, 0)</f>
        <v>113.3432</v>
      </c>
      <c r="D799" s="4">
        <f>98.5488 * CHOOSE(CONTROL!$C$9, $C$13, 100%, $E$13) + CHOOSE(CONTROL!$C$28, 0, 0)</f>
        <v>98.5488</v>
      </c>
      <c r="E799" s="4">
        <f>629.276249689114 * CHOOSE(CONTROL!$C$9, $C$13, 100%, $E$13) + CHOOSE(CONTROL!$C$28, 0, 0)</f>
        <v>629.27624968911402</v>
      </c>
    </row>
    <row r="800" spans="1:5" ht="15">
      <c r="A800" s="13">
        <v>65866</v>
      </c>
      <c r="B800" s="4">
        <f>118.215 * CHOOSE(CONTROL!$C$9, $C$13, 100%, $E$13) + CHOOSE(CONTROL!$C$28, 0.0003, 0)</f>
        <v>118.2153</v>
      </c>
      <c r="C800" s="4">
        <f>117.9025 * CHOOSE(CONTROL!$C$9, $C$13, 100%, $E$13) + CHOOSE(CONTROL!$C$28, 0.0003, 0)</f>
        <v>117.9028</v>
      </c>
      <c r="D800" s="4">
        <f>101.3943 * CHOOSE(CONTROL!$C$9, $C$13, 100%, $E$13) + CHOOSE(CONTROL!$C$28, 0, 0)</f>
        <v>101.3943</v>
      </c>
      <c r="E800" s="4">
        <f>654.944800593831 * CHOOSE(CONTROL!$C$9, $C$13, 100%, $E$13) + CHOOSE(CONTROL!$C$28, 0, 0)</f>
        <v>654.94480059383102</v>
      </c>
    </row>
    <row r="801" spans="1:5" ht="15">
      <c r="A801" s="13">
        <v>65897</v>
      </c>
      <c r="B801" s="4">
        <f>121.0008 * CHOOSE(CONTROL!$C$9, $C$13, 100%, $E$13) + CHOOSE(CONTROL!$C$28, 0.0271, 0)</f>
        <v>121.0279</v>
      </c>
      <c r="C801" s="4">
        <f>120.6883 * CHOOSE(CONTROL!$C$9, $C$13, 100%, $E$13) + CHOOSE(CONTROL!$C$28, 0.0271, 0)</f>
        <v>120.7154</v>
      </c>
      <c r="D801" s="4">
        <f>100.2699 * CHOOSE(CONTROL!$C$9, $C$13, 100%, $E$13) + CHOOSE(CONTROL!$C$28, 0, 0)</f>
        <v>100.26990000000001</v>
      </c>
      <c r="E801" s="4">
        <f>670.627670007308 * CHOOSE(CONTROL!$C$9, $C$13, 100%, $E$13) + CHOOSE(CONTROL!$C$28, 0, 0)</f>
        <v>670.62767000730798</v>
      </c>
    </row>
    <row r="802" spans="1:5" ht="15">
      <c r="A802" s="13">
        <v>65927</v>
      </c>
      <c r="B802" s="4">
        <f>121.3777 * CHOOSE(CONTROL!$C$9, $C$13, 100%, $E$13) + CHOOSE(CONTROL!$C$28, 0.0271, 0)</f>
        <v>121.40480000000001</v>
      </c>
      <c r="C802" s="4">
        <f>121.0652 * CHOOSE(CONTROL!$C$9, $C$13, 100%, $E$13) + CHOOSE(CONTROL!$C$28, 0.0271, 0)</f>
        <v>121.09230000000001</v>
      </c>
      <c r="D802" s="4">
        <f>101.1856 * CHOOSE(CONTROL!$C$9, $C$13, 100%, $E$13) + CHOOSE(CONTROL!$C$28, 0, 0)</f>
        <v>101.18559999999999</v>
      </c>
      <c r="E802" s="4">
        <f>672.749627324196 * CHOOSE(CONTROL!$C$9, $C$13, 100%, $E$13) + CHOOSE(CONTROL!$C$28, 0, 0)</f>
        <v>672.74962732419601</v>
      </c>
    </row>
    <row r="803" spans="1:5" ht="15">
      <c r="A803" s="13">
        <v>65958</v>
      </c>
      <c r="B803" s="4">
        <f>121.3397 * CHOOSE(CONTROL!$C$9, $C$13, 100%, $E$13) + CHOOSE(CONTROL!$C$28, 0.0271, 0)</f>
        <v>121.3668</v>
      </c>
      <c r="C803" s="4">
        <f>121.0272 * CHOOSE(CONTROL!$C$9, $C$13, 100%, $E$13) + CHOOSE(CONTROL!$C$28, 0.0271, 0)</f>
        <v>121.0543</v>
      </c>
      <c r="D803" s="4">
        <f>102.8379 * CHOOSE(CONTROL!$C$9, $C$13, 100%, $E$13) + CHOOSE(CONTROL!$C$28, 0, 0)</f>
        <v>102.8379</v>
      </c>
      <c r="E803" s="4">
        <f>672.535648435098 * CHOOSE(CONTROL!$C$9, $C$13, 100%, $E$13) + CHOOSE(CONTROL!$C$28, 0, 0)</f>
        <v>672.53564843509798</v>
      </c>
    </row>
    <row r="804" spans="1:5" ht="15">
      <c r="A804" s="13">
        <v>65989</v>
      </c>
      <c r="B804" s="4">
        <f>124.1999 * CHOOSE(CONTROL!$C$9, $C$13, 100%, $E$13) + CHOOSE(CONTROL!$C$28, 0.0271, 0)</f>
        <v>124.227</v>
      </c>
      <c r="C804" s="4">
        <f>123.8874 * CHOOSE(CONTROL!$C$9, $C$13, 100%, $E$13) + CHOOSE(CONTROL!$C$28, 0.0271, 0)</f>
        <v>123.9145</v>
      </c>
      <c r="D804" s="4">
        <f>101.7467 * CHOOSE(CONTROL!$C$9, $C$13, 100%, $E$13) + CHOOSE(CONTROL!$C$28, 0, 0)</f>
        <v>101.7467</v>
      </c>
      <c r="E804" s="4">
        <f>688.637559839725 * CHOOSE(CONTROL!$C$9, $C$13, 100%, $E$13) + CHOOSE(CONTROL!$C$28, 0, 0)</f>
        <v>688.63755983972499</v>
      </c>
    </row>
    <row r="805" spans="1:5" ht="15">
      <c r="A805" s="13">
        <v>66019</v>
      </c>
      <c r="B805" s="4">
        <f>119.3252 * CHOOSE(CONTROL!$C$9, $C$13, 100%, $E$13) + CHOOSE(CONTROL!$C$28, 0.0271, 0)</f>
        <v>119.3523</v>
      </c>
      <c r="C805" s="4">
        <f>119.0127 * CHOOSE(CONTROL!$C$9, $C$13, 100%, $E$13) + CHOOSE(CONTROL!$C$28, 0.0271, 0)</f>
        <v>119.0398</v>
      </c>
      <c r="D805" s="4">
        <f>101.2312 * CHOOSE(CONTROL!$C$9, $C$13, 100%, $E$13) + CHOOSE(CONTROL!$C$28, 0, 0)</f>
        <v>101.2312</v>
      </c>
      <c r="E805" s="4">
        <f>661.194767312903 * CHOOSE(CONTROL!$C$9, $C$13, 100%, $E$13) + CHOOSE(CONTROL!$C$28, 0, 0)</f>
        <v>661.19476731290297</v>
      </c>
    </row>
    <row r="806" spans="1:5" ht="15">
      <c r="A806" s="13">
        <v>66050</v>
      </c>
      <c r="B806" s="4">
        <f>115.4229 * CHOOSE(CONTROL!$C$9, $C$13, 100%, $E$13) + CHOOSE(CONTROL!$C$28, 0.0003, 0)</f>
        <v>115.42319999999999</v>
      </c>
      <c r="C806" s="4">
        <f>115.1104 * CHOOSE(CONTROL!$C$9, $C$13, 100%, $E$13) + CHOOSE(CONTROL!$C$28, 0.0003, 0)</f>
        <v>115.11069999999999</v>
      </c>
      <c r="D806" s="4">
        <f>99.8507 * CHOOSE(CONTROL!$C$9, $C$13, 100%, $E$13) + CHOOSE(CONTROL!$C$28, 0, 0)</f>
        <v>99.850700000000003</v>
      </c>
      <c r="E806" s="4">
        <f>639.226268032172 * CHOOSE(CONTROL!$C$9, $C$13, 100%, $E$13) + CHOOSE(CONTROL!$C$28, 0, 0)</f>
        <v>639.22626803217202</v>
      </c>
    </row>
    <row r="807" spans="1:5" ht="15">
      <c r="A807" s="13">
        <v>66080</v>
      </c>
      <c r="B807" s="4">
        <f>112.9095 * CHOOSE(CONTROL!$C$9, $C$13, 100%, $E$13) + CHOOSE(CONTROL!$C$28, 0.0003, 0)</f>
        <v>112.90979999999999</v>
      </c>
      <c r="C807" s="4">
        <f>112.597 * CHOOSE(CONTROL!$C$9, $C$13, 100%, $E$13) + CHOOSE(CONTROL!$C$28, 0.0003, 0)</f>
        <v>112.59729999999999</v>
      </c>
      <c r="D807" s="4">
        <f>99.3761 * CHOOSE(CONTROL!$C$9, $C$13, 100%, $E$13) + CHOOSE(CONTROL!$C$28, 0, 0)</f>
        <v>99.376099999999994</v>
      </c>
      <c r="E807" s="4">
        <f>625.076913990565 * CHOOSE(CONTROL!$C$9, $C$13, 100%, $E$13) + CHOOSE(CONTROL!$C$28, 0, 0)</f>
        <v>625.076913990565</v>
      </c>
    </row>
    <row r="808" spans="1:5" ht="15">
      <c r="A808" s="13">
        <v>66111</v>
      </c>
      <c r="B808" s="4">
        <f>111.1705 * CHOOSE(CONTROL!$C$9, $C$13, 100%, $E$13) + CHOOSE(CONTROL!$C$28, 0.0003, 0)</f>
        <v>111.1708</v>
      </c>
      <c r="C808" s="4">
        <f>110.858 * CHOOSE(CONTROL!$C$9, $C$13, 100%, $E$13) + CHOOSE(CONTROL!$C$28, 0.0003, 0)</f>
        <v>110.8583</v>
      </c>
      <c r="D808" s="4">
        <f>95.882 * CHOOSE(CONTROL!$C$9, $C$13, 100%, $E$13) + CHOOSE(CONTROL!$C$28, 0, 0)</f>
        <v>95.882000000000005</v>
      </c>
      <c r="E808" s="4">
        <f>615.28737981433 * CHOOSE(CONTROL!$C$9, $C$13, 100%, $E$13) + CHOOSE(CONTROL!$C$28, 0, 0)</f>
        <v>615.28737981433005</v>
      </c>
    </row>
    <row r="809" spans="1:5" ht="15">
      <c r="A809" s="13">
        <v>66142</v>
      </c>
      <c r="B809" s="4">
        <f>108.3451 * CHOOSE(CONTROL!$C$9, $C$13, 100%, $E$13) + CHOOSE(CONTROL!$C$28, 0.0003, 0)</f>
        <v>108.3454</v>
      </c>
      <c r="C809" s="4">
        <f>108.0326 * CHOOSE(CONTROL!$C$9, $C$13, 100%, $E$13) + CHOOSE(CONTROL!$C$28, 0.0003, 0)</f>
        <v>108.0329</v>
      </c>
      <c r="D809" s="4">
        <f>92.6706 * CHOOSE(CONTROL!$C$9, $C$13, 100%, $E$13) + CHOOSE(CONTROL!$C$28, 0, 0)</f>
        <v>92.670599999999993</v>
      </c>
      <c r="E809" s="4">
        <f>597.643282434933 * CHOOSE(CONTROL!$C$9, $C$13, 100%, $E$13) + CHOOSE(CONTROL!$C$28, 0, 0)</f>
        <v>597.64328243493298</v>
      </c>
    </row>
    <row r="810" spans="1:5" ht="15">
      <c r="A810" s="13">
        <v>66170</v>
      </c>
      <c r="B810" s="4">
        <f>110.8731 * CHOOSE(CONTROL!$C$9, $C$13, 100%, $E$13) + CHOOSE(CONTROL!$C$28, 0.0003, 0)</f>
        <v>110.87339999999999</v>
      </c>
      <c r="C810" s="4">
        <f>110.5606 * CHOOSE(CONTROL!$C$9, $C$13, 100%, $E$13) + CHOOSE(CONTROL!$C$28, 0.0003, 0)</f>
        <v>110.56089999999999</v>
      </c>
      <c r="D810" s="4">
        <f>95.9045 * CHOOSE(CONTROL!$C$9, $C$13, 100%, $E$13) + CHOOSE(CONTROL!$C$28, 0, 0)</f>
        <v>95.904499999999999</v>
      </c>
      <c r="E810" s="4">
        <f>611.833689217992 * CHOOSE(CONTROL!$C$9, $C$13, 100%, $E$13) + CHOOSE(CONTROL!$C$28, 0, 0)</f>
        <v>611.83368921799195</v>
      </c>
    </row>
    <row r="811" spans="1:5" ht="15">
      <c r="A811" s="13">
        <v>66201</v>
      </c>
      <c r="B811" s="4">
        <f>117.5118 * CHOOSE(CONTROL!$C$9, $C$13, 100%, $E$13) + CHOOSE(CONTROL!$C$28, 0.0003, 0)</f>
        <v>117.51209999999999</v>
      </c>
      <c r="C811" s="4">
        <f>117.1993 * CHOOSE(CONTROL!$C$9, $C$13, 100%, $E$13) + CHOOSE(CONTROL!$C$28, 0.0003, 0)</f>
        <v>117.19959999999999</v>
      </c>
      <c r="D811" s="4">
        <f>100.9669 * CHOOSE(CONTROL!$C$9, $C$13, 100%, $E$13) + CHOOSE(CONTROL!$C$28, 0, 0)</f>
        <v>100.9669</v>
      </c>
      <c r="E811" s="4">
        <f>649.098451554321 * CHOOSE(CONTROL!$C$9, $C$13, 100%, $E$13) + CHOOSE(CONTROL!$C$28, 0, 0)</f>
        <v>649.09845155432095</v>
      </c>
    </row>
    <row r="812" spans="1:5" ht="15">
      <c r="A812" s="13">
        <v>66231</v>
      </c>
      <c r="B812" s="4">
        <f>122.2287 * CHOOSE(CONTROL!$C$9, $C$13, 100%, $E$13) + CHOOSE(CONTROL!$C$28, 0.0003, 0)</f>
        <v>122.229</v>
      </c>
      <c r="C812" s="4">
        <f>121.9162 * CHOOSE(CONTROL!$C$9, $C$13, 100%, $E$13) + CHOOSE(CONTROL!$C$28, 0.0003, 0)</f>
        <v>121.9165</v>
      </c>
      <c r="D812" s="4">
        <f>103.883 * CHOOSE(CONTROL!$C$9, $C$13, 100%, $E$13) + CHOOSE(CONTROL!$C$28, 0, 0)</f>
        <v>103.883</v>
      </c>
      <c r="E812" s="4">
        <f>675.575561812537 * CHOOSE(CONTROL!$C$9, $C$13, 100%, $E$13) + CHOOSE(CONTROL!$C$28, 0, 0)</f>
        <v>675.57556181253699</v>
      </c>
    </row>
    <row r="813" spans="1:5" ht="15">
      <c r="A813" s="13">
        <v>66262</v>
      </c>
      <c r="B813" s="4">
        <f>125.1106 * CHOOSE(CONTROL!$C$9, $C$13, 100%, $E$13) + CHOOSE(CONTROL!$C$28, 0.0271, 0)</f>
        <v>125.13770000000001</v>
      </c>
      <c r="C813" s="4">
        <f>124.7981 * CHOOSE(CONTROL!$C$9, $C$13, 100%, $E$13) + CHOOSE(CONTROL!$C$28, 0.0271, 0)</f>
        <v>124.82520000000001</v>
      </c>
      <c r="D813" s="4">
        <f>102.7307 * CHOOSE(CONTROL!$C$9, $C$13, 100%, $E$13) + CHOOSE(CONTROL!$C$28, 0, 0)</f>
        <v>102.7307</v>
      </c>
      <c r="E813" s="4">
        <f>691.752441612537 * CHOOSE(CONTROL!$C$9, $C$13, 100%, $E$13) + CHOOSE(CONTROL!$C$28, 0, 0)</f>
        <v>691.75244161253704</v>
      </c>
    </row>
    <row r="814" spans="1:5" ht="15">
      <c r="A814" s="13">
        <v>66292</v>
      </c>
      <c r="B814" s="4">
        <f>125.5006 * CHOOSE(CONTROL!$C$9, $C$13, 100%, $E$13) + CHOOSE(CONTROL!$C$28, 0.0271, 0)</f>
        <v>125.52770000000001</v>
      </c>
      <c r="C814" s="4">
        <f>125.1881 * CHOOSE(CONTROL!$C$9, $C$13, 100%, $E$13) + CHOOSE(CONTROL!$C$28, 0.0271, 0)</f>
        <v>125.21520000000001</v>
      </c>
      <c r="D814" s="4">
        <f>103.6691 * CHOOSE(CONTROL!$C$9, $C$13, 100%, $E$13) + CHOOSE(CONTROL!$C$28, 0, 0)</f>
        <v>103.6691</v>
      </c>
      <c r="E814" s="4">
        <f>693.941240584908 * CHOOSE(CONTROL!$C$9, $C$13, 100%, $E$13) + CHOOSE(CONTROL!$C$28, 0, 0)</f>
        <v>693.94124058490797</v>
      </c>
    </row>
    <row r="815" spans="1:5" ht="15">
      <c r="A815" s="13">
        <v>66323</v>
      </c>
      <c r="B815" s="4">
        <f>125.4612 * CHOOSE(CONTROL!$C$9, $C$13, 100%, $E$13) + CHOOSE(CONTROL!$C$28, 0.0271, 0)</f>
        <v>125.48830000000001</v>
      </c>
      <c r="C815" s="4">
        <f>125.1487 * CHOOSE(CONTROL!$C$9, $C$13, 100%, $E$13) + CHOOSE(CONTROL!$C$28, 0.0271, 0)</f>
        <v>125.17580000000001</v>
      </c>
      <c r="D815" s="4">
        <f>105.3624 * CHOOSE(CONTROL!$C$9, $C$13, 100%, $E$13) + CHOOSE(CONTROL!$C$28, 0, 0)</f>
        <v>105.36239999999999</v>
      </c>
      <c r="E815" s="4">
        <f>693.720521360804 * CHOOSE(CONTROL!$C$9, $C$13, 100%, $E$13) + CHOOSE(CONTROL!$C$28, 0, 0)</f>
        <v>693.72052136080401</v>
      </c>
    </row>
    <row r="816" spans="1:5" ht="15">
      <c r="A816" s="13">
        <v>66354</v>
      </c>
      <c r="B816" s="4">
        <f>128.4202 * CHOOSE(CONTROL!$C$9, $C$13, 100%, $E$13) + CHOOSE(CONTROL!$C$28, 0.0271, 0)</f>
        <v>128.44729999999998</v>
      </c>
      <c r="C816" s="4">
        <f>128.1077 * CHOOSE(CONTROL!$C$9, $C$13, 100%, $E$13) + CHOOSE(CONTROL!$C$28, 0.0271, 0)</f>
        <v>128.13479999999998</v>
      </c>
      <c r="D816" s="4">
        <f>104.2442 * CHOOSE(CONTROL!$C$9, $C$13, 100%, $E$13) + CHOOSE(CONTROL!$C$28, 0, 0)</f>
        <v>104.24420000000001</v>
      </c>
      <c r="E816" s="4">
        <f>710.329642974676 * CHOOSE(CONTROL!$C$9, $C$13, 100%, $E$13) + CHOOSE(CONTROL!$C$28, 0, 0)</f>
        <v>710.32964297467595</v>
      </c>
    </row>
    <row r="817" spans="1:5" ht="15">
      <c r="A817" s="13">
        <v>66384</v>
      </c>
      <c r="B817" s="4">
        <f>123.3772 * CHOOSE(CONTROL!$C$9, $C$13, 100%, $E$13) + CHOOSE(CONTROL!$C$28, 0.0271, 0)</f>
        <v>123.40430000000001</v>
      </c>
      <c r="C817" s="4">
        <f>123.0647 * CHOOSE(CONTROL!$C$9, $C$13, 100%, $E$13) + CHOOSE(CONTROL!$C$28, 0.0271, 0)</f>
        <v>123.09180000000001</v>
      </c>
      <c r="D817" s="4">
        <f>103.7158 * CHOOSE(CONTROL!$C$9, $C$13, 100%, $E$13) + CHOOSE(CONTROL!$C$28, 0, 0)</f>
        <v>103.7158</v>
      </c>
      <c r="E817" s="4">
        <f>682.02240248326 * CHOOSE(CONTROL!$C$9, $C$13, 100%, $E$13) + CHOOSE(CONTROL!$C$28, 0, 0)</f>
        <v>682.02240248325995</v>
      </c>
    </row>
    <row r="818" spans="1:5" ht="15">
      <c r="A818" s="13">
        <v>66415</v>
      </c>
      <c r="B818" s="4">
        <f>119.3403 * CHOOSE(CONTROL!$C$9, $C$13, 100%, $E$13) + CHOOSE(CONTROL!$C$28, 0.0003, 0)</f>
        <v>119.34059999999999</v>
      </c>
      <c r="C818" s="4">
        <f>119.0278 * CHOOSE(CONTROL!$C$9, $C$13, 100%, $E$13) + CHOOSE(CONTROL!$C$28, 0.0003, 0)</f>
        <v>119.02809999999999</v>
      </c>
      <c r="D818" s="4">
        <f>102.3011 * CHOOSE(CONTROL!$C$9, $C$13, 100%, $E$13) + CHOOSE(CONTROL!$C$28, 0, 0)</f>
        <v>102.30110000000001</v>
      </c>
      <c r="E818" s="4">
        <f>659.361895475186 * CHOOSE(CONTROL!$C$9, $C$13, 100%, $E$13) + CHOOSE(CONTROL!$C$28, 0, 0)</f>
        <v>659.36189547518597</v>
      </c>
    </row>
    <row r="819" spans="1:5" ht="15">
      <c r="A819" s="13">
        <v>66445</v>
      </c>
      <c r="B819" s="4">
        <f>116.7402 * CHOOSE(CONTROL!$C$9, $C$13, 100%, $E$13) + CHOOSE(CONTROL!$C$28, 0.0003, 0)</f>
        <v>116.7405</v>
      </c>
      <c r="C819" s="4">
        <f>116.4277 * CHOOSE(CONTROL!$C$9, $C$13, 100%, $E$13) + CHOOSE(CONTROL!$C$28, 0.0003, 0)</f>
        <v>116.428</v>
      </c>
      <c r="D819" s="4">
        <f>101.8147 * CHOOSE(CONTROL!$C$9, $C$13, 100%, $E$13) + CHOOSE(CONTROL!$C$28, 0, 0)</f>
        <v>101.8147</v>
      </c>
      <c r="E819" s="4">
        <f>644.766836781268 * CHOOSE(CONTROL!$C$9, $C$13, 100%, $E$13) + CHOOSE(CONTROL!$C$28, 0, 0)</f>
        <v>644.76683678126801</v>
      </c>
    </row>
    <row r="820" spans="1:5" ht="15">
      <c r="A820" s="13">
        <v>66476</v>
      </c>
      <c r="B820" s="4">
        <f>114.9412 * CHOOSE(CONTROL!$C$9, $C$13, 100%, $E$13) + CHOOSE(CONTROL!$C$28, 0.0003, 0)</f>
        <v>114.94149999999999</v>
      </c>
      <c r="C820" s="4">
        <f>114.6287 * CHOOSE(CONTROL!$C$9, $C$13, 100%, $E$13) + CHOOSE(CONTROL!$C$28, 0.0003, 0)</f>
        <v>114.62899999999999</v>
      </c>
      <c r="D820" s="4">
        <f>98.234 * CHOOSE(CONTROL!$C$9, $C$13, 100%, $E$13) + CHOOSE(CONTROL!$C$28, 0, 0)</f>
        <v>98.233999999999995</v>
      </c>
      <c r="E820" s="4">
        <f>634.668932278482 * CHOOSE(CONTROL!$C$9, $C$13, 100%, $E$13) + CHOOSE(CONTROL!$C$28, 0, 0)</f>
        <v>634.66893227848198</v>
      </c>
    </row>
    <row r="821" spans="1:5" ht="15">
      <c r="A821" s="13">
        <v>66507</v>
      </c>
      <c r="B821" s="4">
        <f>112.0183 * CHOOSE(CONTROL!$C$9, $C$13, 100%, $E$13) + CHOOSE(CONTROL!$C$28, 0.0003, 0)</f>
        <v>112.01859999999999</v>
      </c>
      <c r="C821" s="4">
        <f>111.7058 * CHOOSE(CONTROL!$C$9, $C$13, 100%, $E$13) + CHOOSE(CONTROL!$C$28, 0.0003, 0)</f>
        <v>111.70609999999999</v>
      </c>
      <c r="D821" s="4">
        <f>94.943 * CHOOSE(CONTROL!$C$9, $C$13, 100%, $E$13) + CHOOSE(CONTROL!$C$28, 0, 0)</f>
        <v>94.942999999999998</v>
      </c>
      <c r="E821" s="4">
        <f>616.469045831633 * CHOOSE(CONTROL!$C$9, $C$13, 100%, $E$13) + CHOOSE(CONTROL!$C$28, 0, 0)</f>
        <v>616.46904583163303</v>
      </c>
    </row>
    <row r="822" spans="1:5" ht="15">
      <c r="A822" s="13">
        <v>66535</v>
      </c>
      <c r="B822" s="4">
        <f>114.6335 * CHOOSE(CONTROL!$C$9, $C$13, 100%, $E$13) + CHOOSE(CONTROL!$C$28, 0.0003, 0)</f>
        <v>114.63379999999999</v>
      </c>
      <c r="C822" s="4">
        <f>114.321 * CHOOSE(CONTROL!$C$9, $C$13, 100%, $E$13) + CHOOSE(CONTROL!$C$28, 0.0003, 0)</f>
        <v>114.32129999999999</v>
      </c>
      <c r="D822" s="4">
        <f>98.257 * CHOOSE(CONTROL!$C$9, $C$13, 100%, $E$13) + CHOOSE(CONTROL!$C$28, 0, 0)</f>
        <v>98.257000000000005</v>
      </c>
      <c r="E822" s="4">
        <f>631.106450428359 * CHOOSE(CONTROL!$C$9, $C$13, 100%, $E$13) + CHOOSE(CONTROL!$C$28, 0, 0)</f>
        <v>631.10645042835904</v>
      </c>
    </row>
    <row r="823" spans="1:5" ht="15">
      <c r="A823" s="13">
        <v>66566</v>
      </c>
      <c r="B823" s="4">
        <f>121.5013 * CHOOSE(CONTROL!$C$9, $C$13, 100%, $E$13) + CHOOSE(CONTROL!$C$28, 0.0003, 0)</f>
        <v>121.5016</v>
      </c>
      <c r="C823" s="4">
        <f>121.1888 * CHOOSE(CONTROL!$C$9, $C$13, 100%, $E$13) + CHOOSE(CONTROL!$C$28, 0.0003, 0)</f>
        <v>121.1891</v>
      </c>
      <c r="D823" s="4">
        <f>103.445 * CHOOSE(CONTROL!$C$9, $C$13, 100%, $E$13) + CHOOSE(CONTROL!$C$28, 0, 0)</f>
        <v>103.44499999999999</v>
      </c>
      <c r="E823" s="4">
        <f>669.545052778282 * CHOOSE(CONTROL!$C$9, $C$13, 100%, $E$13) + CHOOSE(CONTROL!$C$28, 0, 0)</f>
        <v>669.54505277828196</v>
      </c>
    </row>
    <row r="824" spans="1:5" ht="15">
      <c r="A824" s="13">
        <v>66596</v>
      </c>
      <c r="B824" s="4">
        <f>126.3809 * CHOOSE(CONTROL!$C$9, $C$13, 100%, $E$13) + CHOOSE(CONTROL!$C$28, 0.0003, 0)</f>
        <v>126.38119999999999</v>
      </c>
      <c r="C824" s="4">
        <f>126.0684 * CHOOSE(CONTROL!$C$9, $C$13, 100%, $E$13) + CHOOSE(CONTROL!$C$28, 0.0003, 0)</f>
        <v>126.06869999999999</v>
      </c>
      <c r="D824" s="4">
        <f>106.4334 * CHOOSE(CONTROL!$C$9, $C$13, 100%, $E$13) + CHOOSE(CONTROL!$C$28, 0, 0)</f>
        <v>106.43340000000001</v>
      </c>
      <c r="E824" s="4">
        <f>696.856192009632 * CHOOSE(CONTROL!$C$9, $C$13, 100%, $E$13) + CHOOSE(CONTROL!$C$28, 0, 0)</f>
        <v>696.85619200963197</v>
      </c>
    </row>
    <row r="825" spans="1:5" ht="15">
      <c r="A825" s="13">
        <v>66627</v>
      </c>
      <c r="B825" s="4">
        <f>129.3623 * CHOOSE(CONTROL!$C$9, $C$13, 100%, $E$13) + CHOOSE(CONTROL!$C$28, 0.0271, 0)</f>
        <v>129.38939999999999</v>
      </c>
      <c r="C825" s="4">
        <f>129.0498 * CHOOSE(CONTROL!$C$9, $C$13, 100%, $E$13) + CHOOSE(CONTROL!$C$28, 0.0271, 0)</f>
        <v>129.07689999999999</v>
      </c>
      <c r="D825" s="4">
        <f>105.2525 * CHOOSE(CONTROL!$C$9, $C$13, 100%, $E$13) + CHOOSE(CONTROL!$C$28, 0, 0)</f>
        <v>105.2525</v>
      </c>
      <c r="E825" s="4">
        <f>713.542643523333 * CHOOSE(CONTROL!$C$9, $C$13, 100%, $E$13) + CHOOSE(CONTROL!$C$28, 0, 0)</f>
        <v>713.54264352333303</v>
      </c>
    </row>
    <row r="826" spans="1:5" ht="15">
      <c r="A826" s="13">
        <v>66657</v>
      </c>
      <c r="B826" s="4">
        <f>129.7656 * CHOOSE(CONTROL!$C$9, $C$13, 100%, $E$13) + CHOOSE(CONTROL!$C$28, 0.0271, 0)</f>
        <v>129.7927</v>
      </c>
      <c r="C826" s="4">
        <f>129.4531 * CHOOSE(CONTROL!$C$9, $C$13, 100%, $E$13) + CHOOSE(CONTROL!$C$28, 0.0271, 0)</f>
        <v>129.4802</v>
      </c>
      <c r="D826" s="4">
        <f>106.2142 * CHOOSE(CONTROL!$C$9, $C$13, 100%, $E$13) + CHOOSE(CONTROL!$C$28, 0, 0)</f>
        <v>106.21420000000001</v>
      </c>
      <c r="E826" s="4">
        <f>715.800389663333 * CHOOSE(CONTROL!$C$9, $C$13, 100%, $E$13) + CHOOSE(CONTROL!$C$28, 0, 0)</f>
        <v>715.80038966333302</v>
      </c>
    </row>
    <row r="827" spans="1:5" ht="15">
      <c r="A827" s="13">
        <v>66688</v>
      </c>
      <c r="B827" s="4">
        <f>129.725 * CHOOSE(CONTROL!$C$9, $C$13, 100%, $E$13) + CHOOSE(CONTROL!$C$28, 0.0271, 0)</f>
        <v>129.75209999999998</v>
      </c>
      <c r="C827" s="4">
        <f>129.4125 * CHOOSE(CONTROL!$C$9, $C$13, 100%, $E$13) + CHOOSE(CONTROL!$C$28, 0.0271, 0)</f>
        <v>129.43959999999998</v>
      </c>
      <c r="D827" s="4">
        <f>107.9495 * CHOOSE(CONTROL!$C$9, $C$13, 100%, $E$13) + CHOOSE(CONTROL!$C$28, 0, 0)</f>
        <v>107.9495</v>
      </c>
      <c r="E827" s="4">
        <f>715.572717783669 * CHOOSE(CONTROL!$C$9, $C$13, 100%, $E$13) + CHOOSE(CONTROL!$C$28, 0, 0)</f>
        <v>715.57271778366896</v>
      </c>
    </row>
    <row r="828" spans="1:5" ht="15">
      <c r="A828" s="13">
        <v>66719</v>
      </c>
      <c r="B828" s="4">
        <f>132.786 * CHOOSE(CONTROL!$C$9, $C$13, 100%, $E$13) + CHOOSE(CONTROL!$C$28, 0.0271, 0)</f>
        <v>132.81309999999999</v>
      </c>
      <c r="C828" s="4">
        <f>132.4735 * CHOOSE(CONTROL!$C$9, $C$13, 100%, $E$13) + CHOOSE(CONTROL!$C$28, 0.0271, 0)</f>
        <v>132.50059999999999</v>
      </c>
      <c r="D828" s="4">
        <f>106.8035 * CHOOSE(CONTROL!$C$9, $C$13, 100%, $E$13) + CHOOSE(CONTROL!$C$28, 0, 0)</f>
        <v>106.8035</v>
      </c>
      <c r="E828" s="4">
        <f>732.705026728378 * CHOOSE(CONTROL!$C$9, $C$13, 100%, $E$13) + CHOOSE(CONTROL!$C$28, 0, 0)</f>
        <v>732.70502672837802</v>
      </c>
    </row>
    <row r="829" spans="1:5" ht="15">
      <c r="A829" s="13">
        <v>66749</v>
      </c>
      <c r="B829" s="4">
        <f>127.5691 * CHOOSE(CONTROL!$C$9, $C$13, 100%, $E$13) + CHOOSE(CONTROL!$C$28, 0.0271, 0)</f>
        <v>127.59620000000001</v>
      </c>
      <c r="C829" s="4">
        <f>127.2566 * CHOOSE(CONTROL!$C$9, $C$13, 100%, $E$13) + CHOOSE(CONTROL!$C$28, 0.0271, 0)</f>
        <v>127.28370000000001</v>
      </c>
      <c r="D829" s="4">
        <f>106.2621 * CHOOSE(CONTROL!$C$9, $C$13, 100%, $E$13) + CHOOSE(CONTROL!$C$28, 0, 0)</f>
        <v>106.2621</v>
      </c>
      <c r="E829" s="4">
        <f>703.506108161482 * CHOOSE(CONTROL!$C$9, $C$13, 100%, $E$13) + CHOOSE(CONTROL!$C$28, 0, 0)</f>
        <v>703.50610816148196</v>
      </c>
    </row>
    <row r="830" spans="1:5" ht="15">
      <c r="A830" s="13">
        <v>66780</v>
      </c>
      <c r="B830" s="4">
        <f>123.3928 * CHOOSE(CONTROL!$C$9, $C$13, 100%, $E$13) + CHOOSE(CONTROL!$C$28, 0.0003, 0)</f>
        <v>123.39309999999999</v>
      </c>
      <c r="C830" s="4">
        <f>123.0803 * CHOOSE(CONTROL!$C$9, $C$13, 100%, $E$13) + CHOOSE(CONTROL!$C$28, 0.0003, 0)</f>
        <v>123.08059999999999</v>
      </c>
      <c r="D830" s="4">
        <f>104.8123 * CHOOSE(CONTROL!$C$9, $C$13, 100%, $E$13) + CHOOSE(CONTROL!$C$28, 0, 0)</f>
        <v>104.81229999999999</v>
      </c>
      <c r="E830" s="4">
        <f>680.131795182654 * CHOOSE(CONTROL!$C$9, $C$13, 100%, $E$13) + CHOOSE(CONTROL!$C$28, 0, 0)</f>
        <v>680.13179518265395</v>
      </c>
    </row>
    <row r="831" spans="1:5" ht="15">
      <c r="A831" s="13">
        <v>66810</v>
      </c>
      <c r="B831" s="4">
        <f>120.703 * CHOOSE(CONTROL!$C$9, $C$13, 100%, $E$13) + CHOOSE(CONTROL!$C$28, 0.0003, 0)</f>
        <v>120.7033</v>
      </c>
      <c r="C831" s="4">
        <f>120.3905 * CHOOSE(CONTROL!$C$9, $C$13, 100%, $E$13) + CHOOSE(CONTROL!$C$28, 0.0003, 0)</f>
        <v>120.3908</v>
      </c>
      <c r="D831" s="4">
        <f>104.3138 * CHOOSE(CONTROL!$C$9, $C$13, 100%, $E$13) + CHOOSE(CONTROL!$C$28, 0, 0)</f>
        <v>104.3138</v>
      </c>
      <c r="E831" s="4">
        <f>665.076992139878 * CHOOSE(CONTROL!$C$9, $C$13, 100%, $E$13) + CHOOSE(CONTROL!$C$28, 0, 0)</f>
        <v>665.07699213987803</v>
      </c>
    </row>
    <row r="832" spans="1:5" ht="15">
      <c r="A832" s="13">
        <v>66841</v>
      </c>
      <c r="B832" s="4">
        <f>118.842 * CHOOSE(CONTROL!$C$9, $C$13, 100%, $E$13) + CHOOSE(CONTROL!$C$28, 0.0003, 0)</f>
        <v>118.84229999999999</v>
      </c>
      <c r="C832" s="4">
        <f>118.5295 * CHOOSE(CONTROL!$C$9, $C$13, 100%, $E$13) + CHOOSE(CONTROL!$C$28, 0.0003, 0)</f>
        <v>118.52979999999999</v>
      </c>
      <c r="D832" s="4">
        <f>100.6443 * CHOOSE(CONTROL!$C$9, $C$13, 100%, $E$13) + CHOOSE(CONTROL!$C$28, 0, 0)</f>
        <v>100.6443</v>
      </c>
      <c r="E832" s="4">
        <f>654.661003645254 * CHOOSE(CONTROL!$C$9, $C$13, 100%, $E$13) + CHOOSE(CONTROL!$C$28, 0, 0)</f>
        <v>654.66100364525403</v>
      </c>
    </row>
    <row r="833" spans="1:5" ht="15">
      <c r="A833" s="13">
        <v>66872</v>
      </c>
      <c r="B833" s="4">
        <f>115.8183 * CHOOSE(CONTROL!$C$9, $C$13, 100%, $E$13) + CHOOSE(CONTROL!$C$28, 0.0003, 0)</f>
        <v>115.81859999999999</v>
      </c>
      <c r="C833" s="4">
        <f>115.5058 * CHOOSE(CONTROL!$C$9, $C$13, 100%, $E$13) + CHOOSE(CONTROL!$C$28, 0.0003, 0)</f>
        <v>115.50609999999999</v>
      </c>
      <c r="D833" s="4">
        <f>97.2717 * CHOOSE(CONTROL!$C$9, $C$13, 100%, $E$13) + CHOOSE(CONTROL!$C$28, 0, 0)</f>
        <v>97.271699999999996</v>
      </c>
      <c r="E833" s="4">
        <f>635.88782077533 * CHOOSE(CONTROL!$C$9, $C$13, 100%, $E$13) + CHOOSE(CONTROL!$C$28, 0, 0)</f>
        <v>635.88782077533006</v>
      </c>
    </row>
    <row r="834" spans="1:5" ht="15">
      <c r="A834" s="13">
        <v>66900</v>
      </c>
      <c r="B834" s="4">
        <f>118.5237 * CHOOSE(CONTROL!$C$9, $C$13, 100%, $E$13) + CHOOSE(CONTROL!$C$28, 0.0003, 0)</f>
        <v>118.524</v>
      </c>
      <c r="C834" s="4">
        <f>118.2112 * CHOOSE(CONTROL!$C$9, $C$13, 100%, $E$13) + CHOOSE(CONTROL!$C$28, 0.0003, 0)</f>
        <v>118.2115</v>
      </c>
      <c r="D834" s="4">
        <f>100.6679 * CHOOSE(CONTROL!$C$9, $C$13, 100%, $E$13) + CHOOSE(CONTROL!$C$28, 0, 0)</f>
        <v>100.6679</v>
      </c>
      <c r="E834" s="4">
        <f>650.986303616852 * CHOOSE(CONTROL!$C$9, $C$13, 100%, $E$13) + CHOOSE(CONTROL!$C$28, 0, 0)</f>
        <v>650.98630361685196</v>
      </c>
    </row>
    <row r="835" spans="1:5" ht="15">
      <c r="A835" s="13">
        <v>66931</v>
      </c>
      <c r="B835" s="4">
        <f>125.6284 * CHOOSE(CONTROL!$C$9, $C$13, 100%, $E$13) + CHOOSE(CONTROL!$C$28, 0.0003, 0)</f>
        <v>125.62869999999999</v>
      </c>
      <c r="C835" s="4">
        <f>125.3159 * CHOOSE(CONTROL!$C$9, $C$13, 100%, $E$13) + CHOOSE(CONTROL!$C$28, 0.0003, 0)</f>
        <v>125.31619999999999</v>
      </c>
      <c r="D835" s="4">
        <f>105.9845 * CHOOSE(CONTROL!$C$9, $C$13, 100%, $E$13) + CHOOSE(CONTROL!$C$28, 0, 0)</f>
        <v>105.9845</v>
      </c>
      <c r="E835" s="4">
        <f>690.635721940798 * CHOOSE(CONTROL!$C$9, $C$13, 100%, $E$13) + CHOOSE(CONTROL!$C$28, 0, 0)</f>
        <v>690.63572194079802</v>
      </c>
    </row>
    <row r="836" spans="1:5" ht="15">
      <c r="A836" s="13">
        <v>66961</v>
      </c>
      <c r="B836" s="4">
        <f>130.6764 * CHOOSE(CONTROL!$C$9, $C$13, 100%, $E$13) + CHOOSE(CONTROL!$C$28, 0.0003, 0)</f>
        <v>130.67670000000001</v>
      </c>
      <c r="C836" s="4">
        <f>130.3639 * CHOOSE(CONTROL!$C$9, $C$13, 100%, $E$13) + CHOOSE(CONTROL!$C$28, 0.0003, 0)</f>
        <v>130.36420000000001</v>
      </c>
      <c r="D836" s="4">
        <f>109.047 * CHOOSE(CONTROL!$C$9, $C$13, 100%, $E$13) + CHOOSE(CONTROL!$C$28, 0, 0)</f>
        <v>109.047</v>
      </c>
      <c r="E836" s="4">
        <f>718.807162057936 * CHOOSE(CONTROL!$C$9, $C$13, 100%, $E$13) + CHOOSE(CONTROL!$C$28, 0, 0)</f>
        <v>718.80716205793601</v>
      </c>
    </row>
    <row r="837" spans="1:5" ht="15">
      <c r="A837" s="13">
        <v>66992</v>
      </c>
      <c r="B837" s="4">
        <f>133.7606 * CHOOSE(CONTROL!$C$9, $C$13, 100%, $E$13) + CHOOSE(CONTROL!$C$28, 0.0271, 0)</f>
        <v>133.7877</v>
      </c>
      <c r="C837" s="4">
        <f>133.4481 * CHOOSE(CONTROL!$C$9, $C$13, 100%, $E$13) + CHOOSE(CONTROL!$C$28, 0.0271, 0)</f>
        <v>133.4752</v>
      </c>
      <c r="D837" s="4">
        <f>107.8369 * CHOOSE(CONTROL!$C$9, $C$13, 100%, $E$13) + CHOOSE(CONTROL!$C$28, 0, 0)</f>
        <v>107.8369</v>
      </c>
      <c r="E837" s="4">
        <f>736.019236794318 * CHOOSE(CONTROL!$C$9, $C$13, 100%, $E$13) + CHOOSE(CONTROL!$C$28, 0, 0)</f>
        <v>736.01923679431798</v>
      </c>
    </row>
    <row r="838" spans="1:5" ht="15">
      <c r="A838" s="13">
        <v>67022</v>
      </c>
      <c r="B838" s="4">
        <f>134.1779 * CHOOSE(CONTROL!$C$9, $C$13, 100%, $E$13) + CHOOSE(CONTROL!$C$28, 0.0271, 0)</f>
        <v>134.20499999999998</v>
      </c>
      <c r="C838" s="4">
        <f>133.8654 * CHOOSE(CONTROL!$C$9, $C$13, 100%, $E$13) + CHOOSE(CONTROL!$C$28, 0.0271, 0)</f>
        <v>133.89249999999998</v>
      </c>
      <c r="D838" s="4">
        <f>108.8224 * CHOOSE(CONTROL!$C$9, $C$13, 100%, $E$13) + CHOOSE(CONTROL!$C$28, 0, 0)</f>
        <v>108.8224</v>
      </c>
      <c r="E838" s="4">
        <f>738.348101937728 * CHOOSE(CONTROL!$C$9, $C$13, 100%, $E$13) + CHOOSE(CONTROL!$C$28, 0, 0)</f>
        <v>738.34810193772796</v>
      </c>
    </row>
    <row r="839" spans="1:5" ht="15">
      <c r="A839" s="13">
        <v>67053</v>
      </c>
      <c r="B839" s="4">
        <f>134.1358 * CHOOSE(CONTROL!$C$9, $C$13, 100%, $E$13) + CHOOSE(CONTROL!$C$28, 0.0271, 0)</f>
        <v>134.16289999999998</v>
      </c>
      <c r="C839" s="4">
        <f>133.8233 * CHOOSE(CONTROL!$C$9, $C$13, 100%, $E$13) + CHOOSE(CONTROL!$C$28, 0.0271, 0)</f>
        <v>133.85039999999998</v>
      </c>
      <c r="D839" s="4">
        <f>110.6008 * CHOOSE(CONTROL!$C$9, $C$13, 100%, $E$13) + CHOOSE(CONTROL!$C$28, 0, 0)</f>
        <v>110.60080000000001</v>
      </c>
      <c r="E839" s="4">
        <f>738.113258393855 * CHOOSE(CONTROL!$C$9, $C$13, 100%, $E$13) + CHOOSE(CONTROL!$C$28, 0, 0)</f>
        <v>738.11325839385495</v>
      </c>
    </row>
    <row r="840" spans="1:5" ht="15">
      <c r="A840" s="13">
        <v>67084</v>
      </c>
      <c r="B840" s="4">
        <f>137.3024 * CHOOSE(CONTROL!$C$9, $C$13, 100%, $E$13) + CHOOSE(CONTROL!$C$28, 0.0271, 0)</f>
        <v>137.3295</v>
      </c>
      <c r="C840" s="4">
        <f>136.9899 * CHOOSE(CONTROL!$C$9, $C$13, 100%, $E$13) + CHOOSE(CONTROL!$C$28, 0.0271, 0)</f>
        <v>137.017</v>
      </c>
      <c r="D840" s="4">
        <f>109.4263 * CHOOSE(CONTROL!$C$9, $C$13, 100%, $E$13) + CHOOSE(CONTROL!$C$28, 0, 0)</f>
        <v>109.4263</v>
      </c>
      <c r="E840" s="4">
        <f>755.785235070322 * CHOOSE(CONTROL!$C$9, $C$13, 100%, $E$13) + CHOOSE(CONTROL!$C$28, 0, 0)</f>
        <v>755.78523507032196</v>
      </c>
    </row>
    <row r="841" spans="1:5" ht="15">
      <c r="A841" s="13">
        <v>67114</v>
      </c>
      <c r="B841" s="4">
        <f>131.9055 * CHOOSE(CONTROL!$C$9, $C$13, 100%, $E$13) + CHOOSE(CONTROL!$C$28, 0.0271, 0)</f>
        <v>131.93259999999998</v>
      </c>
      <c r="C841" s="4">
        <f>131.593 * CHOOSE(CONTROL!$C$9, $C$13, 100%, $E$13) + CHOOSE(CONTROL!$C$28, 0.0271, 0)</f>
        <v>131.62009999999998</v>
      </c>
      <c r="D841" s="4">
        <f>108.8715 * CHOOSE(CONTROL!$C$9, $C$13, 100%, $E$13) + CHOOSE(CONTROL!$C$28, 0, 0)</f>
        <v>108.8715</v>
      </c>
      <c r="E841" s="4">
        <f>725.666550568569 * CHOOSE(CONTROL!$C$9, $C$13, 100%, $E$13) + CHOOSE(CONTROL!$C$28, 0, 0)</f>
        <v>725.66655056856905</v>
      </c>
    </row>
    <row r="842" spans="1:5" ht="15">
      <c r="A842" s="13">
        <v>67145</v>
      </c>
      <c r="B842" s="4">
        <f>127.5852 * CHOOSE(CONTROL!$C$9, $C$13, 100%, $E$13) + CHOOSE(CONTROL!$C$28, 0.0003, 0)</f>
        <v>127.5855</v>
      </c>
      <c r="C842" s="4">
        <f>127.2727 * CHOOSE(CONTROL!$C$9, $C$13, 100%, $E$13) + CHOOSE(CONTROL!$C$28, 0.0003, 0)</f>
        <v>127.273</v>
      </c>
      <c r="D842" s="4">
        <f>107.3857 * CHOOSE(CONTROL!$C$9, $C$13, 100%, $E$13) + CHOOSE(CONTROL!$C$28, 0, 0)</f>
        <v>107.3857</v>
      </c>
      <c r="E842" s="4">
        <f>701.555946730908 * CHOOSE(CONTROL!$C$9, $C$13, 100%, $E$13) + CHOOSE(CONTROL!$C$28, 0, 0)</f>
        <v>701.55594673090798</v>
      </c>
    </row>
    <row r="843" spans="1:5" ht="15">
      <c r="A843" s="13">
        <v>67175</v>
      </c>
      <c r="B843" s="4">
        <f>124.8026 * CHOOSE(CONTROL!$C$9, $C$13, 100%, $E$13) + CHOOSE(CONTROL!$C$28, 0.0003, 0)</f>
        <v>124.80289999999999</v>
      </c>
      <c r="C843" s="4">
        <f>124.4901 * CHOOSE(CONTROL!$C$9, $C$13, 100%, $E$13) + CHOOSE(CONTROL!$C$28, 0.0003, 0)</f>
        <v>124.49039999999999</v>
      </c>
      <c r="D843" s="4">
        <f>106.8749 * CHOOSE(CONTROL!$C$9, $C$13, 100%, $E$13) + CHOOSE(CONTROL!$C$28, 0, 0)</f>
        <v>106.8749</v>
      </c>
      <c r="E843" s="4">
        <f>686.026917392284 * CHOOSE(CONTROL!$C$9, $C$13, 100%, $E$13) + CHOOSE(CONTROL!$C$28, 0, 0)</f>
        <v>686.02691739228396</v>
      </c>
    </row>
    <row r="844" spans="1:5" ht="15">
      <c r="A844" s="13">
        <v>67206</v>
      </c>
      <c r="B844" s="4">
        <f>122.8774 * CHOOSE(CONTROL!$C$9, $C$13, 100%, $E$13) + CHOOSE(CONTROL!$C$28, 0.0003, 0)</f>
        <v>122.87769999999999</v>
      </c>
      <c r="C844" s="4">
        <f>122.5649 * CHOOSE(CONTROL!$C$9, $C$13, 100%, $E$13) + CHOOSE(CONTROL!$C$28, 0.0003, 0)</f>
        <v>122.56519999999999</v>
      </c>
      <c r="D844" s="4">
        <f>103.1144 * CHOOSE(CONTROL!$C$9, $C$13, 100%, $E$13) + CHOOSE(CONTROL!$C$28, 0, 0)</f>
        <v>103.1144</v>
      </c>
      <c r="E844" s="4">
        <f>675.28282526008 * CHOOSE(CONTROL!$C$9, $C$13, 100%, $E$13) + CHOOSE(CONTROL!$C$28, 0, 0)</f>
        <v>675.28282526008002</v>
      </c>
    </row>
    <row r="845" spans="1:5" ht="15">
      <c r="A845" s="13">
        <v>67237</v>
      </c>
      <c r="B845" s="4">
        <f>119.7493 * CHOOSE(CONTROL!$C$9, $C$13, 100%, $E$13) + CHOOSE(CONTROL!$C$28, 0.0003, 0)</f>
        <v>119.7496</v>
      </c>
      <c r="C845" s="4">
        <f>119.4368 * CHOOSE(CONTROL!$C$9, $C$13, 100%, $E$13) + CHOOSE(CONTROL!$C$28, 0.0003, 0)</f>
        <v>119.4371</v>
      </c>
      <c r="D845" s="4">
        <f>99.6581 * CHOOSE(CONTROL!$C$9, $C$13, 100%, $E$13) + CHOOSE(CONTROL!$C$28, 0, 0)</f>
        <v>99.658100000000005</v>
      </c>
      <c r="E845" s="4">
        <f>655.918287129752 * CHOOSE(CONTROL!$C$9, $C$13, 100%, $E$13) + CHOOSE(CONTROL!$C$28, 0, 0)</f>
        <v>655.918287129752</v>
      </c>
    </row>
    <row r="846" spans="1:5" ht="15">
      <c r="A846" s="13">
        <v>67266</v>
      </c>
      <c r="B846" s="4">
        <f>122.5481 * CHOOSE(CONTROL!$C$9, $C$13, 100%, $E$13) + CHOOSE(CONTROL!$C$28, 0.0003, 0)</f>
        <v>122.5484</v>
      </c>
      <c r="C846" s="4">
        <f>122.2356 * CHOOSE(CONTROL!$C$9, $C$13, 100%, $E$13) + CHOOSE(CONTROL!$C$28, 0.0003, 0)</f>
        <v>122.2359</v>
      </c>
      <c r="D846" s="4">
        <f>103.1386 * CHOOSE(CONTROL!$C$9, $C$13, 100%, $E$13) + CHOOSE(CONTROL!$C$28, 0, 0)</f>
        <v>103.1386</v>
      </c>
      <c r="E846" s="4">
        <f>671.492372180783 * CHOOSE(CONTROL!$C$9, $C$13, 100%, $E$13) + CHOOSE(CONTROL!$C$28, 0, 0)</f>
        <v>671.49237218078304</v>
      </c>
    </row>
    <row r="847" spans="1:5" ht="15">
      <c r="A847" s="13">
        <v>67297</v>
      </c>
      <c r="B847" s="4">
        <f>129.8979 * CHOOSE(CONTROL!$C$9, $C$13, 100%, $E$13) + CHOOSE(CONTROL!$C$28, 0.0003, 0)</f>
        <v>129.8982</v>
      </c>
      <c r="C847" s="4">
        <f>129.5854 * CHOOSE(CONTROL!$C$9, $C$13, 100%, $E$13) + CHOOSE(CONTROL!$C$28, 0.0003, 0)</f>
        <v>129.5857</v>
      </c>
      <c r="D847" s="4">
        <f>108.587 * CHOOSE(CONTROL!$C$9, $C$13, 100%, $E$13) + CHOOSE(CONTROL!$C$28, 0, 0)</f>
        <v>108.587</v>
      </c>
      <c r="E847" s="4">
        <f>712.390747181933 * CHOOSE(CONTROL!$C$9, $C$13, 100%, $E$13) + CHOOSE(CONTROL!$C$28, 0, 0)</f>
        <v>712.39074718193297</v>
      </c>
    </row>
    <row r="848" spans="1:5" ht="15">
      <c r="A848" s="13">
        <v>67327</v>
      </c>
      <c r="B848" s="4">
        <f>135.12 * CHOOSE(CONTROL!$C$9, $C$13, 100%, $E$13) + CHOOSE(CONTROL!$C$28, 0.0003, 0)</f>
        <v>135.12030000000001</v>
      </c>
      <c r="C848" s="4">
        <f>134.8075 * CHOOSE(CONTROL!$C$9, $C$13, 100%, $E$13) + CHOOSE(CONTROL!$C$28, 0.0003, 0)</f>
        <v>134.80780000000001</v>
      </c>
      <c r="D848" s="4">
        <f>111.7255 * CHOOSE(CONTROL!$C$9, $C$13, 100%, $E$13) + CHOOSE(CONTROL!$C$28, 0, 0)</f>
        <v>111.7255</v>
      </c>
      <c r="E848" s="4">
        <f>741.449587662761 * CHOOSE(CONTROL!$C$9, $C$13, 100%, $E$13) + CHOOSE(CONTROL!$C$28, 0, 0)</f>
        <v>741.44958766276102</v>
      </c>
    </row>
    <row r="849" spans="1:5" ht="15">
      <c r="A849" s="13">
        <v>67358</v>
      </c>
      <c r="B849" s="4">
        <f>138.3106 * CHOOSE(CONTROL!$C$9, $C$13, 100%, $E$13) + CHOOSE(CONTROL!$C$28, 0.0271, 0)</f>
        <v>138.33769999999998</v>
      </c>
      <c r="C849" s="4">
        <f>137.9981 * CHOOSE(CONTROL!$C$9, $C$13, 100%, $E$13) + CHOOSE(CONTROL!$C$28, 0.0271, 0)</f>
        <v>138.02519999999998</v>
      </c>
      <c r="D849" s="4">
        <f>110.4853 * CHOOSE(CONTROL!$C$9, $C$13, 100%, $E$13) + CHOOSE(CONTROL!$C$28, 0, 0)</f>
        <v>110.4853</v>
      </c>
      <c r="E849" s="4">
        <f>759.203842753339 * CHOOSE(CONTROL!$C$9, $C$13, 100%, $E$13) + CHOOSE(CONTROL!$C$28, 0, 0)</f>
        <v>759.20384275333902</v>
      </c>
    </row>
    <row r="850" spans="1:5" ht="15">
      <c r="A850" s="13">
        <v>67388</v>
      </c>
      <c r="B850" s="4">
        <f>138.7423 * CHOOSE(CONTROL!$C$9, $C$13, 100%, $E$13) + CHOOSE(CONTROL!$C$28, 0.0271, 0)</f>
        <v>138.76939999999999</v>
      </c>
      <c r="C850" s="4">
        <f>138.4298 * CHOOSE(CONTROL!$C$9, $C$13, 100%, $E$13) + CHOOSE(CONTROL!$C$28, 0.0271, 0)</f>
        <v>138.45689999999999</v>
      </c>
      <c r="D850" s="4">
        <f>111.4953 * CHOOSE(CONTROL!$C$9, $C$13, 100%, $E$13) + CHOOSE(CONTROL!$C$28, 0, 0)</f>
        <v>111.4953</v>
      </c>
      <c r="E850" s="4">
        <f>761.606067148767 * CHOOSE(CONTROL!$C$9, $C$13, 100%, $E$13) + CHOOSE(CONTROL!$C$28, 0, 0)</f>
        <v>761.60606714876701</v>
      </c>
    </row>
    <row r="851" spans="1:5" ht="15">
      <c r="A851" s="13">
        <v>67419</v>
      </c>
      <c r="B851" s="4">
        <f>138.6988 * CHOOSE(CONTROL!$C$9, $C$13, 100%, $E$13) + CHOOSE(CONTROL!$C$28, 0.0271, 0)</f>
        <v>138.7259</v>
      </c>
      <c r="C851" s="4">
        <f>138.3863 * CHOOSE(CONTROL!$C$9, $C$13, 100%, $E$13) + CHOOSE(CONTROL!$C$28, 0.0271, 0)</f>
        <v>138.4134</v>
      </c>
      <c r="D851" s="4">
        <f>113.3178 * CHOOSE(CONTROL!$C$9, $C$13, 100%, $E$13) + CHOOSE(CONTROL!$C$28, 0, 0)</f>
        <v>113.31780000000001</v>
      </c>
      <c r="E851" s="4">
        <f>761.363826033261 * CHOOSE(CONTROL!$C$9, $C$13, 100%, $E$13) + CHOOSE(CONTROL!$C$28, 0, 0)</f>
        <v>761.36382603326103</v>
      </c>
    </row>
    <row r="852" spans="1:5" ht="15">
      <c r="A852" s="13">
        <v>67450</v>
      </c>
      <c r="B852" s="4">
        <f>141.9746 * CHOOSE(CONTROL!$C$9, $C$13, 100%, $E$13) + CHOOSE(CONTROL!$C$28, 0.0271, 0)</f>
        <v>142.0017</v>
      </c>
      <c r="C852" s="4">
        <f>141.6621 * CHOOSE(CONTROL!$C$9, $C$13, 100%, $E$13) + CHOOSE(CONTROL!$C$28, 0.0271, 0)</f>
        <v>141.6892</v>
      </c>
      <c r="D852" s="4">
        <f>112.1142 * CHOOSE(CONTROL!$C$9, $C$13, 100%, $E$13) + CHOOSE(CONTROL!$C$28, 0, 0)</f>
        <v>112.1142</v>
      </c>
      <c r="E852" s="4">
        <f>779.592469975038 * CHOOSE(CONTROL!$C$9, $C$13, 100%, $E$13) + CHOOSE(CONTROL!$C$28, 0, 0)</f>
        <v>779.59246997503806</v>
      </c>
    </row>
    <row r="853" spans="1:5" ht="15">
      <c r="A853" s="13">
        <v>67480</v>
      </c>
      <c r="B853" s="4">
        <f>136.3915 * CHOOSE(CONTROL!$C$9, $C$13, 100%, $E$13) + CHOOSE(CONTROL!$C$28, 0.0271, 0)</f>
        <v>136.4186</v>
      </c>
      <c r="C853" s="4">
        <f>136.079 * CHOOSE(CONTROL!$C$9, $C$13, 100%, $E$13) + CHOOSE(CONTROL!$C$28, 0.0271, 0)</f>
        <v>136.1061</v>
      </c>
      <c r="D853" s="4">
        <f>111.5456 * CHOOSE(CONTROL!$C$9, $C$13, 100%, $E$13) + CHOOSE(CONTROL!$C$28, 0, 0)</f>
        <v>111.54559999999999</v>
      </c>
      <c r="E853" s="4">
        <f>748.525046911479 * CHOOSE(CONTROL!$C$9, $C$13, 100%, $E$13) + CHOOSE(CONTROL!$C$28, 0, 0)</f>
        <v>748.52504691147897</v>
      </c>
    </row>
    <row r="854" spans="1:5" ht="15">
      <c r="A854" s="13">
        <v>67511</v>
      </c>
      <c r="B854" s="4">
        <f>131.9222 * CHOOSE(CONTROL!$C$9, $C$13, 100%, $E$13) + CHOOSE(CONTROL!$C$28, 0.0003, 0)</f>
        <v>131.92250000000001</v>
      </c>
      <c r="C854" s="4">
        <f>131.6097 * CHOOSE(CONTROL!$C$9, $C$13, 100%, $E$13) + CHOOSE(CONTROL!$C$28, 0.0003, 0)</f>
        <v>131.61000000000001</v>
      </c>
      <c r="D854" s="4">
        <f>110.023 * CHOOSE(CONTROL!$C$9, $C$13, 100%, $E$13) + CHOOSE(CONTROL!$C$28, 0, 0)</f>
        <v>110.023</v>
      </c>
      <c r="E854" s="4">
        <f>723.654959052931 * CHOOSE(CONTROL!$C$9, $C$13, 100%, $E$13) + CHOOSE(CONTROL!$C$28, 0, 0)</f>
        <v>723.65495905293096</v>
      </c>
    </row>
    <row r="855" spans="1:5" ht="15">
      <c r="A855" s="13">
        <v>67541</v>
      </c>
      <c r="B855" s="4">
        <f>129.0436 * CHOOSE(CONTROL!$C$9, $C$13, 100%, $E$13) + CHOOSE(CONTROL!$C$28, 0.0003, 0)</f>
        <v>129.04390000000001</v>
      </c>
      <c r="C855" s="4">
        <f>128.7311 * CHOOSE(CONTROL!$C$9, $C$13, 100%, $E$13) + CHOOSE(CONTROL!$C$28, 0.0003, 0)</f>
        <v>128.73140000000001</v>
      </c>
      <c r="D855" s="4">
        <f>109.4995 * CHOOSE(CONTROL!$C$9, $C$13, 100%, $E$13) + CHOOSE(CONTROL!$C$28, 0, 0)</f>
        <v>109.4995</v>
      </c>
      <c r="E855" s="4">
        <f>707.636765290141 * CHOOSE(CONTROL!$C$9, $C$13, 100%, $E$13) + CHOOSE(CONTROL!$C$28, 0, 0)</f>
        <v>707.63676529014106</v>
      </c>
    </row>
    <row r="856" spans="1:5" ht="15">
      <c r="A856" s="13">
        <v>67572</v>
      </c>
      <c r="B856" s="4">
        <f>127.0519 * CHOOSE(CONTROL!$C$9, $C$13, 100%, $E$13) + CHOOSE(CONTROL!$C$28, 0.0003, 0)</f>
        <v>127.0522</v>
      </c>
      <c r="C856" s="4">
        <f>126.7394 * CHOOSE(CONTROL!$C$9, $C$13, 100%, $E$13) + CHOOSE(CONTROL!$C$28, 0.0003, 0)</f>
        <v>126.7397</v>
      </c>
      <c r="D856" s="4">
        <f>105.6457 * CHOOSE(CONTROL!$C$9, $C$13, 100%, $E$13) + CHOOSE(CONTROL!$C$28, 0, 0)</f>
        <v>105.64570000000001</v>
      </c>
      <c r="E856" s="4">
        <f>696.554234255772 * CHOOSE(CONTROL!$C$9, $C$13, 100%, $E$13) + CHOOSE(CONTROL!$C$28, 0, 0)</f>
        <v>696.55423425577203</v>
      </c>
    </row>
    <row r="857" spans="1:5" ht="15">
      <c r="A857" s="13">
        <v>67603</v>
      </c>
      <c r="B857" s="4">
        <f>123.816 * CHOOSE(CONTROL!$C$9, $C$13, 100%, $E$13) + CHOOSE(CONTROL!$C$28, 0.0003, 0)</f>
        <v>123.8163</v>
      </c>
      <c r="C857" s="4">
        <f>123.5035 * CHOOSE(CONTROL!$C$9, $C$13, 100%, $E$13) + CHOOSE(CONTROL!$C$28, 0.0003, 0)</f>
        <v>123.5038</v>
      </c>
      <c r="D857" s="4">
        <f>102.1038 * CHOOSE(CONTROL!$C$9, $C$13, 100%, $E$13) + CHOOSE(CONTROL!$C$28, 0, 0)</f>
        <v>102.10380000000001</v>
      </c>
      <c r="E857" s="4">
        <f>676.57971317434 * CHOOSE(CONTROL!$C$9, $C$13, 100%, $E$13) + CHOOSE(CONTROL!$C$28, 0, 0)</f>
        <v>676.57971317433999</v>
      </c>
    </row>
    <row r="858" spans="1:5" ht="15">
      <c r="A858" s="13">
        <v>67631</v>
      </c>
      <c r="B858" s="4">
        <f>126.7113 * CHOOSE(CONTROL!$C$9, $C$13, 100%, $E$13) + CHOOSE(CONTROL!$C$28, 0.0003, 0)</f>
        <v>126.71159999999999</v>
      </c>
      <c r="C858" s="4">
        <f>126.3988 * CHOOSE(CONTROL!$C$9, $C$13, 100%, $E$13) + CHOOSE(CONTROL!$C$28, 0.0003, 0)</f>
        <v>126.39909999999999</v>
      </c>
      <c r="D858" s="4">
        <f>105.6705 * CHOOSE(CONTROL!$C$9, $C$13, 100%, $E$13) + CHOOSE(CONTROL!$C$28, 0, 0)</f>
        <v>105.6705</v>
      </c>
      <c r="E858" s="4">
        <f>692.644381904478 * CHOOSE(CONTROL!$C$9, $C$13, 100%, $E$13) + CHOOSE(CONTROL!$C$28, 0, 0)</f>
        <v>692.644381904478</v>
      </c>
    </row>
    <row r="859" spans="1:5" ht="15">
      <c r="A859" s="13">
        <v>67662</v>
      </c>
      <c r="B859" s="4">
        <f>134.3147 * CHOOSE(CONTROL!$C$9, $C$13, 100%, $E$13) + CHOOSE(CONTROL!$C$28, 0.0003, 0)</f>
        <v>134.315</v>
      </c>
      <c r="C859" s="4">
        <f>134.0022 * CHOOSE(CONTROL!$C$9, $C$13, 100%, $E$13) + CHOOSE(CONTROL!$C$28, 0.0003, 0)</f>
        <v>134.0025</v>
      </c>
      <c r="D859" s="4">
        <f>111.2541 * CHOOSE(CONTROL!$C$9, $C$13, 100%, $E$13) + CHOOSE(CONTROL!$C$28, 0, 0)</f>
        <v>111.25409999999999</v>
      </c>
      <c r="E859" s="4">
        <f>734.831055718164 * CHOOSE(CONTROL!$C$9, $C$13, 100%, $E$13) + CHOOSE(CONTROL!$C$28, 0, 0)</f>
        <v>734.83105571816395</v>
      </c>
    </row>
    <row r="860" spans="1:5" ht="15">
      <c r="A860" s="13">
        <v>67692</v>
      </c>
      <c r="B860" s="4">
        <f>139.717 * CHOOSE(CONTROL!$C$9, $C$13, 100%, $E$13) + CHOOSE(CONTROL!$C$28, 0.0003, 0)</f>
        <v>139.71730000000002</v>
      </c>
      <c r="C860" s="4">
        <f>139.4045 * CHOOSE(CONTROL!$C$9, $C$13, 100%, $E$13) + CHOOSE(CONTROL!$C$28, 0.0003, 0)</f>
        <v>139.40480000000002</v>
      </c>
      <c r="D860" s="4">
        <f>114.4704 * CHOOSE(CONTROL!$C$9, $C$13, 100%, $E$13) + CHOOSE(CONTROL!$C$28, 0, 0)</f>
        <v>114.4704</v>
      </c>
      <c r="E860" s="4">
        <f>764.805249674138 * CHOOSE(CONTROL!$C$9, $C$13, 100%, $E$13) + CHOOSE(CONTROL!$C$28, 0, 0)</f>
        <v>764.80524967413805</v>
      </c>
    </row>
    <row r="861" spans="1:5" ht="15">
      <c r="A861" s="13">
        <v>67723</v>
      </c>
      <c r="B861" s="4">
        <f>143.0177 * CHOOSE(CONTROL!$C$9, $C$13, 100%, $E$13) + CHOOSE(CONTROL!$C$28, 0.0271, 0)</f>
        <v>143.04479999999998</v>
      </c>
      <c r="C861" s="4">
        <f>142.7052 * CHOOSE(CONTROL!$C$9, $C$13, 100%, $E$13) + CHOOSE(CONTROL!$C$28, 0.0271, 0)</f>
        <v>142.73229999999998</v>
      </c>
      <c r="D861" s="4">
        <f>113.1995 * CHOOSE(CONTROL!$C$9, $C$13, 100%, $E$13) + CHOOSE(CONTROL!$C$28, 0, 0)</f>
        <v>113.1995</v>
      </c>
      <c r="E861" s="4">
        <f>783.118763800069 * CHOOSE(CONTROL!$C$9, $C$13, 100%, $E$13) + CHOOSE(CONTROL!$C$28, 0, 0)</f>
        <v>783.11876380006902</v>
      </c>
    </row>
    <row r="862" spans="1:5" ht="15">
      <c r="A862" s="13">
        <v>67753</v>
      </c>
      <c r="B862" s="4">
        <f>143.4642 * CHOOSE(CONTROL!$C$9, $C$13, 100%, $E$13) + CHOOSE(CONTROL!$C$28, 0.0271, 0)</f>
        <v>143.4913</v>
      </c>
      <c r="C862" s="4">
        <f>143.1517 * CHOOSE(CONTROL!$C$9, $C$13, 100%, $E$13) + CHOOSE(CONTROL!$C$28, 0.0271, 0)</f>
        <v>143.1788</v>
      </c>
      <c r="D862" s="4">
        <f>114.2345 * CHOOSE(CONTROL!$C$9, $C$13, 100%, $E$13) + CHOOSE(CONTROL!$C$28, 0, 0)</f>
        <v>114.2345</v>
      </c>
      <c r="E862" s="4">
        <f>785.596658263953 * CHOOSE(CONTROL!$C$9, $C$13, 100%, $E$13) + CHOOSE(CONTROL!$C$28, 0, 0)</f>
        <v>785.59665826395303</v>
      </c>
    </row>
    <row r="863" spans="1:5" ht="15">
      <c r="A863" s="13">
        <v>67784</v>
      </c>
      <c r="B863" s="4">
        <f>143.4192 * CHOOSE(CONTROL!$C$9, $C$13, 100%, $E$13) + CHOOSE(CONTROL!$C$28, 0.0271, 0)</f>
        <v>143.44629999999998</v>
      </c>
      <c r="C863" s="4">
        <f>143.1067 * CHOOSE(CONTROL!$C$9, $C$13, 100%, $E$13) + CHOOSE(CONTROL!$C$28, 0.0271, 0)</f>
        <v>143.13379999999998</v>
      </c>
      <c r="D863" s="4">
        <f>116.1022 * CHOOSE(CONTROL!$C$9, $C$13, 100%, $E$13) + CHOOSE(CONTROL!$C$28, 0, 0)</f>
        <v>116.1022</v>
      </c>
      <c r="E863" s="4">
        <f>785.346786553309 * CHOOSE(CONTROL!$C$9, $C$13, 100%, $E$13) + CHOOSE(CONTROL!$C$28, 0, 0)</f>
        <v>785.34678655330902</v>
      </c>
    </row>
    <row r="864" spans="1:5" ht="15">
      <c r="A864" s="13">
        <v>67815</v>
      </c>
      <c r="B864" s="4">
        <f>146.8081 * CHOOSE(CONTROL!$C$9, $C$13, 100%, $E$13) + CHOOSE(CONTROL!$C$28, 0.0271, 0)</f>
        <v>146.83519999999999</v>
      </c>
      <c r="C864" s="4">
        <f>146.4956 * CHOOSE(CONTROL!$C$9, $C$13, 100%, $E$13) + CHOOSE(CONTROL!$C$28, 0.0271, 0)</f>
        <v>146.52269999999999</v>
      </c>
      <c r="D864" s="4">
        <f>114.8688 * CHOOSE(CONTROL!$C$9, $C$13, 100%, $E$13) + CHOOSE(CONTROL!$C$28, 0, 0)</f>
        <v>114.86879999999999</v>
      </c>
      <c r="E864" s="4">
        <f>804.149632779251 * CHOOSE(CONTROL!$C$9, $C$13, 100%, $E$13) + CHOOSE(CONTROL!$C$28, 0, 0)</f>
        <v>804.14963277925096</v>
      </c>
    </row>
    <row r="865" spans="1:5" ht="15">
      <c r="A865" s="13">
        <v>67845</v>
      </c>
      <c r="B865" s="4">
        <f>141.0324 * CHOOSE(CONTROL!$C$9, $C$13, 100%, $E$13) + CHOOSE(CONTROL!$C$28, 0.0271, 0)</f>
        <v>141.05949999999999</v>
      </c>
      <c r="C865" s="4">
        <f>140.7199 * CHOOSE(CONTROL!$C$9, $C$13, 100%, $E$13) + CHOOSE(CONTROL!$C$28, 0.0271, 0)</f>
        <v>140.74699999999999</v>
      </c>
      <c r="D865" s="4">
        <f>114.286 * CHOOSE(CONTROL!$C$9, $C$13, 100%, $E$13) + CHOOSE(CONTROL!$C$28, 0, 0)</f>
        <v>114.286</v>
      </c>
      <c r="E865" s="4">
        <f>772.103585889191 * CHOOSE(CONTROL!$C$9, $C$13, 100%, $E$13) + CHOOSE(CONTROL!$C$28, 0, 0)</f>
        <v>772.10358588919098</v>
      </c>
    </row>
    <row r="866" spans="1:5" ht="15">
      <c r="A866" s="13">
        <v>67876</v>
      </c>
      <c r="B866" s="4">
        <f>136.4088 * CHOOSE(CONTROL!$C$9, $C$13, 100%, $E$13) + CHOOSE(CONTROL!$C$28, 0.0003, 0)</f>
        <v>136.40910000000002</v>
      </c>
      <c r="C866" s="4">
        <f>136.0963 * CHOOSE(CONTROL!$C$9, $C$13, 100%, $E$13) + CHOOSE(CONTROL!$C$28, 0.0003, 0)</f>
        <v>136.09660000000002</v>
      </c>
      <c r="D866" s="4">
        <f>112.7257 * CHOOSE(CONTROL!$C$9, $C$13, 100%, $E$13) + CHOOSE(CONTROL!$C$28, 0, 0)</f>
        <v>112.7257</v>
      </c>
      <c r="E866" s="4">
        <f>746.450090263099 * CHOOSE(CONTROL!$C$9, $C$13, 100%, $E$13) + CHOOSE(CONTROL!$C$28, 0, 0)</f>
        <v>746.45009026309901</v>
      </c>
    </row>
    <row r="867" spans="1:5" ht="15">
      <c r="A867" s="13">
        <v>67906</v>
      </c>
      <c r="B867" s="4">
        <f>133.4309 * CHOOSE(CONTROL!$C$9, $C$13, 100%, $E$13) + CHOOSE(CONTROL!$C$28, 0.0003, 0)</f>
        <v>133.43120000000002</v>
      </c>
      <c r="C867" s="4">
        <f>133.1184 * CHOOSE(CONTROL!$C$9, $C$13, 100%, $E$13) + CHOOSE(CONTROL!$C$28, 0.0003, 0)</f>
        <v>133.11870000000002</v>
      </c>
      <c r="D867" s="4">
        <f>112.1892 * CHOOSE(CONTROL!$C$9, $C$13, 100%, $E$13) + CHOOSE(CONTROL!$C$28, 0, 0)</f>
        <v>112.1892</v>
      </c>
      <c r="E867" s="4">
        <f>729.927323396781 * CHOOSE(CONTROL!$C$9, $C$13, 100%, $E$13) + CHOOSE(CONTROL!$C$28, 0, 0)</f>
        <v>729.92732339678105</v>
      </c>
    </row>
    <row r="868" spans="1:5" ht="15">
      <c r="A868" s="13">
        <v>67937</v>
      </c>
      <c r="B868" s="4">
        <f>131.3705 * CHOOSE(CONTROL!$C$9, $C$13, 100%, $E$13) + CHOOSE(CONTROL!$C$28, 0.0003, 0)</f>
        <v>131.3708</v>
      </c>
      <c r="C868" s="4">
        <f>131.058 * CHOOSE(CONTROL!$C$9, $C$13, 100%, $E$13) + CHOOSE(CONTROL!$C$28, 0.0003, 0)</f>
        <v>131.0583</v>
      </c>
      <c r="D868" s="4">
        <f>108.2398 * CHOOSE(CONTROL!$C$9, $C$13, 100%, $E$13) + CHOOSE(CONTROL!$C$28, 0, 0)</f>
        <v>108.2398</v>
      </c>
      <c r="E868" s="4">
        <f>718.495692634829 * CHOOSE(CONTROL!$C$9, $C$13, 100%, $E$13) + CHOOSE(CONTROL!$C$28, 0, 0)</f>
        <v>718.49569263482897</v>
      </c>
    </row>
    <row r="869" spans="1:5" ht="15">
      <c r="A869" s="13">
        <v>67968</v>
      </c>
      <c r="B869" s="4">
        <f>128.0229 * CHOOSE(CONTROL!$C$9, $C$13, 100%, $E$13) + CHOOSE(CONTROL!$C$28, 0.0003, 0)</f>
        <v>128.0232</v>
      </c>
      <c r="C869" s="4">
        <f>127.7104 * CHOOSE(CONTROL!$C$9, $C$13, 100%, $E$13) + CHOOSE(CONTROL!$C$28, 0.0003, 0)</f>
        <v>127.7107</v>
      </c>
      <c r="D869" s="4">
        <f>104.61 * CHOOSE(CONTROL!$C$9, $C$13, 100%, $E$13) + CHOOSE(CONTROL!$C$28, 0, 0)</f>
        <v>104.61</v>
      </c>
      <c r="E869" s="4">
        <f>697.891974139332 * CHOOSE(CONTROL!$C$9, $C$13, 100%, $E$13) + CHOOSE(CONTROL!$C$28, 0, 0)</f>
        <v>697.89197413933198</v>
      </c>
    </row>
    <row r="870" spans="1:5" ht="15">
      <c r="A870" s="13">
        <v>67996</v>
      </c>
      <c r="B870" s="4">
        <f>131.0182 * CHOOSE(CONTROL!$C$9, $C$13, 100%, $E$13) + CHOOSE(CONTROL!$C$28, 0.0003, 0)</f>
        <v>131.01850000000002</v>
      </c>
      <c r="C870" s="4">
        <f>130.7057 * CHOOSE(CONTROL!$C$9, $C$13, 100%, $E$13) + CHOOSE(CONTROL!$C$28, 0.0003, 0)</f>
        <v>130.70600000000002</v>
      </c>
      <c r="D870" s="4">
        <f>108.2653 * CHOOSE(CONTROL!$C$9, $C$13, 100%, $E$13) + CHOOSE(CONTROL!$C$28, 0, 0)</f>
        <v>108.2653</v>
      </c>
      <c r="E870" s="4">
        <f>714.462679934469 * CHOOSE(CONTROL!$C$9, $C$13, 100%, $E$13) + CHOOSE(CONTROL!$C$28, 0, 0)</f>
        <v>714.46267993446895</v>
      </c>
    </row>
    <row r="871" spans="1:5" ht="15">
      <c r="A871" s="13">
        <v>68027</v>
      </c>
      <c r="B871" s="4">
        <f>138.8839 * CHOOSE(CONTROL!$C$9, $C$13, 100%, $E$13) + CHOOSE(CONTROL!$C$28, 0.0003, 0)</f>
        <v>138.88420000000002</v>
      </c>
      <c r="C871" s="4">
        <f>138.5714 * CHOOSE(CONTROL!$C$9, $C$13, 100%, $E$13) + CHOOSE(CONTROL!$C$28, 0.0003, 0)</f>
        <v>138.57170000000002</v>
      </c>
      <c r="D871" s="4">
        <f>113.9873 * CHOOSE(CONTROL!$C$9, $C$13, 100%, $E$13) + CHOOSE(CONTROL!$C$28, 0, 0)</f>
        <v>113.9873</v>
      </c>
      <c r="E871" s="4">
        <f>757.978233973286 * CHOOSE(CONTROL!$C$9, $C$13, 100%, $E$13) + CHOOSE(CONTROL!$C$28, 0, 0)</f>
        <v>757.97823397328602</v>
      </c>
    </row>
    <row r="872" spans="1:5" ht="15">
      <c r="A872" s="13">
        <v>68057</v>
      </c>
      <c r="B872" s="4">
        <f>144.4725 * CHOOSE(CONTROL!$C$9, $C$13, 100%, $E$13) + CHOOSE(CONTROL!$C$28, 0.0003, 0)</f>
        <v>144.47280000000001</v>
      </c>
      <c r="C872" s="4">
        <f>144.16 * CHOOSE(CONTROL!$C$9, $C$13, 100%, $E$13) + CHOOSE(CONTROL!$C$28, 0.0003, 0)</f>
        <v>144.16030000000001</v>
      </c>
      <c r="D872" s="4">
        <f>117.2834 * CHOOSE(CONTROL!$C$9, $C$13, 100%, $E$13) + CHOOSE(CONTROL!$C$28, 0, 0)</f>
        <v>117.2834</v>
      </c>
      <c r="E872" s="4">
        <f>788.896615038873 * CHOOSE(CONTROL!$C$9, $C$13, 100%, $E$13) + CHOOSE(CONTROL!$C$28, 0, 0)</f>
        <v>788.89661503887305</v>
      </c>
    </row>
    <row r="873" spans="1:5" ht="15">
      <c r="A873" s="13">
        <v>68088</v>
      </c>
      <c r="B873" s="4">
        <f>147.8871 * CHOOSE(CONTROL!$C$9, $C$13, 100%, $E$13) + CHOOSE(CONTROL!$C$28, 0.0271, 0)</f>
        <v>147.91419999999999</v>
      </c>
      <c r="C873" s="4">
        <f>147.5746 * CHOOSE(CONTROL!$C$9, $C$13, 100%, $E$13) + CHOOSE(CONTROL!$C$28, 0.0271, 0)</f>
        <v>147.60169999999999</v>
      </c>
      <c r="D873" s="4">
        <f>115.9809 * CHOOSE(CONTROL!$C$9, $C$13, 100%, $E$13) + CHOOSE(CONTROL!$C$28, 0, 0)</f>
        <v>115.98090000000001</v>
      </c>
      <c r="E873" s="4">
        <f>807.787004859771 * CHOOSE(CONTROL!$C$9, $C$13, 100%, $E$13) + CHOOSE(CONTROL!$C$28, 0, 0)</f>
        <v>807.78700485977095</v>
      </c>
    </row>
    <row r="874" spans="1:5" ht="15">
      <c r="A874" s="13">
        <v>68118</v>
      </c>
      <c r="B874" s="4">
        <f>148.3491 * CHOOSE(CONTROL!$C$9, $C$13, 100%, $E$13) + CHOOSE(CONTROL!$C$28, 0.0271, 0)</f>
        <v>148.37619999999998</v>
      </c>
      <c r="C874" s="4">
        <f>148.0366 * CHOOSE(CONTROL!$C$9, $C$13, 100%, $E$13) + CHOOSE(CONTROL!$C$28, 0.0271, 0)</f>
        <v>148.06369999999998</v>
      </c>
      <c r="D874" s="4">
        <f>117.0417 * CHOOSE(CONTROL!$C$9, $C$13, 100%, $E$13) + CHOOSE(CONTROL!$C$28, 0, 0)</f>
        <v>117.04170000000001</v>
      </c>
      <c r="E874" s="4">
        <f>810.342952999267 * CHOOSE(CONTROL!$C$9, $C$13, 100%, $E$13) + CHOOSE(CONTROL!$C$28, 0, 0)</f>
        <v>810.34295299926703</v>
      </c>
    </row>
    <row r="875" spans="1:5" ht="15">
      <c r="A875" s="13">
        <v>68149</v>
      </c>
      <c r="B875" s="4">
        <f>148.3025 * CHOOSE(CONTROL!$C$9, $C$13, 100%, $E$13) + CHOOSE(CONTROL!$C$28, 0.0271, 0)</f>
        <v>148.3296</v>
      </c>
      <c r="C875" s="4">
        <f>147.99 * CHOOSE(CONTROL!$C$9, $C$13, 100%, $E$13) + CHOOSE(CONTROL!$C$28, 0.0271, 0)</f>
        <v>148.0171</v>
      </c>
      <c r="D875" s="4">
        <f>118.9556 * CHOOSE(CONTROL!$C$9, $C$13, 100%, $E$13) + CHOOSE(CONTROL!$C$28, 0, 0)</f>
        <v>118.9556</v>
      </c>
      <c r="E875" s="4">
        <f>810.085210329739 * CHOOSE(CONTROL!$C$9, $C$13, 100%, $E$13) + CHOOSE(CONTROL!$C$28, 0, 0)</f>
        <v>810.08521032973897</v>
      </c>
    </row>
    <row r="876" spans="1:5" ht="15">
      <c r="A876" s="13">
        <v>68180</v>
      </c>
      <c r="B876" s="4">
        <f>151.8083 * CHOOSE(CONTROL!$C$9, $C$13, 100%, $E$13) + CHOOSE(CONTROL!$C$28, 0.0271, 0)</f>
        <v>151.83539999999999</v>
      </c>
      <c r="C876" s="4">
        <f>151.4958 * CHOOSE(CONTROL!$C$9, $C$13, 100%, $E$13) + CHOOSE(CONTROL!$C$28, 0.0271, 0)</f>
        <v>151.52289999999999</v>
      </c>
      <c r="D876" s="4">
        <f>117.6916 * CHOOSE(CONTROL!$C$9, $C$13, 100%, $E$13) + CHOOSE(CONTROL!$C$28, 0, 0)</f>
        <v>117.69159999999999</v>
      </c>
      <c r="E876" s="4">
        <f>829.480346211798 * CHOOSE(CONTROL!$C$9, $C$13, 100%, $E$13) + CHOOSE(CONTROL!$C$28, 0, 0)</f>
        <v>829.48034621179795</v>
      </c>
    </row>
    <row r="877" spans="1:5" ht="15">
      <c r="A877" s="13">
        <v>68210</v>
      </c>
      <c r="B877" s="4">
        <f>145.8333 * CHOOSE(CONTROL!$C$9, $C$13, 100%, $E$13) + CHOOSE(CONTROL!$C$28, 0.0271, 0)</f>
        <v>145.8604</v>
      </c>
      <c r="C877" s="4">
        <f>145.5208 * CHOOSE(CONTROL!$C$9, $C$13, 100%, $E$13) + CHOOSE(CONTROL!$C$28, 0.0271, 0)</f>
        <v>145.5479</v>
      </c>
      <c r="D877" s="4">
        <f>117.0944 * CHOOSE(CONTROL!$C$9, $C$13, 100%, $E$13) + CHOOSE(CONTROL!$C$28, 0, 0)</f>
        <v>117.09439999999999</v>
      </c>
      <c r="E877" s="4">
        <f>796.4248488447 * CHOOSE(CONTROL!$C$9, $C$13, 100%, $E$13) + CHOOSE(CONTROL!$C$28, 0, 0)</f>
        <v>796.42484884470002</v>
      </c>
    </row>
    <row r="878" spans="1:5" ht="15">
      <c r="A878" s="13">
        <v>68241</v>
      </c>
      <c r="B878" s="4">
        <f>141.0502 * CHOOSE(CONTROL!$C$9, $C$13, 100%, $E$13) + CHOOSE(CONTROL!$C$28, 0.0003, 0)</f>
        <v>141.0505</v>
      </c>
      <c r="C878" s="4">
        <f>140.7377 * CHOOSE(CONTROL!$C$9, $C$13, 100%, $E$13) + CHOOSE(CONTROL!$C$28, 0.0003, 0)</f>
        <v>140.738</v>
      </c>
      <c r="D878" s="4">
        <f>115.4954 * CHOOSE(CONTROL!$C$9, $C$13, 100%, $E$13) + CHOOSE(CONTROL!$C$28, 0, 0)</f>
        <v>115.4954</v>
      </c>
      <c r="E878" s="4">
        <f>769.963268106386 * CHOOSE(CONTROL!$C$9, $C$13, 100%, $E$13) + CHOOSE(CONTROL!$C$28, 0, 0)</f>
        <v>769.96326810638595</v>
      </c>
    </row>
    <row r="879" spans="1:5" ht="15">
      <c r="A879" s="13">
        <v>68271</v>
      </c>
      <c r="B879" s="4">
        <f>137.9696 * CHOOSE(CONTROL!$C$9, $C$13, 100%, $E$13) + CHOOSE(CONTROL!$C$28, 0.0003, 0)</f>
        <v>137.96990000000002</v>
      </c>
      <c r="C879" s="4">
        <f>137.6571 * CHOOSE(CONTROL!$C$9, $C$13, 100%, $E$13) + CHOOSE(CONTROL!$C$28, 0.0003, 0)</f>
        <v>137.65740000000002</v>
      </c>
      <c r="D879" s="4">
        <f>114.9456 * CHOOSE(CONTROL!$C$9, $C$13, 100%, $E$13) + CHOOSE(CONTROL!$C$28, 0, 0)</f>
        <v>114.9456</v>
      </c>
      <c r="E879" s="4">
        <f>752.920034083779 * CHOOSE(CONTROL!$C$9, $C$13, 100%, $E$13) + CHOOSE(CONTROL!$C$28, 0, 0)</f>
        <v>752.920034083779</v>
      </c>
    </row>
    <row r="880" spans="1:5" ht="15">
      <c r="A880" s="13">
        <v>68302</v>
      </c>
      <c r="B880" s="4">
        <f>135.8381 * CHOOSE(CONTROL!$C$9, $C$13, 100%, $E$13) + CHOOSE(CONTROL!$C$28, 0.0003, 0)</f>
        <v>135.83840000000001</v>
      </c>
      <c r="C880" s="4">
        <f>135.5256 * CHOOSE(CONTROL!$C$9, $C$13, 100%, $E$13) + CHOOSE(CONTROL!$C$28, 0.0003, 0)</f>
        <v>135.52590000000001</v>
      </c>
      <c r="D880" s="4">
        <f>110.8983 * CHOOSE(CONTROL!$C$9, $C$13, 100%, $E$13) + CHOOSE(CONTROL!$C$28, 0, 0)</f>
        <v>110.89830000000001</v>
      </c>
      <c r="E880" s="4">
        <f>741.128306952826 * CHOOSE(CONTROL!$C$9, $C$13, 100%, $E$13) + CHOOSE(CONTROL!$C$28, 0, 0)</f>
        <v>741.12830695282605</v>
      </c>
    </row>
    <row r="881" spans="1:5" ht="15">
      <c r="A881" s="13">
        <v>68333</v>
      </c>
      <c r="B881" s="4">
        <f>132.375 * CHOOSE(CONTROL!$C$9, $C$13, 100%, $E$13) + CHOOSE(CONTROL!$C$28, 0.0003, 0)</f>
        <v>132.37530000000001</v>
      </c>
      <c r="C881" s="4">
        <f>132.0625 * CHOOSE(CONTROL!$C$9, $C$13, 100%, $E$13) + CHOOSE(CONTROL!$C$28, 0.0003, 0)</f>
        <v>132.06280000000001</v>
      </c>
      <c r="D881" s="4">
        <f>107.1785 * CHOOSE(CONTROL!$C$9, $C$13, 100%, $E$13) + CHOOSE(CONTROL!$C$28, 0, 0)</f>
        <v>107.1785</v>
      </c>
      <c r="E881" s="4">
        <f>719.87557132472 * CHOOSE(CONTROL!$C$9, $C$13, 100%, $E$13) + CHOOSE(CONTROL!$C$28, 0, 0)</f>
        <v>719.87557132472</v>
      </c>
    </row>
    <row r="882" spans="1:5" ht="15">
      <c r="A882" s="13">
        <v>68361</v>
      </c>
      <c r="B882" s="4">
        <f>135.4736 * CHOOSE(CONTROL!$C$9, $C$13, 100%, $E$13) + CHOOSE(CONTROL!$C$28, 0.0003, 0)</f>
        <v>135.47390000000001</v>
      </c>
      <c r="C882" s="4">
        <f>135.1611 * CHOOSE(CONTROL!$C$9, $C$13, 100%, $E$13) + CHOOSE(CONTROL!$C$28, 0.0003, 0)</f>
        <v>135.16140000000001</v>
      </c>
      <c r="D882" s="4">
        <f>110.9244 * CHOOSE(CONTROL!$C$9, $C$13, 100%, $E$13) + CHOOSE(CONTROL!$C$28, 0, 0)</f>
        <v>110.92440000000001</v>
      </c>
      <c r="E882" s="4">
        <f>736.968254352405 * CHOOSE(CONTROL!$C$9, $C$13, 100%, $E$13) + CHOOSE(CONTROL!$C$28, 0, 0)</f>
        <v>736.96825435240498</v>
      </c>
    </row>
    <row r="883" spans="1:5" ht="15">
      <c r="A883" s="13">
        <v>68392</v>
      </c>
      <c r="B883" s="4">
        <f>143.6107 * CHOOSE(CONTROL!$C$9, $C$13, 100%, $E$13) + CHOOSE(CONTROL!$C$28, 0.0003, 0)</f>
        <v>143.61100000000002</v>
      </c>
      <c r="C883" s="4">
        <f>143.2982 * CHOOSE(CONTROL!$C$9, $C$13, 100%, $E$13) + CHOOSE(CONTROL!$C$28, 0.0003, 0)</f>
        <v>143.29850000000002</v>
      </c>
      <c r="D883" s="4">
        <f>116.7883 * CHOOSE(CONTROL!$C$9, $C$13, 100%, $E$13) + CHOOSE(CONTROL!$C$28, 0, 0)</f>
        <v>116.78830000000001</v>
      </c>
      <c r="E883" s="4">
        <f>781.854548343445 * CHOOSE(CONTROL!$C$9, $C$13, 100%, $E$13) + CHOOSE(CONTROL!$C$28, 0, 0)</f>
        <v>781.854548343445</v>
      </c>
    </row>
    <row r="884" spans="1:5" ht="15">
      <c r="A884" s="13">
        <v>68422</v>
      </c>
      <c r="B884" s="4">
        <f>149.3921 * CHOOSE(CONTROL!$C$9, $C$13, 100%, $E$13) + CHOOSE(CONTROL!$C$28, 0.0003, 0)</f>
        <v>149.39240000000001</v>
      </c>
      <c r="C884" s="4">
        <f>149.0796 * CHOOSE(CONTROL!$C$9, $C$13, 100%, $E$13) + CHOOSE(CONTROL!$C$28, 0.0003, 0)</f>
        <v>149.07990000000001</v>
      </c>
      <c r="D884" s="4">
        <f>120.1661 * CHOOSE(CONTROL!$C$9, $C$13, 100%, $E$13) + CHOOSE(CONTROL!$C$28, 0, 0)</f>
        <v>120.1661</v>
      </c>
      <c r="E884" s="4">
        <f>813.746858412598 * CHOOSE(CONTROL!$C$9, $C$13, 100%, $E$13) + CHOOSE(CONTROL!$C$28, 0, 0)</f>
        <v>813.74685841259804</v>
      </c>
    </row>
    <row r="885" spans="1:5" ht="15">
      <c r="A885" s="13">
        <v>68453</v>
      </c>
      <c r="B885" s="4">
        <f>152.9245 * CHOOSE(CONTROL!$C$9, $C$13, 100%, $E$13) + CHOOSE(CONTROL!$C$28, 0.0271, 0)</f>
        <v>152.95159999999998</v>
      </c>
      <c r="C885" s="4">
        <f>152.612 * CHOOSE(CONTROL!$C$9, $C$13, 100%, $E$13) + CHOOSE(CONTROL!$C$28, 0.0271, 0)</f>
        <v>152.63909999999998</v>
      </c>
      <c r="D885" s="4">
        <f>118.8313 * CHOOSE(CONTROL!$C$9, $C$13, 100%, $E$13) + CHOOSE(CONTROL!$C$28, 0, 0)</f>
        <v>118.8313</v>
      </c>
      <c r="E885" s="4">
        <f>833.232295512854 * CHOOSE(CONTROL!$C$9, $C$13, 100%, $E$13) + CHOOSE(CONTROL!$C$28, 0, 0)</f>
        <v>833.23229551285397</v>
      </c>
    </row>
    <row r="886" spans="1:5" ht="15">
      <c r="A886" s="13">
        <v>68483</v>
      </c>
      <c r="B886" s="4">
        <f>153.4024 * CHOOSE(CONTROL!$C$9, $C$13, 100%, $E$13) + CHOOSE(CONTROL!$C$28, 0.0271, 0)</f>
        <v>153.42949999999999</v>
      </c>
      <c r="C886" s="4">
        <f>153.0899 * CHOOSE(CONTROL!$C$9, $C$13, 100%, $E$13) + CHOOSE(CONTROL!$C$28, 0.0271, 0)</f>
        <v>153.11699999999999</v>
      </c>
      <c r="D886" s="4">
        <f>119.9184 * CHOOSE(CONTROL!$C$9, $C$13, 100%, $E$13) + CHOOSE(CONTROL!$C$28, 0, 0)</f>
        <v>119.91840000000001</v>
      </c>
      <c r="E886" s="4">
        <f>835.868756018744 * CHOOSE(CONTROL!$C$9, $C$13, 100%, $E$13) + CHOOSE(CONTROL!$C$28, 0, 0)</f>
        <v>835.86875601874397</v>
      </c>
    </row>
    <row r="887" spans="1:5" ht="15">
      <c r="A887" s="13">
        <v>68514</v>
      </c>
      <c r="B887" s="4">
        <f>153.3542 * CHOOSE(CONTROL!$C$9, $C$13, 100%, $E$13) + CHOOSE(CONTROL!$C$28, 0.0271, 0)</f>
        <v>153.38129999999998</v>
      </c>
      <c r="C887" s="4">
        <f>153.0417 * CHOOSE(CONTROL!$C$9, $C$13, 100%, $E$13) + CHOOSE(CONTROL!$C$28, 0.0271, 0)</f>
        <v>153.06879999999998</v>
      </c>
      <c r="D887" s="4">
        <f>121.8798 * CHOOSE(CONTROL!$C$9, $C$13, 100%, $E$13) + CHOOSE(CONTROL!$C$28, 0, 0)</f>
        <v>121.8798</v>
      </c>
      <c r="E887" s="4">
        <f>835.602894455125 * CHOOSE(CONTROL!$C$9, $C$13, 100%, $E$13) + CHOOSE(CONTROL!$C$28, 0, 0)</f>
        <v>835.60289445512501</v>
      </c>
    </row>
    <row r="888" spans="1:5" ht="15">
      <c r="A888" s="13">
        <v>68545</v>
      </c>
      <c r="B888" s="4">
        <f>156.981 * CHOOSE(CONTROL!$C$9, $C$13, 100%, $E$13) + CHOOSE(CONTROL!$C$28, 0.0271, 0)</f>
        <v>157.00809999999998</v>
      </c>
      <c r="C888" s="4">
        <f>156.6685 * CHOOSE(CONTROL!$C$9, $C$13, 100%, $E$13) + CHOOSE(CONTROL!$C$28, 0.0271, 0)</f>
        <v>156.69559999999998</v>
      </c>
      <c r="D888" s="4">
        <f>120.5845 * CHOOSE(CONTROL!$C$9, $C$13, 100%, $E$13) + CHOOSE(CONTROL!$C$28, 0, 0)</f>
        <v>120.58450000000001</v>
      </c>
      <c r="E888" s="4">
        <f>855.60897711747 * CHOOSE(CONTROL!$C$9, $C$13, 100%, $E$13) + CHOOSE(CONTROL!$C$28, 0, 0)</f>
        <v>855.60897711746998</v>
      </c>
    </row>
    <row r="889" spans="1:5" ht="15">
      <c r="A889" s="13">
        <v>68575</v>
      </c>
      <c r="B889" s="4">
        <f>150.7999 * CHOOSE(CONTROL!$C$9, $C$13, 100%, $E$13) + CHOOSE(CONTROL!$C$28, 0.0271, 0)</f>
        <v>150.827</v>
      </c>
      <c r="C889" s="4">
        <f>150.4874 * CHOOSE(CONTROL!$C$9, $C$13, 100%, $E$13) + CHOOSE(CONTROL!$C$28, 0.0271, 0)</f>
        <v>150.5145</v>
      </c>
      <c r="D889" s="4">
        <f>119.9725 * CHOOSE(CONTROL!$C$9, $C$13, 100%, $E$13) + CHOOSE(CONTROL!$C$28, 0, 0)</f>
        <v>119.9725</v>
      </c>
      <c r="E889" s="4">
        <f>821.512231583308 * CHOOSE(CONTROL!$C$9, $C$13, 100%, $E$13) + CHOOSE(CONTROL!$C$28, 0, 0)</f>
        <v>821.51223158330799</v>
      </c>
    </row>
    <row r="890" spans="1:5" ht="15">
      <c r="A890" s="13">
        <v>68606</v>
      </c>
      <c r="B890" s="4">
        <f>145.8518 * CHOOSE(CONTROL!$C$9, $C$13, 100%, $E$13) + CHOOSE(CONTROL!$C$28, 0.0003, 0)</f>
        <v>145.85210000000001</v>
      </c>
      <c r="C890" s="4">
        <f>145.5393 * CHOOSE(CONTROL!$C$9, $C$13, 100%, $E$13) + CHOOSE(CONTROL!$C$28, 0.0003, 0)</f>
        <v>145.53960000000001</v>
      </c>
      <c r="D890" s="4">
        <f>118.3338 * CHOOSE(CONTROL!$C$9, $C$13, 100%, $E$13) + CHOOSE(CONTROL!$C$28, 0, 0)</f>
        <v>118.3338</v>
      </c>
      <c r="E890" s="4">
        <f>794.217111051738 * CHOOSE(CONTROL!$C$9, $C$13, 100%, $E$13) + CHOOSE(CONTROL!$C$28, 0, 0)</f>
        <v>794.21711105173802</v>
      </c>
    </row>
    <row r="891" spans="1:5" ht="15">
      <c r="A891" s="13">
        <v>68636</v>
      </c>
      <c r="B891" s="4">
        <f>142.6648 * CHOOSE(CONTROL!$C$9, $C$13, 100%, $E$13) + CHOOSE(CONTROL!$C$28, 0.0003, 0)</f>
        <v>142.66510000000002</v>
      </c>
      <c r="C891" s="4">
        <f>142.3523 * CHOOSE(CONTROL!$C$9, $C$13, 100%, $E$13) + CHOOSE(CONTROL!$C$28, 0.0003, 0)</f>
        <v>142.35260000000002</v>
      </c>
      <c r="D891" s="4">
        <f>117.7704 * CHOOSE(CONTROL!$C$9, $C$13, 100%, $E$13) + CHOOSE(CONTROL!$C$28, 0, 0)</f>
        <v>117.7704</v>
      </c>
      <c r="E891" s="4">
        <f>776.637015157418 * CHOOSE(CONTROL!$C$9, $C$13, 100%, $E$13) + CHOOSE(CONTROL!$C$28, 0, 0)</f>
        <v>776.63701515741798</v>
      </c>
    </row>
    <row r="892" spans="1:5" ht="15">
      <c r="A892" s="13">
        <v>68667</v>
      </c>
      <c r="B892" s="4">
        <f>140.4599 * CHOOSE(CONTROL!$C$9, $C$13, 100%, $E$13) + CHOOSE(CONTROL!$C$28, 0.0003, 0)</f>
        <v>140.46020000000001</v>
      </c>
      <c r="C892" s="4">
        <f>140.1474 * CHOOSE(CONTROL!$C$9, $C$13, 100%, $E$13) + CHOOSE(CONTROL!$C$28, 0.0003, 0)</f>
        <v>140.14770000000001</v>
      </c>
      <c r="D892" s="4">
        <f>113.6227 * CHOOSE(CONTROL!$C$9, $C$13, 100%, $E$13) + CHOOSE(CONTROL!$C$28, 0, 0)</f>
        <v>113.62269999999999</v>
      </c>
      <c r="E892" s="4">
        <f>764.47384862184 * CHOOSE(CONTROL!$C$9, $C$13, 100%, $E$13) + CHOOSE(CONTROL!$C$28, 0, 0)</f>
        <v>764.47384862184003</v>
      </c>
    </row>
    <row r="893" spans="1:5" ht="15">
      <c r="A893" s="13">
        <v>68698</v>
      </c>
      <c r="B893" s="4">
        <f>136.8773 * CHOOSE(CONTROL!$C$9, $C$13, 100%, $E$13) + CHOOSE(CONTROL!$C$28, 0.0003, 0)</f>
        <v>136.8776</v>
      </c>
      <c r="C893" s="4">
        <f>136.5648 * CHOOSE(CONTROL!$C$9, $C$13, 100%, $E$13) + CHOOSE(CONTROL!$C$28, 0.0003, 0)</f>
        <v>136.5651</v>
      </c>
      <c r="D893" s="4">
        <f>109.8106 * CHOOSE(CONTROL!$C$9, $C$13, 100%, $E$13) + CHOOSE(CONTROL!$C$28, 0, 0)</f>
        <v>109.81059999999999</v>
      </c>
      <c r="E893" s="4">
        <f>742.551651821449 * CHOOSE(CONTROL!$C$9, $C$13, 100%, $E$13) + CHOOSE(CONTROL!$C$28, 0, 0)</f>
        <v>742.55165182144901</v>
      </c>
    </row>
    <row r="894" spans="1:5" ht="15">
      <c r="A894" s="13">
        <v>68727</v>
      </c>
      <c r="B894" s="4">
        <f>140.0828 * CHOOSE(CONTROL!$C$9, $C$13, 100%, $E$13) + CHOOSE(CONTROL!$C$28, 0.0003, 0)</f>
        <v>140.0831</v>
      </c>
      <c r="C894" s="4">
        <f>139.7703 * CHOOSE(CONTROL!$C$9, $C$13, 100%, $E$13) + CHOOSE(CONTROL!$C$28, 0.0003, 0)</f>
        <v>139.7706</v>
      </c>
      <c r="D894" s="4">
        <f>113.6494 * CHOOSE(CONTROL!$C$9, $C$13, 100%, $E$13) + CHOOSE(CONTROL!$C$28, 0, 0)</f>
        <v>113.6494</v>
      </c>
      <c r="E894" s="4">
        <f>760.182754364506 * CHOOSE(CONTROL!$C$9, $C$13, 100%, $E$13) + CHOOSE(CONTROL!$C$28, 0, 0)</f>
        <v>760.18275436450597</v>
      </c>
    </row>
    <row r="895" spans="1:5" ht="15">
      <c r="A895" s="13">
        <v>68758</v>
      </c>
      <c r="B895" s="4">
        <f>148.5005 * CHOOSE(CONTROL!$C$9, $C$13, 100%, $E$13) + CHOOSE(CONTROL!$C$28, 0.0003, 0)</f>
        <v>148.5008</v>
      </c>
      <c r="C895" s="4">
        <f>148.188 * CHOOSE(CONTROL!$C$9, $C$13, 100%, $E$13) + CHOOSE(CONTROL!$C$28, 0.0003, 0)</f>
        <v>148.1883</v>
      </c>
      <c r="D895" s="4">
        <f>119.6587 * CHOOSE(CONTROL!$C$9, $C$13, 100%, $E$13) + CHOOSE(CONTROL!$C$28, 0, 0)</f>
        <v>119.6587</v>
      </c>
      <c r="E895" s="4">
        <f>806.482966616264 * CHOOSE(CONTROL!$C$9, $C$13, 100%, $E$13) + CHOOSE(CONTROL!$C$28, 0, 0)</f>
        <v>806.48296661626398</v>
      </c>
    </row>
    <row r="896" spans="1:5" ht="15">
      <c r="A896" s="13">
        <v>68788</v>
      </c>
      <c r="B896" s="4">
        <f>154.4815 * CHOOSE(CONTROL!$C$9, $C$13, 100%, $E$13) + CHOOSE(CONTROL!$C$28, 0.0003, 0)</f>
        <v>154.48180000000002</v>
      </c>
      <c r="C896" s="4">
        <f>154.169 * CHOOSE(CONTROL!$C$9, $C$13, 100%, $E$13) + CHOOSE(CONTROL!$C$28, 0.0003, 0)</f>
        <v>154.16930000000002</v>
      </c>
      <c r="D896" s="4">
        <f>123.1203 * CHOOSE(CONTROL!$C$9, $C$13, 100%, $E$13) + CHOOSE(CONTROL!$C$28, 0, 0)</f>
        <v>123.1203</v>
      </c>
      <c r="E896" s="4">
        <f>839.379884452595 * CHOOSE(CONTROL!$C$9, $C$13, 100%, $E$13) + CHOOSE(CONTROL!$C$28, 0, 0)</f>
        <v>839.37988445259498</v>
      </c>
    </row>
    <row r="897" spans="1:5" ht="15">
      <c r="A897" s="13">
        <v>68819</v>
      </c>
      <c r="B897" s="4">
        <f>158.1357 * CHOOSE(CONTROL!$C$9, $C$13, 100%, $E$13) + CHOOSE(CONTROL!$C$28, 0.0271, 0)</f>
        <v>158.1628</v>
      </c>
      <c r="C897" s="4">
        <f>157.8232 * CHOOSE(CONTROL!$C$9, $C$13, 100%, $E$13) + CHOOSE(CONTROL!$C$28, 0.0271, 0)</f>
        <v>157.8503</v>
      </c>
      <c r="D897" s="4">
        <f>121.7525 * CHOOSE(CONTROL!$C$9, $C$13, 100%, $E$13) + CHOOSE(CONTROL!$C$28, 0, 0)</f>
        <v>121.7525</v>
      </c>
      <c r="E897" s="4">
        <f>859.479112821509 * CHOOSE(CONTROL!$C$9, $C$13, 100%, $E$13) + CHOOSE(CONTROL!$C$28, 0, 0)</f>
        <v>859.47911282150903</v>
      </c>
    </row>
    <row r="898" spans="1:5" ht="15">
      <c r="A898" s="13">
        <v>68849</v>
      </c>
      <c r="B898" s="4">
        <f>158.6301 * CHOOSE(CONTROL!$C$9, $C$13, 100%, $E$13) + CHOOSE(CONTROL!$C$28, 0.0271, 0)</f>
        <v>158.65719999999999</v>
      </c>
      <c r="C898" s="4">
        <f>158.3176 * CHOOSE(CONTROL!$C$9, $C$13, 100%, $E$13) + CHOOSE(CONTROL!$C$28, 0.0271, 0)</f>
        <v>158.34469999999999</v>
      </c>
      <c r="D898" s="4">
        <f>122.8665 * CHOOSE(CONTROL!$C$9, $C$13, 100%, $E$13) + CHOOSE(CONTROL!$C$28, 0, 0)</f>
        <v>122.8665</v>
      </c>
      <c r="E898" s="4">
        <f>862.198621833335 * CHOOSE(CONTROL!$C$9, $C$13, 100%, $E$13) + CHOOSE(CONTROL!$C$28, 0, 0)</f>
        <v>862.19862183333498</v>
      </c>
    </row>
    <row r="899" spans="1:5" ht="15">
      <c r="A899" s="13">
        <v>68880</v>
      </c>
      <c r="B899" s="4">
        <f>158.5803 * CHOOSE(CONTROL!$C$9, $C$13, 100%, $E$13) + CHOOSE(CONTROL!$C$28, 0.0271, 0)</f>
        <v>158.60739999999998</v>
      </c>
      <c r="C899" s="4">
        <f>158.2678 * CHOOSE(CONTROL!$C$9, $C$13, 100%, $E$13) + CHOOSE(CONTROL!$C$28, 0.0271, 0)</f>
        <v>158.29489999999998</v>
      </c>
      <c r="D899" s="4">
        <f>124.8766 * CHOOSE(CONTROL!$C$9, $C$13, 100%, $E$13) + CHOOSE(CONTROL!$C$28, 0, 0)</f>
        <v>124.8766</v>
      </c>
      <c r="E899" s="4">
        <f>861.924385630462 * CHOOSE(CONTROL!$C$9, $C$13, 100%, $E$13) + CHOOSE(CONTROL!$C$28, 0, 0)</f>
        <v>861.92438563046198</v>
      </c>
    </row>
    <row r="900" spans="1:5" ht="15">
      <c r="A900" s="13">
        <v>68911</v>
      </c>
      <c r="B900" s="4">
        <f>162.3321 * CHOOSE(CONTROL!$C$9, $C$13, 100%, $E$13) + CHOOSE(CONTROL!$C$28, 0.0271, 0)</f>
        <v>162.35919999999999</v>
      </c>
      <c r="C900" s="4">
        <f>162.0196 * CHOOSE(CONTROL!$C$9, $C$13, 100%, $E$13) + CHOOSE(CONTROL!$C$28, 0.0271, 0)</f>
        <v>162.04669999999999</v>
      </c>
      <c r="D900" s="4">
        <f>123.5491 * CHOOSE(CONTROL!$C$9, $C$13, 100%, $E$13) + CHOOSE(CONTROL!$C$28, 0, 0)</f>
        <v>123.5491</v>
      </c>
      <c r="E900" s="4">
        <f>882.56065989667 * CHOOSE(CONTROL!$C$9, $C$13, 100%, $E$13) + CHOOSE(CONTROL!$C$28, 0, 0)</f>
        <v>882.56065989667002</v>
      </c>
    </row>
    <row r="901" spans="1:5" ht="15">
      <c r="A901" s="13">
        <v>68941</v>
      </c>
      <c r="B901" s="4">
        <f>155.9378 * CHOOSE(CONTROL!$C$9, $C$13, 100%, $E$13) + CHOOSE(CONTROL!$C$28, 0.0271, 0)</f>
        <v>155.9649</v>
      </c>
      <c r="C901" s="4">
        <f>155.6253 * CHOOSE(CONTROL!$C$9, $C$13, 100%, $E$13) + CHOOSE(CONTROL!$C$28, 0.0271, 0)</f>
        <v>155.6524</v>
      </c>
      <c r="D901" s="4">
        <f>122.9219 * CHOOSE(CONTROL!$C$9, $C$13, 100%, $E$13) + CHOOSE(CONTROL!$C$28, 0, 0)</f>
        <v>122.92189999999999</v>
      </c>
      <c r="E901" s="4">
        <f>847.389866878183 * CHOOSE(CONTROL!$C$9, $C$13, 100%, $E$13) + CHOOSE(CONTROL!$C$28, 0, 0)</f>
        <v>847.38986687818306</v>
      </c>
    </row>
    <row r="902" spans="1:5" ht="15">
      <c r="A902" s="13">
        <v>68972</v>
      </c>
      <c r="B902" s="4">
        <f>150.819 * CHOOSE(CONTROL!$C$9, $C$13, 100%, $E$13) + CHOOSE(CONTROL!$C$28, 0.0003, 0)</f>
        <v>150.8193</v>
      </c>
      <c r="C902" s="4">
        <f>150.5065 * CHOOSE(CONTROL!$C$9, $C$13, 100%, $E$13) + CHOOSE(CONTROL!$C$28, 0.0003, 0)</f>
        <v>150.5068</v>
      </c>
      <c r="D902" s="4">
        <f>121.2426 * CHOOSE(CONTROL!$C$9, $C$13, 100%, $E$13) + CHOOSE(CONTROL!$C$28, 0, 0)</f>
        <v>121.2426</v>
      </c>
      <c r="E902" s="4">
        <f>819.234950049867 * CHOOSE(CONTROL!$C$9, $C$13, 100%, $E$13) + CHOOSE(CONTROL!$C$28, 0, 0)</f>
        <v>819.23495004986705</v>
      </c>
    </row>
    <row r="903" spans="1:5" ht="15">
      <c r="A903" s="13">
        <v>69002</v>
      </c>
      <c r="B903" s="4">
        <f>147.5221 * CHOOSE(CONTROL!$C$9, $C$13, 100%, $E$13) + CHOOSE(CONTROL!$C$28, 0.0003, 0)</f>
        <v>147.5224</v>
      </c>
      <c r="C903" s="4">
        <f>147.2096 * CHOOSE(CONTROL!$C$9, $C$13, 100%, $E$13) + CHOOSE(CONTROL!$C$28, 0.0003, 0)</f>
        <v>147.2099</v>
      </c>
      <c r="D903" s="4">
        <f>120.6652 * CHOOSE(CONTROL!$C$9, $C$13, 100%, $E$13) + CHOOSE(CONTROL!$C$28, 0, 0)</f>
        <v>120.6652</v>
      </c>
      <c r="E903" s="4">
        <f>801.101081134877 * CHOOSE(CONTROL!$C$9, $C$13, 100%, $E$13) + CHOOSE(CONTROL!$C$28, 0, 0)</f>
        <v>801.10108113487695</v>
      </c>
    </row>
    <row r="904" spans="1:5" ht="15">
      <c r="A904" s="13">
        <v>69033</v>
      </c>
      <c r="B904" s="4">
        <f>145.241 * CHOOSE(CONTROL!$C$9, $C$13, 100%, $E$13) + CHOOSE(CONTROL!$C$28, 0.0003, 0)</f>
        <v>145.24130000000002</v>
      </c>
      <c r="C904" s="4">
        <f>144.9285 * CHOOSE(CONTROL!$C$9, $C$13, 100%, $E$13) + CHOOSE(CONTROL!$C$28, 0.0003, 0)</f>
        <v>144.92880000000002</v>
      </c>
      <c r="D904" s="4">
        <f>116.4146 * CHOOSE(CONTROL!$C$9, $C$13, 100%, $E$13) + CHOOSE(CONTROL!$C$28, 0, 0)</f>
        <v>116.41459999999999</v>
      </c>
      <c r="E904" s="4">
        <f>788.554774853428 * CHOOSE(CONTROL!$C$9, $C$13, 100%, $E$13) + CHOOSE(CONTROL!$C$28, 0, 0)</f>
        <v>788.55477485342794</v>
      </c>
    </row>
    <row r="905" spans="1:5" ht="15">
      <c r="A905" s="13">
        <v>69064</v>
      </c>
      <c r="B905" s="4">
        <f>141.5349 * CHOOSE(CONTROL!$C$9, $C$13, 100%, $E$13) + CHOOSE(CONTROL!$C$28, 0.0003, 0)</f>
        <v>141.5352</v>
      </c>
      <c r="C905" s="4">
        <f>141.2224 * CHOOSE(CONTROL!$C$9, $C$13, 100%, $E$13) + CHOOSE(CONTROL!$C$28, 0.0003, 0)</f>
        <v>141.2227</v>
      </c>
      <c r="D905" s="4">
        <f>112.508 * CHOOSE(CONTROL!$C$9, $C$13, 100%, $E$13) + CHOOSE(CONTROL!$C$28, 0, 0)</f>
        <v>112.508</v>
      </c>
      <c r="E905" s="4">
        <f>765.942028853825 * CHOOSE(CONTROL!$C$9, $C$13, 100%, $E$13) + CHOOSE(CONTROL!$C$28, 0, 0)</f>
        <v>765.94202885382504</v>
      </c>
    </row>
    <row r="906" spans="1:5" ht="15">
      <c r="A906" s="13">
        <v>69092</v>
      </c>
      <c r="B906" s="4">
        <f>144.8509 * CHOOSE(CONTROL!$C$9, $C$13, 100%, $E$13) + CHOOSE(CONTROL!$C$28, 0.0003, 0)</f>
        <v>144.85120000000001</v>
      </c>
      <c r="C906" s="4">
        <f>144.5384 * CHOOSE(CONTROL!$C$9, $C$13, 100%, $E$13) + CHOOSE(CONTROL!$C$28, 0.0003, 0)</f>
        <v>144.53870000000001</v>
      </c>
      <c r="D906" s="4">
        <f>116.442 * CHOOSE(CONTROL!$C$9, $C$13, 100%, $E$13) + CHOOSE(CONTROL!$C$28, 0, 0)</f>
        <v>116.44199999999999</v>
      </c>
      <c r="E906" s="4">
        <f>784.128511126988 * CHOOSE(CONTROL!$C$9, $C$13, 100%, $E$13) + CHOOSE(CONTROL!$C$28, 0, 0)</f>
        <v>784.12851112698797</v>
      </c>
    </row>
    <row r="907" spans="1:5" ht="15">
      <c r="A907" s="13">
        <v>69123</v>
      </c>
      <c r="B907" s="4">
        <f>153.5591 * CHOOSE(CONTROL!$C$9, $C$13, 100%, $E$13) + CHOOSE(CONTROL!$C$28, 0.0003, 0)</f>
        <v>153.55940000000001</v>
      </c>
      <c r="C907" s="4">
        <f>153.2466 * CHOOSE(CONTROL!$C$9, $C$13, 100%, $E$13) + CHOOSE(CONTROL!$C$28, 0.0003, 0)</f>
        <v>153.24690000000001</v>
      </c>
      <c r="D907" s="4">
        <f>122.6004 * CHOOSE(CONTROL!$C$9, $C$13, 100%, $E$13) + CHOOSE(CONTROL!$C$28, 0, 0)</f>
        <v>122.60039999999999</v>
      </c>
      <c r="E907" s="4">
        <f>831.887180064676 * CHOOSE(CONTROL!$C$9, $C$13, 100%, $E$13) + CHOOSE(CONTROL!$C$28, 0, 0)</f>
        <v>831.88718006467604</v>
      </c>
    </row>
    <row r="908" spans="1:5" ht="15">
      <c r="A908" s="13">
        <v>69153</v>
      </c>
      <c r="B908" s="4">
        <f>159.7464 * CHOOSE(CONTROL!$C$9, $C$13, 100%, $E$13) + CHOOSE(CONTROL!$C$28, 0.0003, 0)</f>
        <v>159.7467</v>
      </c>
      <c r="C908" s="4">
        <f>159.4339 * CHOOSE(CONTROL!$C$9, $C$13, 100%, $E$13) + CHOOSE(CONTROL!$C$28, 0.0003, 0)</f>
        <v>159.4342</v>
      </c>
      <c r="D908" s="4">
        <f>126.1478 * CHOOSE(CONTROL!$C$9, $C$13, 100%, $E$13) + CHOOSE(CONTROL!$C$28, 0, 0)</f>
        <v>126.1478</v>
      </c>
      <c r="E908" s="4">
        <f>865.820350812851 * CHOOSE(CONTROL!$C$9, $C$13, 100%, $E$13) + CHOOSE(CONTROL!$C$28, 0, 0)</f>
        <v>865.82035081285096</v>
      </c>
    </row>
    <row r="909" spans="1:5" ht="15">
      <c r="A909" s="13">
        <v>69184</v>
      </c>
      <c r="B909" s="4">
        <f>163.5267 * CHOOSE(CONTROL!$C$9, $C$13, 100%, $E$13) + CHOOSE(CONTROL!$C$28, 0.0271, 0)</f>
        <v>163.5538</v>
      </c>
      <c r="C909" s="4">
        <f>163.2142 * CHOOSE(CONTROL!$C$9, $C$13, 100%, $E$13) + CHOOSE(CONTROL!$C$28, 0.0271, 0)</f>
        <v>163.2413</v>
      </c>
      <c r="D909" s="4">
        <f>124.746 * CHOOSE(CONTROL!$C$9, $C$13, 100%, $E$13) + CHOOSE(CONTROL!$C$28, 0, 0)</f>
        <v>124.746</v>
      </c>
      <c r="E909" s="4">
        <f>886.552704875387 * CHOOSE(CONTROL!$C$9, $C$13, 100%, $E$13) + CHOOSE(CONTROL!$C$28, 0, 0)</f>
        <v>886.55270487538701</v>
      </c>
    </row>
    <row r="910" spans="1:5" ht="15">
      <c r="A910" s="13">
        <v>69214</v>
      </c>
      <c r="B910" s="4">
        <f>164.0382 * CHOOSE(CONTROL!$C$9, $C$13, 100%, $E$13) + CHOOSE(CONTROL!$C$28, 0.0271, 0)</f>
        <v>164.06529999999998</v>
      </c>
      <c r="C910" s="4">
        <f>163.7257 * CHOOSE(CONTROL!$C$9, $C$13, 100%, $E$13) + CHOOSE(CONTROL!$C$28, 0.0271, 0)</f>
        <v>163.75279999999998</v>
      </c>
      <c r="D910" s="4">
        <f>125.8877 * CHOOSE(CONTROL!$C$9, $C$13, 100%, $E$13) + CHOOSE(CONTROL!$C$28, 0, 0)</f>
        <v>125.8877</v>
      </c>
      <c r="E910" s="4">
        <f>889.357878421085 * CHOOSE(CONTROL!$C$9, $C$13, 100%, $E$13) + CHOOSE(CONTROL!$C$28, 0, 0)</f>
        <v>889.35787842108505</v>
      </c>
    </row>
    <row r="911" spans="1:5" ht="15">
      <c r="A911" s="13">
        <v>69245</v>
      </c>
      <c r="B911" s="4">
        <f>163.9866 * CHOOSE(CONTROL!$C$9, $C$13, 100%, $E$13) + CHOOSE(CONTROL!$C$28, 0.0271, 0)</f>
        <v>164.0137</v>
      </c>
      <c r="C911" s="4">
        <f>163.6741 * CHOOSE(CONTROL!$C$9, $C$13, 100%, $E$13) + CHOOSE(CONTROL!$C$28, 0.0271, 0)</f>
        <v>163.7012</v>
      </c>
      <c r="D911" s="4">
        <f>127.9476 * CHOOSE(CONTROL!$C$9, $C$13, 100%, $E$13) + CHOOSE(CONTROL!$C$28, 0, 0)</f>
        <v>127.94759999999999</v>
      </c>
      <c r="E911" s="4">
        <f>889.075003777822 * CHOOSE(CONTROL!$C$9, $C$13, 100%, $E$13) + CHOOSE(CONTROL!$C$28, 0, 0)</f>
        <v>889.07500377782196</v>
      </c>
    </row>
    <row r="912" spans="1:5" ht="15">
      <c r="A912" s="13">
        <v>69276</v>
      </c>
      <c r="B912" s="4">
        <f>167.8679 * CHOOSE(CONTROL!$C$9, $C$13, 100%, $E$13) + CHOOSE(CONTROL!$C$28, 0.0271, 0)</f>
        <v>167.89499999999998</v>
      </c>
      <c r="C912" s="4">
        <f>167.5554 * CHOOSE(CONTROL!$C$9, $C$13, 100%, $E$13) + CHOOSE(CONTROL!$C$28, 0.0271, 0)</f>
        <v>167.58249999999998</v>
      </c>
      <c r="D912" s="4">
        <f>126.5872 * CHOOSE(CONTROL!$C$9, $C$13, 100%, $E$13) + CHOOSE(CONTROL!$C$28, 0, 0)</f>
        <v>126.5872</v>
      </c>
      <c r="E912" s="4">
        <f>910.361320683415 * CHOOSE(CONTROL!$C$9, $C$13, 100%, $E$13) + CHOOSE(CONTROL!$C$28, 0, 0)</f>
        <v>910.36132068341499</v>
      </c>
    </row>
    <row r="913" spans="1:5" ht="15">
      <c r="A913" s="13">
        <v>69306</v>
      </c>
      <c r="B913" s="4">
        <f>161.2529 * CHOOSE(CONTROL!$C$9, $C$13, 100%, $E$13) + CHOOSE(CONTROL!$C$28, 0.0271, 0)</f>
        <v>161.28</v>
      </c>
      <c r="C913" s="4">
        <f>160.9404 * CHOOSE(CONTROL!$C$9, $C$13, 100%, $E$13) + CHOOSE(CONTROL!$C$28, 0.0271, 0)</f>
        <v>160.9675</v>
      </c>
      <c r="D913" s="4">
        <f>125.9445 * CHOOSE(CONTROL!$C$9, $C$13, 100%, $E$13) + CHOOSE(CONTROL!$C$28, 0, 0)</f>
        <v>125.94450000000001</v>
      </c>
      <c r="E913" s="4">
        <f>874.082647684845 * CHOOSE(CONTROL!$C$9, $C$13, 100%, $E$13) + CHOOSE(CONTROL!$C$28, 0, 0)</f>
        <v>874.08264768484503</v>
      </c>
    </row>
    <row r="914" spans="1:5" ht="15">
      <c r="A914" s="13">
        <v>69337</v>
      </c>
      <c r="B914" s="4">
        <f>155.9575 * CHOOSE(CONTROL!$C$9, $C$13, 100%, $E$13) + CHOOSE(CONTROL!$C$28, 0.0003, 0)</f>
        <v>155.95780000000002</v>
      </c>
      <c r="C914" s="4">
        <f>155.645 * CHOOSE(CONTROL!$C$9, $C$13, 100%, $E$13) + CHOOSE(CONTROL!$C$28, 0.0003, 0)</f>
        <v>155.64530000000002</v>
      </c>
      <c r="D914" s="4">
        <f>124.2235 * CHOOSE(CONTROL!$C$9, $C$13, 100%, $E$13) + CHOOSE(CONTROL!$C$28, 0, 0)</f>
        <v>124.2235</v>
      </c>
      <c r="E914" s="4">
        <f>845.040850976438 * CHOOSE(CONTROL!$C$9, $C$13, 100%, $E$13) + CHOOSE(CONTROL!$C$28, 0, 0)</f>
        <v>845.04085097643804</v>
      </c>
    </row>
    <row r="915" spans="1:5" ht="15">
      <c r="A915" s="13">
        <v>69367</v>
      </c>
      <c r="B915" s="4">
        <f>152.5469 * CHOOSE(CONTROL!$C$9, $C$13, 100%, $E$13) + CHOOSE(CONTROL!$C$28, 0.0003, 0)</f>
        <v>152.5472</v>
      </c>
      <c r="C915" s="4">
        <f>152.2344 * CHOOSE(CONTROL!$C$9, $C$13, 100%, $E$13) + CHOOSE(CONTROL!$C$28, 0.0003, 0)</f>
        <v>152.2347</v>
      </c>
      <c r="D915" s="4">
        <f>123.6318 * CHOOSE(CONTROL!$C$9, $C$13, 100%, $E$13) + CHOOSE(CONTROL!$C$28, 0, 0)</f>
        <v>123.6318</v>
      </c>
      <c r="E915" s="4">
        <f>826.335765190626 * CHOOSE(CONTROL!$C$9, $C$13, 100%, $E$13) + CHOOSE(CONTROL!$C$28, 0, 0)</f>
        <v>826.33576519062603</v>
      </c>
    </row>
    <row r="916" spans="1:5" ht="15">
      <c r="A916" s="13">
        <v>69398</v>
      </c>
      <c r="B916" s="4">
        <f>150.1872 * CHOOSE(CONTROL!$C$9, $C$13, 100%, $E$13) + CHOOSE(CONTROL!$C$28, 0.0003, 0)</f>
        <v>150.1875</v>
      </c>
      <c r="C916" s="4">
        <f>149.8747 * CHOOSE(CONTROL!$C$9, $C$13, 100%, $E$13) + CHOOSE(CONTROL!$C$28, 0.0003, 0)</f>
        <v>149.875</v>
      </c>
      <c r="D916" s="4">
        <f>119.2758 * CHOOSE(CONTROL!$C$9, $C$13, 100%, $E$13) + CHOOSE(CONTROL!$C$28, 0, 0)</f>
        <v>119.2758</v>
      </c>
      <c r="E916" s="4">
        <f>813.394250261311 * CHOOSE(CONTROL!$C$9, $C$13, 100%, $E$13) + CHOOSE(CONTROL!$C$28, 0, 0)</f>
        <v>813.39425026131096</v>
      </c>
    </row>
    <row r="917" spans="1:5" ht="15">
      <c r="A917" s="13">
        <v>69429</v>
      </c>
      <c r="B917" s="4">
        <f>146.3531 * CHOOSE(CONTROL!$C$9, $C$13, 100%, $E$13) + CHOOSE(CONTROL!$C$28, 0.0003, 0)</f>
        <v>146.35340000000002</v>
      </c>
      <c r="C917" s="4">
        <f>146.0406 * CHOOSE(CONTROL!$C$9, $C$13, 100%, $E$13) + CHOOSE(CONTROL!$C$28, 0.0003, 0)</f>
        <v>146.04090000000002</v>
      </c>
      <c r="D917" s="4">
        <f>115.2723 * CHOOSE(CONTROL!$C$9, $C$13, 100%, $E$13) + CHOOSE(CONTROL!$C$28, 0, 0)</f>
        <v>115.2723</v>
      </c>
      <c r="E917" s="4">
        <f>790.06920276272 * CHOOSE(CONTROL!$C$9, $C$13, 100%, $E$13) + CHOOSE(CONTROL!$C$28, 0, 0)</f>
        <v>790.06920276272001</v>
      </c>
    </row>
    <row r="918" spans="1:5" ht="15">
      <c r="A918" s="13">
        <v>69457</v>
      </c>
      <c r="B918" s="4">
        <f>149.7836 * CHOOSE(CONTROL!$C$9, $C$13, 100%, $E$13) + CHOOSE(CONTROL!$C$28, 0.0003, 0)</f>
        <v>149.78390000000002</v>
      </c>
      <c r="C918" s="4">
        <f>149.4711 * CHOOSE(CONTROL!$C$9, $C$13, 100%, $E$13) + CHOOSE(CONTROL!$C$28, 0.0003, 0)</f>
        <v>149.47140000000002</v>
      </c>
      <c r="D918" s="4">
        <f>119.3039 * CHOOSE(CONTROL!$C$9, $C$13, 100%, $E$13) + CHOOSE(CONTROL!$C$28, 0, 0)</f>
        <v>119.3039</v>
      </c>
      <c r="E918" s="4">
        <f>808.828559227488 * CHOOSE(CONTROL!$C$9, $C$13, 100%, $E$13) + CHOOSE(CONTROL!$C$28, 0, 0)</f>
        <v>808.82855922748797</v>
      </c>
    </row>
    <row r="919" spans="1:5" ht="15">
      <c r="A919" s="13">
        <v>69488</v>
      </c>
      <c r="B919" s="4">
        <f>158.7922 * CHOOSE(CONTROL!$C$9, $C$13, 100%, $E$13) + CHOOSE(CONTROL!$C$28, 0.0003, 0)</f>
        <v>158.79250000000002</v>
      </c>
      <c r="C919" s="4">
        <f>158.4797 * CHOOSE(CONTROL!$C$9, $C$13, 100%, $E$13) + CHOOSE(CONTROL!$C$28, 0.0003, 0)</f>
        <v>158.48000000000002</v>
      </c>
      <c r="D919" s="4">
        <f>125.615 * CHOOSE(CONTROL!$C$9, $C$13, 100%, $E$13) + CHOOSE(CONTROL!$C$28, 0, 0)</f>
        <v>125.61499999999999</v>
      </c>
      <c r="E919" s="4">
        <f>858.091626236713 * CHOOSE(CONTROL!$C$9, $C$13, 100%, $E$13) + CHOOSE(CONTROL!$C$28, 0, 0)</f>
        <v>858.09162623671295</v>
      </c>
    </row>
    <row r="920" spans="1:5" ht="15">
      <c r="A920" s="13">
        <v>69518</v>
      </c>
      <c r="B920" s="4">
        <f>165.193 * CHOOSE(CONTROL!$C$9, $C$13, 100%, $E$13) + CHOOSE(CONTROL!$C$28, 0.0003, 0)</f>
        <v>165.19330000000002</v>
      </c>
      <c r="C920" s="4">
        <f>164.8805 * CHOOSE(CONTROL!$C$9, $C$13, 100%, $E$13) + CHOOSE(CONTROL!$C$28, 0.0003, 0)</f>
        <v>164.88080000000002</v>
      </c>
      <c r="D920" s="4">
        <f>129.2504 * CHOOSE(CONTROL!$C$9, $C$13, 100%, $E$13) + CHOOSE(CONTROL!$C$28, 0, 0)</f>
        <v>129.25040000000001</v>
      </c>
      <c r="E920" s="4">
        <f>893.093691863456 * CHOOSE(CONTROL!$C$9, $C$13, 100%, $E$13) + CHOOSE(CONTROL!$C$28, 0, 0)</f>
        <v>893.093691863456</v>
      </c>
    </row>
    <row r="921" spans="1:5" ht="15">
      <c r="A921" s="13">
        <v>69549</v>
      </c>
      <c r="B921" s="4">
        <f>169.1037 * CHOOSE(CONTROL!$C$9, $C$13, 100%, $E$13) + CHOOSE(CONTROL!$C$28, 0.0271, 0)</f>
        <v>169.13079999999999</v>
      </c>
      <c r="C921" s="4">
        <f>168.7912 * CHOOSE(CONTROL!$C$9, $C$13, 100%, $E$13) + CHOOSE(CONTROL!$C$28, 0.0271, 0)</f>
        <v>168.81829999999999</v>
      </c>
      <c r="D921" s="4">
        <f>127.8139 * CHOOSE(CONTROL!$C$9, $C$13, 100%, $E$13) + CHOOSE(CONTROL!$C$28, 0, 0)</f>
        <v>127.8139</v>
      </c>
      <c r="E921" s="4">
        <f>914.479115078962 * CHOOSE(CONTROL!$C$9, $C$13, 100%, $E$13) + CHOOSE(CONTROL!$C$28, 0, 0)</f>
        <v>914.47911507896197</v>
      </c>
    </row>
    <row r="922" spans="1:5" ht="15">
      <c r="A922" s="13">
        <v>69579</v>
      </c>
      <c r="B922" s="4">
        <f>169.6328 * CHOOSE(CONTROL!$C$9, $C$13, 100%, $E$13) + CHOOSE(CONTROL!$C$28, 0.0271, 0)</f>
        <v>169.65989999999999</v>
      </c>
      <c r="C922" s="4">
        <f>169.3203 * CHOOSE(CONTROL!$C$9, $C$13, 100%, $E$13) + CHOOSE(CONTROL!$C$28, 0.0271, 0)</f>
        <v>169.34739999999999</v>
      </c>
      <c r="D922" s="4">
        <f>128.9838 * CHOOSE(CONTROL!$C$9, $C$13, 100%, $E$13) + CHOOSE(CONTROL!$C$28, 0, 0)</f>
        <v>128.9838</v>
      </c>
      <c r="E922" s="4">
        <f>917.372651591349 * CHOOSE(CONTROL!$C$9, $C$13, 100%, $E$13) + CHOOSE(CONTROL!$C$28, 0, 0)</f>
        <v>917.37265159134904</v>
      </c>
    </row>
    <row r="923" spans="1:5" ht="15">
      <c r="A923" s="13">
        <v>69610</v>
      </c>
      <c r="B923" s="4">
        <f>169.5795 * CHOOSE(CONTROL!$C$9, $C$13, 100%, $E$13) + CHOOSE(CONTROL!$C$28, 0.0271, 0)</f>
        <v>169.60659999999999</v>
      </c>
      <c r="C923" s="4">
        <f>169.267 * CHOOSE(CONTROL!$C$9, $C$13, 100%, $E$13) + CHOOSE(CONTROL!$C$28, 0.0271, 0)</f>
        <v>169.29409999999999</v>
      </c>
      <c r="D923" s="4">
        <f>131.0948 * CHOOSE(CONTROL!$C$9, $C$13, 100%, $E$13) + CHOOSE(CONTROL!$C$28, 0, 0)</f>
        <v>131.09479999999999</v>
      </c>
      <c r="E923" s="4">
        <f>917.080866396823 * CHOOSE(CONTROL!$C$9, $C$13, 100%, $E$13) + CHOOSE(CONTROL!$C$28, 0, 0)</f>
        <v>917.08086639682301</v>
      </c>
    </row>
    <row r="924" spans="1:5" ht="15">
      <c r="A924" s="13">
        <v>69641</v>
      </c>
      <c r="B924" s="4">
        <f>173.5946 * CHOOSE(CONTROL!$C$9, $C$13, 100%, $E$13) + CHOOSE(CONTROL!$C$28, 0.0271, 0)</f>
        <v>173.6217</v>
      </c>
      <c r="C924" s="4">
        <f>173.2821 * CHOOSE(CONTROL!$C$9, $C$13, 100%, $E$13) + CHOOSE(CONTROL!$C$28, 0.0271, 0)</f>
        <v>173.3092</v>
      </c>
      <c r="D924" s="4">
        <f>129.7007 * CHOOSE(CONTROL!$C$9, $C$13, 100%, $E$13) + CHOOSE(CONTROL!$C$28, 0, 0)</f>
        <v>129.70070000000001</v>
      </c>
      <c r="E924" s="4">
        <f>939.037702284943 * CHOOSE(CONTROL!$C$9, $C$13, 100%, $E$13) + CHOOSE(CONTROL!$C$28, 0, 0)</f>
        <v>939.03770228494295</v>
      </c>
    </row>
    <row r="925" spans="1:5" ht="15">
      <c r="A925" s="13">
        <v>69671</v>
      </c>
      <c r="B925" s="4">
        <f>166.7515 * CHOOSE(CONTROL!$C$9, $C$13, 100%, $E$13) + CHOOSE(CONTROL!$C$28, 0.0271, 0)</f>
        <v>166.77859999999998</v>
      </c>
      <c r="C925" s="4">
        <f>166.439 * CHOOSE(CONTROL!$C$9, $C$13, 100%, $E$13) + CHOOSE(CONTROL!$C$28, 0.0271, 0)</f>
        <v>166.46609999999998</v>
      </c>
      <c r="D925" s="4">
        <f>129.042 * CHOOSE(CONTROL!$C$9, $C$13, 100%, $E$13) + CHOOSE(CONTROL!$C$28, 0, 0)</f>
        <v>129.042</v>
      </c>
      <c r="E925" s="4">
        <f>901.616251086918 * CHOOSE(CONTROL!$C$9, $C$13, 100%, $E$13) + CHOOSE(CONTROL!$C$28, 0, 0)</f>
        <v>901.61625108691806</v>
      </c>
    </row>
    <row r="926" spans="1:5" ht="15">
      <c r="A926" s="13">
        <v>69702</v>
      </c>
      <c r="B926" s="4">
        <f>161.2734 * CHOOSE(CONTROL!$C$9, $C$13, 100%, $E$13) + CHOOSE(CONTROL!$C$28, 0.0003, 0)</f>
        <v>161.27370000000002</v>
      </c>
      <c r="C926" s="4">
        <f>160.9609 * CHOOSE(CONTROL!$C$9, $C$13, 100%, $E$13) + CHOOSE(CONTROL!$C$28, 0.0003, 0)</f>
        <v>160.96120000000002</v>
      </c>
      <c r="D926" s="4">
        <f>127.2783 * CHOOSE(CONTROL!$C$9, $C$13, 100%, $E$13) + CHOOSE(CONTROL!$C$28, 0, 0)</f>
        <v>127.2783</v>
      </c>
      <c r="E926" s="4">
        <f>871.659637782196 * CHOOSE(CONTROL!$C$9, $C$13, 100%, $E$13) + CHOOSE(CONTROL!$C$28, 0, 0)</f>
        <v>871.659637782196</v>
      </c>
    </row>
    <row r="927" spans="1:5" ht="15">
      <c r="A927" s="13">
        <v>69732</v>
      </c>
      <c r="B927" s="4">
        <f>157.7451 * CHOOSE(CONTROL!$C$9, $C$13, 100%, $E$13) + CHOOSE(CONTROL!$C$28, 0.0003, 0)</f>
        <v>157.74540000000002</v>
      </c>
      <c r="C927" s="4">
        <f>157.4326 * CHOOSE(CONTROL!$C$9, $C$13, 100%, $E$13) + CHOOSE(CONTROL!$C$28, 0.0003, 0)</f>
        <v>157.43290000000002</v>
      </c>
      <c r="D927" s="4">
        <f>126.672 * CHOOSE(CONTROL!$C$9, $C$13, 100%, $E$13) + CHOOSE(CONTROL!$C$28, 0, 0)</f>
        <v>126.672</v>
      </c>
      <c r="E927" s="4">
        <f>852.36534179413 * CHOOSE(CONTROL!$C$9, $C$13, 100%, $E$13) + CHOOSE(CONTROL!$C$28, 0, 0)</f>
        <v>852.36534179413002</v>
      </c>
    </row>
    <row r="928" spans="1:5" ht="15">
      <c r="A928" s="13">
        <v>69763</v>
      </c>
      <c r="B928" s="4">
        <f>155.3039 * CHOOSE(CONTROL!$C$9, $C$13, 100%, $E$13) + CHOOSE(CONTROL!$C$28, 0.0003, 0)</f>
        <v>155.30420000000001</v>
      </c>
      <c r="C928" s="4">
        <f>154.9914 * CHOOSE(CONTROL!$C$9, $C$13, 100%, $E$13) + CHOOSE(CONTROL!$C$28, 0.0003, 0)</f>
        <v>154.99170000000001</v>
      </c>
      <c r="D928" s="4">
        <f>122.208 * CHOOSE(CONTROL!$C$9, $C$13, 100%, $E$13) + CHOOSE(CONTROL!$C$28, 0, 0)</f>
        <v>122.208</v>
      </c>
      <c r="E928" s="4">
        <f>839.016169144543 * CHOOSE(CONTROL!$C$9, $C$13, 100%, $E$13) + CHOOSE(CONTROL!$C$28, 0, 0)</f>
        <v>839.01616914454303</v>
      </c>
    </row>
    <row r="929" spans="1:5" ht="15">
      <c r="A929" s="13">
        <v>69794</v>
      </c>
      <c r="B929" s="4">
        <f>151.3376 * CHOOSE(CONTROL!$C$9, $C$13, 100%, $E$13) + CHOOSE(CONTROL!$C$28, 0.0003, 0)</f>
        <v>151.33790000000002</v>
      </c>
      <c r="C929" s="4">
        <f>151.0251 * CHOOSE(CONTROL!$C$9, $C$13, 100%, $E$13) + CHOOSE(CONTROL!$C$28, 0.0003, 0)</f>
        <v>151.02540000000002</v>
      </c>
      <c r="D929" s="4">
        <f>118.1052 * CHOOSE(CONTROL!$C$9, $C$13, 100%, $E$13) + CHOOSE(CONTROL!$C$28, 0, 0)</f>
        <v>118.1052</v>
      </c>
      <c r="E929" s="4">
        <f>814.956382649746 * CHOOSE(CONTROL!$C$9, $C$13, 100%, $E$13) + CHOOSE(CONTROL!$C$28, 0, 0)</f>
        <v>814.95638264974605</v>
      </c>
    </row>
    <row r="930" spans="1:5" ht="15">
      <c r="A930" s="13">
        <v>69822</v>
      </c>
      <c r="B930" s="4">
        <f>154.8864 * CHOOSE(CONTROL!$C$9, $C$13, 100%, $E$13) + CHOOSE(CONTROL!$C$28, 0.0003, 0)</f>
        <v>154.88670000000002</v>
      </c>
      <c r="C930" s="4">
        <f>154.5739 * CHOOSE(CONTROL!$C$9, $C$13, 100%, $E$13) + CHOOSE(CONTROL!$C$28, 0.0003, 0)</f>
        <v>154.57420000000002</v>
      </c>
      <c r="D930" s="4">
        <f>122.2367 * CHOOSE(CONTROL!$C$9, $C$13, 100%, $E$13) + CHOOSE(CONTROL!$C$28, 0, 0)</f>
        <v>122.2367</v>
      </c>
      <c r="E930" s="4">
        <f>834.306658843154 * CHOOSE(CONTROL!$C$9, $C$13, 100%, $E$13) + CHOOSE(CONTROL!$C$28, 0, 0)</f>
        <v>834.30665884315397</v>
      </c>
    </row>
    <row r="931" spans="1:5" ht="15">
      <c r="A931" s="13">
        <v>69853</v>
      </c>
      <c r="B931" s="4">
        <f>164.2059 * CHOOSE(CONTROL!$C$9, $C$13, 100%, $E$13) + CHOOSE(CONTROL!$C$28, 0.0003, 0)</f>
        <v>164.20620000000002</v>
      </c>
      <c r="C931" s="4">
        <f>163.8934 * CHOOSE(CONTROL!$C$9, $C$13, 100%, $E$13) + CHOOSE(CONTROL!$C$28, 0.0003, 0)</f>
        <v>163.89370000000002</v>
      </c>
      <c r="D931" s="4">
        <f>128.7043 * CHOOSE(CONTROL!$C$9, $C$13, 100%, $E$13) + CHOOSE(CONTROL!$C$28, 0, 0)</f>
        <v>128.70429999999999</v>
      </c>
      <c r="E931" s="4">
        <f>885.12151246317 * CHOOSE(CONTROL!$C$9, $C$13, 100%, $E$13) + CHOOSE(CONTROL!$C$28, 0, 0)</f>
        <v>885.12151246317001</v>
      </c>
    </row>
    <row r="932" spans="1:5" ht="15">
      <c r="A932" s="13">
        <v>69883</v>
      </c>
      <c r="B932" s="4">
        <f>170.8274 * CHOOSE(CONTROL!$C$9, $C$13, 100%, $E$13) + CHOOSE(CONTROL!$C$28, 0.0003, 0)</f>
        <v>170.82770000000002</v>
      </c>
      <c r="C932" s="4">
        <f>170.5149 * CHOOSE(CONTROL!$C$9, $C$13, 100%, $E$13) + CHOOSE(CONTROL!$C$28, 0.0003, 0)</f>
        <v>170.51520000000002</v>
      </c>
      <c r="D932" s="4">
        <f>132.4299 * CHOOSE(CONTROL!$C$9, $C$13, 100%, $E$13) + CHOOSE(CONTROL!$C$28, 0, 0)</f>
        <v>132.4299</v>
      </c>
      <c r="E932" s="4">
        <f>921.226143157155 * CHOOSE(CONTROL!$C$9, $C$13, 100%, $E$13) + CHOOSE(CONTROL!$C$28, 0, 0)</f>
        <v>921.22614315715498</v>
      </c>
    </row>
    <row r="933" spans="1:5" ht="15">
      <c r="A933" s="13">
        <v>69914</v>
      </c>
      <c r="B933" s="4">
        <f>174.8731 * CHOOSE(CONTROL!$C$9, $C$13, 100%, $E$13) + CHOOSE(CONTROL!$C$28, 0.0271, 0)</f>
        <v>174.90019999999998</v>
      </c>
      <c r="C933" s="4">
        <f>174.5606 * CHOOSE(CONTROL!$C$9, $C$13, 100%, $E$13) + CHOOSE(CONTROL!$C$28, 0.0271, 0)</f>
        <v>174.58769999999998</v>
      </c>
      <c r="D933" s="4">
        <f>130.9577 * CHOOSE(CONTROL!$C$9, $C$13, 100%, $E$13) + CHOOSE(CONTROL!$C$28, 0, 0)</f>
        <v>130.95769999999999</v>
      </c>
      <c r="E933" s="4">
        <f>943.285207203949 * CHOOSE(CONTROL!$C$9, $C$13, 100%, $E$13) + CHOOSE(CONTROL!$C$28, 0, 0)</f>
        <v>943.28520720394897</v>
      </c>
    </row>
    <row r="934" spans="1:5" ht="15">
      <c r="A934" s="13">
        <v>69944</v>
      </c>
      <c r="B934" s="4">
        <f>175.4205 * CHOOSE(CONTROL!$C$9, $C$13, 100%, $E$13) + CHOOSE(CONTROL!$C$28, 0.0271, 0)</f>
        <v>175.44759999999999</v>
      </c>
      <c r="C934" s="4">
        <f>175.108 * CHOOSE(CONTROL!$C$9, $C$13, 100%, $E$13) + CHOOSE(CONTROL!$C$28, 0.0271, 0)</f>
        <v>175.13509999999999</v>
      </c>
      <c r="D934" s="4">
        <f>132.1567 * CHOOSE(CONTROL!$C$9, $C$13, 100%, $E$13) + CHOOSE(CONTROL!$C$28, 0, 0)</f>
        <v>132.1567</v>
      </c>
      <c r="E934" s="4">
        <f>946.269890116477 * CHOOSE(CONTROL!$C$9, $C$13, 100%, $E$13) + CHOOSE(CONTROL!$C$28, 0, 0)</f>
        <v>946.26989011647697</v>
      </c>
    </row>
    <row r="935" spans="1:5" ht="15">
      <c r="A935" s="13">
        <v>69975</v>
      </c>
      <c r="B935" s="4">
        <f>175.3653 * CHOOSE(CONTROL!$C$9, $C$13, 100%, $E$13) + CHOOSE(CONTROL!$C$28, 0.0271, 0)</f>
        <v>175.39239999999998</v>
      </c>
      <c r="C935" s="4">
        <f>175.0528 * CHOOSE(CONTROL!$C$9, $C$13, 100%, $E$13) + CHOOSE(CONTROL!$C$28, 0.0271, 0)</f>
        <v>175.07989999999998</v>
      </c>
      <c r="D935" s="4">
        <f>134.3201 * CHOOSE(CONTROL!$C$9, $C$13, 100%, $E$13) + CHOOSE(CONTROL!$C$28, 0, 0)</f>
        <v>134.3201</v>
      </c>
      <c r="E935" s="4">
        <f>945.968913688323 * CHOOSE(CONTROL!$C$9, $C$13, 100%, $E$13) + CHOOSE(CONTROL!$C$28, 0, 0)</f>
        <v>945.96891368832303</v>
      </c>
    </row>
    <row r="936" spans="1:5" ht="15">
      <c r="A936" s="13">
        <v>70006</v>
      </c>
      <c r="B936" s="4">
        <f>179.519 * CHOOSE(CONTROL!$C$9, $C$13, 100%, $E$13) + CHOOSE(CONTROL!$C$28, 0.0271, 0)</f>
        <v>179.5461</v>
      </c>
      <c r="C936" s="4">
        <f>179.2065 * CHOOSE(CONTROL!$C$9, $C$13, 100%, $E$13) + CHOOSE(CONTROL!$C$28, 0.0271, 0)</f>
        <v>179.2336</v>
      </c>
      <c r="D936" s="4">
        <f>132.8914 * CHOOSE(CONTROL!$C$9, $C$13, 100%, $E$13) + CHOOSE(CONTROL!$C$28, 0, 0)</f>
        <v>132.8914</v>
      </c>
      <c r="E936" s="4">
        <f>968.617389906919 * CHOOSE(CONTROL!$C$9, $C$13, 100%, $E$13) + CHOOSE(CONTROL!$C$28, 0, 0)</f>
        <v>968.61738990691902</v>
      </c>
    </row>
    <row r="937" spans="1:5" ht="15">
      <c r="A937" s="13">
        <v>70036</v>
      </c>
      <c r="B937" s="4">
        <f>172.4397 * CHOOSE(CONTROL!$C$9, $C$13, 100%, $E$13) + CHOOSE(CONTROL!$C$28, 0.0271, 0)</f>
        <v>172.46679999999998</v>
      </c>
      <c r="C937" s="4">
        <f>172.1272 * CHOOSE(CONTROL!$C$9, $C$13, 100%, $E$13) + CHOOSE(CONTROL!$C$28, 0.0271, 0)</f>
        <v>172.15429999999998</v>
      </c>
      <c r="D937" s="4">
        <f>132.2163 * CHOOSE(CONTROL!$C$9, $C$13, 100%, $E$13) + CHOOSE(CONTROL!$C$28, 0, 0)</f>
        <v>132.21629999999999</v>
      </c>
      <c r="E937" s="4">
        <f>930.017162996156 * CHOOSE(CONTROL!$C$9, $C$13, 100%, $E$13) + CHOOSE(CONTROL!$C$28, 0, 0)</f>
        <v>930.017162996156</v>
      </c>
    </row>
    <row r="938" spans="1:5" ht="15">
      <c r="A938" s="13">
        <v>70067</v>
      </c>
      <c r="B938" s="4">
        <f>166.7726 * CHOOSE(CONTROL!$C$9, $C$13, 100%, $E$13) + CHOOSE(CONTROL!$C$28, 0.0003, 0)</f>
        <v>166.77290000000002</v>
      </c>
      <c r="C938" s="4">
        <f>166.4601 * CHOOSE(CONTROL!$C$9, $C$13, 100%, $E$13) + CHOOSE(CONTROL!$C$28, 0.0003, 0)</f>
        <v>166.46040000000002</v>
      </c>
      <c r="D938" s="4">
        <f>130.4089 * CHOOSE(CONTROL!$C$9, $C$13, 100%, $E$13) + CHOOSE(CONTROL!$C$28, 0, 0)</f>
        <v>130.40889999999999</v>
      </c>
      <c r="E938" s="4">
        <f>899.116916372335 * CHOOSE(CONTROL!$C$9, $C$13, 100%, $E$13) + CHOOSE(CONTROL!$C$28, 0, 0)</f>
        <v>899.11691637233503</v>
      </c>
    </row>
    <row r="939" spans="1:5" ht="15">
      <c r="A939" s="13">
        <v>70097</v>
      </c>
      <c r="B939" s="4">
        <f>163.1226 * CHOOSE(CONTROL!$C$9, $C$13, 100%, $E$13) + CHOOSE(CONTROL!$C$28, 0.0003, 0)</f>
        <v>163.12290000000002</v>
      </c>
      <c r="C939" s="4">
        <f>162.8101 * CHOOSE(CONTROL!$C$9, $C$13, 100%, $E$13) + CHOOSE(CONTROL!$C$28, 0.0003, 0)</f>
        <v>162.81040000000002</v>
      </c>
      <c r="D939" s="4">
        <f>129.7875 * CHOOSE(CONTROL!$C$9, $C$13, 100%, $E$13) + CHOOSE(CONTROL!$C$28, 0, 0)</f>
        <v>129.78749999999999</v>
      </c>
      <c r="E939" s="4">
        <f>879.214850060646 * CHOOSE(CONTROL!$C$9, $C$13, 100%, $E$13) + CHOOSE(CONTROL!$C$28, 0, 0)</f>
        <v>879.21485006064597</v>
      </c>
    </row>
    <row r="940" spans="1:5" ht="15">
      <c r="A940" s="13">
        <v>70128</v>
      </c>
      <c r="B940" s="4">
        <f>160.5972 * CHOOSE(CONTROL!$C$9, $C$13, 100%, $E$13) + CHOOSE(CONTROL!$C$28, 0.0003, 0)</f>
        <v>160.5975</v>
      </c>
      <c r="C940" s="4">
        <f>160.2847 * CHOOSE(CONTROL!$C$9, $C$13, 100%, $E$13) + CHOOSE(CONTROL!$C$28, 0.0003, 0)</f>
        <v>160.285</v>
      </c>
      <c r="D940" s="4">
        <f>125.2128 * CHOOSE(CONTROL!$C$9, $C$13, 100%, $E$13) + CHOOSE(CONTROL!$C$28, 0, 0)</f>
        <v>125.2128</v>
      </c>
      <c r="E940" s="4">
        <f>865.445178472596 * CHOOSE(CONTROL!$C$9, $C$13, 100%, $E$13) + CHOOSE(CONTROL!$C$28, 0, 0)</f>
        <v>865.44517847259601</v>
      </c>
    </row>
    <row r="941" spans="1:5" ht="15">
      <c r="A941" s="13">
        <v>70159</v>
      </c>
      <c r="B941" s="4">
        <f>156.4941 * CHOOSE(CONTROL!$C$9, $C$13, 100%, $E$13) + CHOOSE(CONTROL!$C$28, 0.0003, 0)</f>
        <v>156.49440000000001</v>
      </c>
      <c r="C941" s="4">
        <f>156.1816 * CHOOSE(CONTROL!$C$9, $C$13, 100%, $E$13) + CHOOSE(CONTROL!$C$28, 0.0003, 0)</f>
        <v>156.18190000000001</v>
      </c>
      <c r="D941" s="4">
        <f>121.0083 * CHOOSE(CONTROL!$C$9, $C$13, 100%, $E$13) + CHOOSE(CONTROL!$C$28, 0, 0)</f>
        <v>121.00830000000001</v>
      </c>
      <c r="E941" s="4">
        <f>840.627508703213 * CHOOSE(CONTROL!$C$9, $C$13, 100%, $E$13) + CHOOSE(CONTROL!$C$28, 0, 0)</f>
        <v>840.62750870321304</v>
      </c>
    </row>
    <row r="942" spans="1:5" ht="15">
      <c r="A942" s="13">
        <v>70188</v>
      </c>
      <c r="B942" s="4">
        <f>160.1653 * CHOOSE(CONTROL!$C$9, $C$13, 100%, $E$13) + CHOOSE(CONTROL!$C$28, 0.0003, 0)</f>
        <v>160.16560000000001</v>
      </c>
      <c r="C942" s="4">
        <f>159.8528 * CHOOSE(CONTROL!$C$9, $C$13, 100%, $E$13) + CHOOSE(CONTROL!$C$28, 0.0003, 0)</f>
        <v>159.85310000000001</v>
      </c>
      <c r="D942" s="4">
        <f>125.2423 * CHOOSE(CONTROL!$C$9, $C$13, 100%, $E$13) + CHOOSE(CONTROL!$C$28, 0, 0)</f>
        <v>125.2423</v>
      </c>
      <c r="E942" s="4">
        <f>860.587318596713 * CHOOSE(CONTROL!$C$9, $C$13, 100%, $E$13) + CHOOSE(CONTROL!$C$28, 0, 0)</f>
        <v>860.58731859671298</v>
      </c>
    </row>
    <row r="943" spans="1:5" ht="15">
      <c r="A943" s="13">
        <v>70219</v>
      </c>
      <c r="B943" s="4">
        <f>169.8063 * CHOOSE(CONTROL!$C$9, $C$13, 100%, $E$13) + CHOOSE(CONTROL!$C$28, 0.0003, 0)</f>
        <v>169.8066</v>
      </c>
      <c r="C943" s="4">
        <f>169.4938 * CHOOSE(CONTROL!$C$9, $C$13, 100%, $E$13) + CHOOSE(CONTROL!$C$28, 0.0003, 0)</f>
        <v>169.4941</v>
      </c>
      <c r="D943" s="4">
        <f>131.8703 * CHOOSE(CONTROL!$C$9, $C$13, 100%, $E$13) + CHOOSE(CONTROL!$C$28, 0, 0)</f>
        <v>131.87029999999999</v>
      </c>
      <c r="E943" s="4">
        <f>913.00284010576 * CHOOSE(CONTROL!$C$9, $C$13, 100%, $E$13) + CHOOSE(CONTROL!$C$28, 0, 0)</f>
        <v>913.00284010576001</v>
      </c>
    </row>
    <row r="944" spans="1:5" ht="15">
      <c r="A944" s="13">
        <v>70249</v>
      </c>
      <c r="B944" s="4">
        <f>176.6563 * CHOOSE(CONTROL!$C$9, $C$13, 100%, $E$13) + CHOOSE(CONTROL!$C$28, 0.0003, 0)</f>
        <v>176.6566</v>
      </c>
      <c r="C944" s="4">
        <f>176.3438 * CHOOSE(CONTROL!$C$9, $C$13, 100%, $E$13) + CHOOSE(CONTROL!$C$28, 0.0003, 0)</f>
        <v>176.3441</v>
      </c>
      <c r="D944" s="4">
        <f>135.6883 * CHOOSE(CONTROL!$C$9, $C$13, 100%, $E$13) + CHOOSE(CONTROL!$C$28, 0, 0)</f>
        <v>135.6883</v>
      </c>
      <c r="E944" s="4">
        <f>950.244766666606 * CHOOSE(CONTROL!$C$9, $C$13, 100%, $E$13) + CHOOSE(CONTROL!$C$28, 0, 0)</f>
        <v>950.24476666660598</v>
      </c>
    </row>
    <row r="945" spans="1:5" ht="15">
      <c r="A945" s="13">
        <v>70280</v>
      </c>
      <c r="B945" s="4">
        <f>180.8415 * CHOOSE(CONTROL!$C$9, $C$13, 100%, $E$13) + CHOOSE(CONTROL!$C$28, 0.0271, 0)</f>
        <v>180.86859999999999</v>
      </c>
      <c r="C945" s="4">
        <f>180.529 * CHOOSE(CONTROL!$C$9, $C$13, 100%, $E$13) + CHOOSE(CONTROL!$C$28, 0.0271, 0)</f>
        <v>180.55609999999999</v>
      </c>
      <c r="D945" s="4">
        <f>134.1796 * CHOOSE(CONTROL!$C$9, $C$13, 100%, $E$13) + CHOOSE(CONTROL!$C$28, 0, 0)</f>
        <v>134.17959999999999</v>
      </c>
      <c r="E945" s="4">
        <f>972.998691230873 * CHOOSE(CONTROL!$C$9, $C$13, 100%, $E$13) + CHOOSE(CONTROL!$C$28, 0, 0)</f>
        <v>972.99869123087296</v>
      </c>
    </row>
    <row r="946" spans="1:5" ht="15">
      <c r="A946" s="13">
        <v>70310</v>
      </c>
      <c r="B946" s="4">
        <f>181.4078 * CHOOSE(CONTROL!$C$9, $C$13, 100%, $E$13) + CHOOSE(CONTROL!$C$28, 0.0271, 0)</f>
        <v>181.4349</v>
      </c>
      <c r="C946" s="4">
        <f>181.0953 * CHOOSE(CONTROL!$C$9, $C$13, 100%, $E$13) + CHOOSE(CONTROL!$C$28, 0.0271, 0)</f>
        <v>181.1224</v>
      </c>
      <c r="D946" s="4">
        <f>135.4083 * CHOOSE(CONTROL!$C$9, $C$13, 100%, $E$13) + CHOOSE(CONTROL!$C$28, 0, 0)</f>
        <v>135.4083</v>
      </c>
      <c r="E946" s="4">
        <f>976.077391655146 * CHOOSE(CONTROL!$C$9, $C$13, 100%, $E$13) + CHOOSE(CONTROL!$C$28, 0, 0)</f>
        <v>976.07739165514602</v>
      </c>
    </row>
    <row r="947" spans="1:5" ht="15">
      <c r="A947" s="13">
        <v>70341</v>
      </c>
      <c r="B947" s="4">
        <f>181.3507 * CHOOSE(CONTROL!$C$9, $C$13, 100%, $E$13) + CHOOSE(CONTROL!$C$28, 0.0271, 0)</f>
        <v>181.37779999999998</v>
      </c>
      <c r="C947" s="4">
        <f>181.0382 * CHOOSE(CONTROL!$C$9, $C$13, 100%, $E$13) + CHOOSE(CONTROL!$C$28, 0.0271, 0)</f>
        <v>181.06529999999998</v>
      </c>
      <c r="D947" s="4">
        <f>137.6253 * CHOOSE(CONTROL!$C$9, $C$13, 100%, $E$13) + CHOOSE(CONTROL!$C$28, 0, 0)</f>
        <v>137.62530000000001</v>
      </c>
      <c r="E947" s="4">
        <f>975.766934469505 * CHOOSE(CONTROL!$C$9, $C$13, 100%, $E$13) + CHOOSE(CONTROL!$C$28, 0, 0)</f>
        <v>975.76693446950503</v>
      </c>
    </row>
    <row r="948" spans="1:5" ht="15">
      <c r="A948" s="13">
        <v>70372</v>
      </c>
      <c r="B948" s="4">
        <f>185.6477 * CHOOSE(CONTROL!$C$9, $C$13, 100%, $E$13) + CHOOSE(CONTROL!$C$28, 0.0271, 0)</f>
        <v>185.67479999999998</v>
      </c>
      <c r="C948" s="4">
        <f>185.3352 * CHOOSE(CONTROL!$C$9, $C$13, 100%, $E$13) + CHOOSE(CONTROL!$C$28, 0.0271, 0)</f>
        <v>185.36229999999998</v>
      </c>
      <c r="D948" s="4">
        <f>136.1612 * CHOOSE(CONTROL!$C$9, $C$13, 100%, $E$13) + CHOOSE(CONTROL!$C$28, 0, 0)</f>
        <v>136.16120000000001</v>
      </c>
      <c r="E948" s="4">
        <f>999.128837688987 * CHOOSE(CONTROL!$C$9, $C$13, 100%, $E$13) + CHOOSE(CONTROL!$C$28, 0, 0)</f>
        <v>999.12883768898701</v>
      </c>
    </row>
    <row r="949" spans="1:5" ht="15">
      <c r="A949" s="13">
        <v>70402</v>
      </c>
      <c r="B949" s="4">
        <f>178.3242 * CHOOSE(CONTROL!$C$9, $C$13, 100%, $E$13) + CHOOSE(CONTROL!$C$28, 0.0271, 0)</f>
        <v>178.35129999999998</v>
      </c>
      <c r="C949" s="4">
        <f>178.0117 * CHOOSE(CONTROL!$C$9, $C$13, 100%, $E$13) + CHOOSE(CONTROL!$C$28, 0.0271, 0)</f>
        <v>178.03879999999998</v>
      </c>
      <c r="D949" s="4">
        <f>135.4694 * CHOOSE(CONTROL!$C$9, $C$13, 100%, $E$13) + CHOOSE(CONTROL!$C$28, 0, 0)</f>
        <v>135.46940000000001</v>
      </c>
      <c r="E949" s="4">
        <f>959.312703630535 * CHOOSE(CONTROL!$C$9, $C$13, 100%, $E$13) + CHOOSE(CONTROL!$C$28, 0, 0)</f>
        <v>959.312703630535</v>
      </c>
    </row>
    <row r="950" spans="1:5" ht="15">
      <c r="A950" s="13">
        <v>70433</v>
      </c>
      <c r="B950" s="4">
        <f>172.4616 * CHOOSE(CONTROL!$C$9, $C$13, 100%, $E$13) + CHOOSE(CONTROL!$C$28, 0.0003, 0)</f>
        <v>172.46190000000001</v>
      </c>
      <c r="C950" s="4">
        <f>172.1491 * CHOOSE(CONTROL!$C$9, $C$13, 100%, $E$13) + CHOOSE(CONTROL!$C$28, 0.0003, 0)</f>
        <v>172.14940000000001</v>
      </c>
      <c r="D950" s="4">
        <f>133.6172 * CHOOSE(CONTROL!$C$9, $C$13, 100%, $E$13) + CHOOSE(CONTROL!$C$28, 0, 0)</f>
        <v>133.6172</v>
      </c>
      <c r="E950" s="4">
        <f>927.439099238064 * CHOOSE(CONTROL!$C$9, $C$13, 100%, $E$13) + CHOOSE(CONTROL!$C$28, 0, 0)</f>
        <v>927.43909923806405</v>
      </c>
    </row>
    <row r="951" spans="1:5" ht="15">
      <c r="A951" s="13">
        <v>70463</v>
      </c>
      <c r="B951" s="4">
        <f>168.6856 * CHOOSE(CONTROL!$C$9, $C$13, 100%, $E$13) + CHOOSE(CONTROL!$C$28, 0.0003, 0)</f>
        <v>168.6859</v>
      </c>
      <c r="C951" s="4">
        <f>168.3731 * CHOOSE(CONTROL!$C$9, $C$13, 100%, $E$13) + CHOOSE(CONTROL!$C$28, 0.0003, 0)</f>
        <v>168.3734</v>
      </c>
      <c r="D951" s="4">
        <f>132.9804 * CHOOSE(CONTROL!$C$9, $C$13, 100%, $E$13) + CHOOSE(CONTROL!$C$28, 0, 0)</f>
        <v>132.9804</v>
      </c>
      <c r="E951" s="4">
        <f>906.910117837556 * CHOOSE(CONTROL!$C$9, $C$13, 100%, $E$13) + CHOOSE(CONTROL!$C$28, 0, 0)</f>
        <v>906.91011783755596</v>
      </c>
    </row>
    <row r="952" spans="1:5" ht="15">
      <c r="A952" s="13">
        <v>70494</v>
      </c>
      <c r="B952" s="4">
        <f>166.0732 * CHOOSE(CONTROL!$C$9, $C$13, 100%, $E$13) + CHOOSE(CONTROL!$C$28, 0.0003, 0)</f>
        <v>166.07350000000002</v>
      </c>
      <c r="C952" s="4">
        <f>165.7607 * CHOOSE(CONTROL!$C$9, $C$13, 100%, $E$13) + CHOOSE(CONTROL!$C$28, 0.0003, 0)</f>
        <v>165.76100000000002</v>
      </c>
      <c r="D952" s="4">
        <f>128.2922 * CHOOSE(CONTROL!$C$9, $C$13, 100%, $E$13) + CHOOSE(CONTROL!$C$28, 0, 0)</f>
        <v>128.29220000000001</v>
      </c>
      <c r="E952" s="4">
        <f>892.706701594483 * CHOOSE(CONTROL!$C$9, $C$13, 100%, $E$13) + CHOOSE(CONTROL!$C$28, 0, 0)</f>
        <v>892.70670159448298</v>
      </c>
    </row>
    <row r="953" spans="1:5" ht="15">
      <c r="A953" s="13">
        <v>70525</v>
      </c>
      <c r="B953" s="4">
        <f>161.8284 * CHOOSE(CONTROL!$C$9, $C$13, 100%, $E$13) + CHOOSE(CONTROL!$C$28, 0.0003, 0)</f>
        <v>161.8287</v>
      </c>
      <c r="C953" s="4">
        <f>161.5159 * CHOOSE(CONTROL!$C$9, $C$13, 100%, $E$13) + CHOOSE(CONTROL!$C$28, 0.0003, 0)</f>
        <v>161.5162</v>
      </c>
      <c r="D953" s="4">
        <f>123.9834 * CHOOSE(CONTROL!$C$9, $C$13, 100%, $E$13) + CHOOSE(CONTROL!$C$28, 0, 0)</f>
        <v>123.9834</v>
      </c>
      <c r="E953" s="4">
        <f>867.107275227365 * CHOOSE(CONTROL!$C$9, $C$13, 100%, $E$13) + CHOOSE(CONTROL!$C$28, 0, 0)</f>
        <v>867.10727522736499</v>
      </c>
    </row>
    <row r="954" spans="1:5" ht="15">
      <c r="A954" s="13">
        <v>70553</v>
      </c>
      <c r="B954" s="4">
        <f>165.6264 * CHOOSE(CONTROL!$C$9, $C$13, 100%, $E$13) + CHOOSE(CONTROL!$C$28, 0.0003, 0)</f>
        <v>165.6267</v>
      </c>
      <c r="C954" s="4">
        <f>165.3139 * CHOOSE(CONTROL!$C$9, $C$13, 100%, $E$13) + CHOOSE(CONTROL!$C$28, 0.0003, 0)</f>
        <v>165.3142</v>
      </c>
      <c r="D954" s="4">
        <f>128.3224 * CHOOSE(CONTROL!$C$9, $C$13, 100%, $E$13) + CHOOSE(CONTROL!$C$28, 0, 0)</f>
        <v>128.32239999999999</v>
      </c>
      <c r="E954" s="4">
        <f>887.69581913251 * CHOOSE(CONTROL!$C$9, $C$13, 100%, $E$13) + CHOOSE(CONTROL!$C$28, 0, 0)</f>
        <v>887.69581913251</v>
      </c>
    </row>
    <row r="955" spans="1:5" ht="15">
      <c r="A955" s="13">
        <v>70584</v>
      </c>
      <c r="B955" s="4">
        <f>175.5999 * CHOOSE(CONTROL!$C$9, $C$13, 100%, $E$13) + CHOOSE(CONTROL!$C$28, 0.0003, 0)</f>
        <v>175.6002</v>
      </c>
      <c r="C955" s="4">
        <f>175.2874 * CHOOSE(CONTROL!$C$9, $C$13, 100%, $E$13) + CHOOSE(CONTROL!$C$28, 0.0003, 0)</f>
        <v>175.2877</v>
      </c>
      <c r="D955" s="4">
        <f>135.1148 * CHOOSE(CONTROL!$C$9, $C$13, 100%, $E$13) + CHOOSE(CONTROL!$C$28, 0, 0)</f>
        <v>135.1148</v>
      </c>
      <c r="E955" s="4">
        <f>941.762429569091 * CHOOSE(CONTROL!$C$9, $C$13, 100%, $E$13) + CHOOSE(CONTROL!$C$28, 0, 0)</f>
        <v>941.76242956909095</v>
      </c>
    </row>
    <row r="956" spans="1:5" ht="15">
      <c r="A956" s="13">
        <v>70614</v>
      </c>
      <c r="B956" s="4">
        <f>182.6863 * CHOOSE(CONTROL!$C$9, $C$13, 100%, $E$13) + CHOOSE(CONTROL!$C$28, 0.0003, 0)</f>
        <v>182.6866</v>
      </c>
      <c r="C956" s="4">
        <f>182.3738 * CHOOSE(CONTROL!$C$9, $C$13, 100%, $E$13) + CHOOSE(CONTROL!$C$28, 0.0003, 0)</f>
        <v>182.3741</v>
      </c>
      <c r="D956" s="4">
        <f>139.0274 * CHOOSE(CONTROL!$C$9, $C$13, 100%, $E$13) + CHOOSE(CONTROL!$C$28, 0, 0)</f>
        <v>139.0274</v>
      </c>
      <c r="E956" s="4">
        <f>980.177476816604 * CHOOSE(CONTROL!$C$9, $C$13, 100%, $E$13) + CHOOSE(CONTROL!$C$28, 0, 0)</f>
        <v>980.17747681660398</v>
      </c>
    </row>
    <row r="957" spans="1:5" ht="15">
      <c r="A957" s="13">
        <v>70645</v>
      </c>
      <c r="B957" s="4">
        <f>187.0158 * CHOOSE(CONTROL!$C$9, $C$13, 100%, $E$13) + CHOOSE(CONTROL!$C$28, 0.0271, 0)</f>
        <v>187.0429</v>
      </c>
      <c r="C957" s="4">
        <f>186.7033 * CHOOSE(CONTROL!$C$9, $C$13, 100%, $E$13) + CHOOSE(CONTROL!$C$28, 0.0271, 0)</f>
        <v>186.7304</v>
      </c>
      <c r="D957" s="4">
        <f>137.4814 * CHOOSE(CONTROL!$C$9, $C$13, 100%, $E$13) + CHOOSE(CONTROL!$C$28, 0, 0)</f>
        <v>137.48140000000001</v>
      </c>
      <c r="E957" s="4">
        <f>1003.64815000465 * CHOOSE(CONTROL!$C$9, $C$13, 100%, $E$13) + CHOOSE(CONTROL!$C$28, 0, 0)</f>
        <v>1003.64815000465</v>
      </c>
    </row>
    <row r="958" spans="1:5" ht="15">
      <c r="A958" s="13">
        <v>70675</v>
      </c>
      <c r="B958" s="4">
        <f>187.6017 * CHOOSE(CONTROL!$C$9, $C$13, 100%, $E$13) + CHOOSE(CONTROL!$C$28, 0.0271, 0)</f>
        <v>187.62879999999998</v>
      </c>
      <c r="C958" s="4">
        <f>187.2892 * CHOOSE(CONTROL!$C$9, $C$13, 100%, $E$13) + CHOOSE(CONTROL!$C$28, 0.0271, 0)</f>
        <v>187.31629999999998</v>
      </c>
      <c r="D958" s="4">
        <f>138.7405 * CHOOSE(CONTROL!$C$9, $C$13, 100%, $E$13) + CHOOSE(CONTROL!$C$28, 0, 0)</f>
        <v>138.7405</v>
      </c>
      <c r="E958" s="4">
        <f>1006.82382949228 * CHOOSE(CONTROL!$C$9, $C$13, 100%, $E$13) + CHOOSE(CONTROL!$C$28, 0, 0)</f>
        <v>1006.82382949228</v>
      </c>
    </row>
    <row r="959" spans="1:5" ht="15">
      <c r="A959" s="13">
        <v>70706</v>
      </c>
      <c r="B959" s="4">
        <f>187.5426 * CHOOSE(CONTROL!$C$9, $C$13, 100%, $E$13) + CHOOSE(CONTROL!$C$28, 0.0271, 0)</f>
        <v>187.56969999999998</v>
      </c>
      <c r="C959" s="4">
        <f>187.2301 * CHOOSE(CONTROL!$C$9, $C$13, 100%, $E$13) + CHOOSE(CONTROL!$C$28, 0.0271, 0)</f>
        <v>187.25719999999998</v>
      </c>
      <c r="D959" s="4">
        <f>141.0125 * CHOOSE(CONTROL!$C$9, $C$13, 100%, $E$13) + CHOOSE(CONTROL!$C$28, 0, 0)</f>
        <v>141.01249999999999</v>
      </c>
      <c r="E959" s="4">
        <f>1006.50359290529 * CHOOSE(CONTROL!$C$9, $C$13, 100%, $E$13) + CHOOSE(CONTROL!$C$28, 0, 0)</f>
        <v>1006.50359290529</v>
      </c>
    </row>
    <row r="960" spans="1:5" ht="15">
      <c r="A960" s="13">
        <v>70737</v>
      </c>
      <c r="B960" s="4">
        <f>191.9878 * CHOOSE(CONTROL!$C$9, $C$13, 100%, $E$13) + CHOOSE(CONTROL!$C$28, 0.0271, 0)</f>
        <v>192.01489999999998</v>
      </c>
      <c r="C960" s="4">
        <f>191.6753 * CHOOSE(CONTROL!$C$9, $C$13, 100%, $E$13) + CHOOSE(CONTROL!$C$28, 0.0271, 0)</f>
        <v>191.70239999999998</v>
      </c>
      <c r="D960" s="4">
        <f>139.5121 * CHOOSE(CONTROL!$C$9, $C$13, 100%, $E$13) + CHOOSE(CONTROL!$C$28, 0, 0)</f>
        <v>139.5121</v>
      </c>
      <c r="E960" s="4">
        <f>1030.60139607619 * CHOOSE(CONTROL!$C$9, $C$13, 100%, $E$13) + CHOOSE(CONTROL!$C$28, 0, 0)</f>
        <v>1030.60139607619</v>
      </c>
    </row>
    <row r="961" spans="1:5" ht="15">
      <c r="A961" s="13">
        <v>70767</v>
      </c>
      <c r="B961" s="4">
        <f>184.4117 * CHOOSE(CONTROL!$C$9, $C$13, 100%, $E$13) + CHOOSE(CONTROL!$C$28, 0.0271, 0)</f>
        <v>184.43879999999999</v>
      </c>
      <c r="C961" s="4">
        <f>184.0992 * CHOOSE(CONTROL!$C$9, $C$13, 100%, $E$13) + CHOOSE(CONTROL!$C$28, 0.0271, 0)</f>
        <v>184.12629999999999</v>
      </c>
      <c r="D961" s="4">
        <f>138.8032 * CHOOSE(CONTROL!$C$9, $C$13, 100%, $E$13) + CHOOSE(CONTROL!$C$28, 0, 0)</f>
        <v>138.8032</v>
      </c>
      <c r="E961" s="4">
        <f>989.531053794897 * CHOOSE(CONTROL!$C$9, $C$13, 100%, $E$13) + CHOOSE(CONTROL!$C$28, 0, 0)</f>
        <v>989.53105379489705</v>
      </c>
    </row>
    <row r="962" spans="1:5" ht="15">
      <c r="A962" s="13">
        <v>70798</v>
      </c>
      <c r="B962" s="4">
        <f>178.3468 * CHOOSE(CONTROL!$C$9, $C$13, 100%, $E$13) + CHOOSE(CONTROL!$C$28, 0.0003, 0)</f>
        <v>178.34710000000001</v>
      </c>
      <c r="C962" s="4">
        <f>178.0343 * CHOOSE(CONTROL!$C$9, $C$13, 100%, $E$13) + CHOOSE(CONTROL!$C$28, 0.0003, 0)</f>
        <v>178.03460000000001</v>
      </c>
      <c r="D962" s="4">
        <f>136.905 * CHOOSE(CONTROL!$C$9, $C$13, 100%, $E$13) + CHOOSE(CONTROL!$C$28, 0, 0)</f>
        <v>136.905</v>
      </c>
      <c r="E962" s="4">
        <f>956.653430864063 * CHOOSE(CONTROL!$C$9, $C$13, 100%, $E$13) + CHOOSE(CONTROL!$C$28, 0, 0)</f>
        <v>956.65343086406301</v>
      </c>
    </row>
    <row r="963" spans="1:5" ht="15">
      <c r="A963" s="13">
        <v>70828</v>
      </c>
      <c r="B963" s="4">
        <f>174.4406 * CHOOSE(CONTROL!$C$9, $C$13, 100%, $E$13) + CHOOSE(CONTROL!$C$28, 0.0003, 0)</f>
        <v>174.4409</v>
      </c>
      <c r="C963" s="4">
        <f>174.1281 * CHOOSE(CONTROL!$C$9, $C$13, 100%, $E$13) + CHOOSE(CONTROL!$C$28, 0.0003, 0)</f>
        <v>174.1284</v>
      </c>
      <c r="D963" s="4">
        <f>136.2524 * CHOOSE(CONTROL!$C$9, $C$13, 100%, $E$13) + CHOOSE(CONTROL!$C$28, 0, 0)</f>
        <v>136.25239999999999</v>
      </c>
      <c r="E963" s="4">
        <f>935.477786549439 * CHOOSE(CONTROL!$C$9, $C$13, 100%, $E$13) + CHOOSE(CONTROL!$C$28, 0, 0)</f>
        <v>935.47778654943897</v>
      </c>
    </row>
    <row r="964" spans="1:5" ht="15">
      <c r="A964" s="13">
        <v>70859</v>
      </c>
      <c r="B964" s="4">
        <f>171.738 * CHOOSE(CONTROL!$C$9, $C$13, 100%, $E$13) + CHOOSE(CONTROL!$C$28, 0.0003, 0)</f>
        <v>171.73830000000001</v>
      </c>
      <c r="C964" s="4">
        <f>171.4255 * CHOOSE(CONTROL!$C$9, $C$13, 100%, $E$13) + CHOOSE(CONTROL!$C$28, 0.0003, 0)</f>
        <v>171.42580000000001</v>
      </c>
      <c r="D964" s="4">
        <f>131.448 * CHOOSE(CONTROL!$C$9, $C$13, 100%, $E$13) + CHOOSE(CONTROL!$C$28, 0, 0)</f>
        <v>131.44800000000001</v>
      </c>
      <c r="E964" s="4">
        <f>920.826962694709 * CHOOSE(CONTROL!$C$9, $C$13, 100%, $E$13) + CHOOSE(CONTROL!$C$28, 0, 0)</f>
        <v>920.82696269470898</v>
      </c>
    </row>
    <row r="965" spans="1:5" ht="15">
      <c r="A965" s="13">
        <v>70890</v>
      </c>
      <c r="B965" s="4">
        <f>167.3468 * CHOOSE(CONTROL!$C$9, $C$13, 100%, $E$13) + CHOOSE(CONTROL!$C$28, 0.0003, 0)</f>
        <v>167.34710000000001</v>
      </c>
      <c r="C965" s="4">
        <f>167.0343 * CHOOSE(CONTROL!$C$9, $C$13, 100%, $E$13) + CHOOSE(CONTROL!$C$28, 0.0003, 0)</f>
        <v>167.03460000000001</v>
      </c>
      <c r="D965" s="4">
        <f>127.0323 * CHOOSE(CONTROL!$C$9, $C$13, 100%, $E$13) + CHOOSE(CONTROL!$C$28, 0, 0)</f>
        <v>127.03230000000001</v>
      </c>
      <c r="E965" s="4">
        <f>894.421154397027 * CHOOSE(CONTROL!$C$9, $C$13, 100%, $E$13) + CHOOSE(CONTROL!$C$28, 0, 0)</f>
        <v>894.42115439702695</v>
      </c>
    </row>
    <row r="966" spans="1:5" ht="15">
      <c r="A966" s="13">
        <v>70918</v>
      </c>
      <c r="B966" s="4">
        <f>171.2758 * CHOOSE(CONTROL!$C$9, $C$13, 100%, $E$13) + CHOOSE(CONTROL!$C$28, 0.0003, 0)</f>
        <v>171.27610000000001</v>
      </c>
      <c r="C966" s="4">
        <f>170.9633 * CHOOSE(CONTROL!$C$9, $C$13, 100%, $E$13) + CHOOSE(CONTROL!$C$28, 0.0003, 0)</f>
        <v>170.96360000000001</v>
      </c>
      <c r="D966" s="4">
        <f>131.4789 * CHOOSE(CONTROL!$C$9, $C$13, 100%, $E$13) + CHOOSE(CONTROL!$C$28, 0, 0)</f>
        <v>131.47890000000001</v>
      </c>
      <c r="E966" s="4">
        <f>915.658237435184 * CHOOSE(CONTROL!$C$9, $C$13, 100%, $E$13) + CHOOSE(CONTROL!$C$28, 0, 0)</f>
        <v>915.65823743518399</v>
      </c>
    </row>
    <row r="967" spans="1:5" ht="15">
      <c r="A967" s="13">
        <v>70949</v>
      </c>
      <c r="B967" s="4">
        <f>181.5934 * CHOOSE(CONTROL!$C$9, $C$13, 100%, $E$13) + CHOOSE(CONTROL!$C$28, 0.0003, 0)</f>
        <v>181.59370000000001</v>
      </c>
      <c r="C967" s="4">
        <f>181.2809 * CHOOSE(CONTROL!$C$9, $C$13, 100%, $E$13) + CHOOSE(CONTROL!$C$28, 0.0003, 0)</f>
        <v>181.28120000000001</v>
      </c>
      <c r="D967" s="4">
        <f>138.4398 * CHOOSE(CONTROL!$C$9, $C$13, 100%, $E$13) + CHOOSE(CONTROL!$C$28, 0, 0)</f>
        <v>138.43979999999999</v>
      </c>
      <c r="E967" s="4">
        <f>971.427946100518 * CHOOSE(CONTROL!$C$9, $C$13, 100%, $E$13) + CHOOSE(CONTROL!$C$28, 0, 0)</f>
        <v>971.42794610051806</v>
      </c>
    </row>
    <row r="968" spans="1:5" ht="15">
      <c r="A968" s="13">
        <v>70979</v>
      </c>
      <c r="B968" s="4">
        <f>188.9242 * CHOOSE(CONTROL!$C$9, $C$13, 100%, $E$13) + CHOOSE(CONTROL!$C$28, 0.0003, 0)</f>
        <v>188.92450000000002</v>
      </c>
      <c r="C968" s="4">
        <f>188.6117 * CHOOSE(CONTROL!$C$9, $C$13, 100%, $E$13) + CHOOSE(CONTROL!$C$28, 0.0003, 0)</f>
        <v>188.61200000000002</v>
      </c>
      <c r="D968" s="4">
        <f>142.4494 * CHOOSE(CONTROL!$C$9, $C$13, 100%, $E$13) + CHOOSE(CONTROL!$C$28, 0, 0)</f>
        <v>142.4494</v>
      </c>
      <c r="E968" s="4">
        <f>1011.05306733633 * CHOOSE(CONTROL!$C$9, $C$13, 100%, $E$13) + CHOOSE(CONTROL!$C$28, 0, 0)</f>
        <v>1011.0530673363299</v>
      </c>
    </row>
    <row r="969" spans="1:5" ht="15">
      <c r="A969" s="13">
        <v>71010</v>
      </c>
      <c r="B969" s="4">
        <f>193.4032 * CHOOSE(CONTROL!$C$9, $C$13, 100%, $E$13) + CHOOSE(CONTROL!$C$28, 0.0271, 0)</f>
        <v>193.43029999999999</v>
      </c>
      <c r="C969" s="4">
        <f>193.0907 * CHOOSE(CONTROL!$C$9, $C$13, 100%, $E$13) + CHOOSE(CONTROL!$C$28, 0.0271, 0)</f>
        <v>193.11779999999999</v>
      </c>
      <c r="D969" s="4">
        <f>140.865 * CHOOSE(CONTROL!$C$9, $C$13, 100%, $E$13) + CHOOSE(CONTROL!$C$28, 0, 0)</f>
        <v>140.86500000000001</v>
      </c>
      <c r="E969" s="4">
        <f>1035.26306672979 * CHOOSE(CONTROL!$C$9, $C$13, 100%, $E$13) + CHOOSE(CONTROL!$C$28, 0, 0)</f>
        <v>1035.2630667297899</v>
      </c>
    </row>
    <row r="970" spans="1:5" ht="15">
      <c r="A970" s="13">
        <v>71040</v>
      </c>
      <c r="B970" s="4">
        <f>194.0092 * CHOOSE(CONTROL!$C$9, $C$13, 100%, $E$13) + CHOOSE(CONTROL!$C$28, 0.0271, 0)</f>
        <v>194.03629999999998</v>
      </c>
      <c r="C970" s="4">
        <f>193.6967 * CHOOSE(CONTROL!$C$9, $C$13, 100%, $E$13) + CHOOSE(CONTROL!$C$28, 0.0271, 0)</f>
        <v>193.72379999999998</v>
      </c>
      <c r="D970" s="4">
        <f>142.1554 * CHOOSE(CONTROL!$C$9, $C$13, 100%, $E$13) + CHOOSE(CONTROL!$C$28, 0, 0)</f>
        <v>142.15539999999999</v>
      </c>
      <c r="E970" s="4">
        <f>1038.53878012129 * CHOOSE(CONTROL!$C$9, $C$13, 100%, $E$13) + CHOOSE(CONTROL!$C$28, 0, 0)</f>
        <v>1038.5387801212901</v>
      </c>
    </row>
    <row r="971" spans="1:5" ht="15">
      <c r="A971" s="13">
        <v>71071</v>
      </c>
      <c r="B971" s="4">
        <f>193.9481 * CHOOSE(CONTROL!$C$9, $C$13, 100%, $E$13) + CHOOSE(CONTROL!$C$28, 0.0271, 0)</f>
        <v>193.9752</v>
      </c>
      <c r="C971" s="4">
        <f>193.6356 * CHOOSE(CONTROL!$C$9, $C$13, 100%, $E$13) + CHOOSE(CONTROL!$C$28, 0.0271, 0)</f>
        <v>193.6627</v>
      </c>
      <c r="D971" s="4">
        <f>144.4837 * CHOOSE(CONTROL!$C$9, $C$13, 100%, $E$13) + CHOOSE(CONTROL!$C$28, 0, 0)</f>
        <v>144.4837</v>
      </c>
      <c r="E971" s="4">
        <f>1038.20845608181 * CHOOSE(CONTROL!$C$9, $C$13, 100%, $E$13) + CHOOSE(CONTROL!$C$28, 0, 0)</f>
        <v>1038.20845608181</v>
      </c>
    </row>
    <row r="972" spans="1:5" ht="15">
      <c r="A972" s="13">
        <v>71102</v>
      </c>
      <c r="B972" s="4">
        <f>198.5467 * CHOOSE(CONTROL!$C$9, $C$13, 100%, $E$13) + CHOOSE(CONTROL!$C$28, 0.0271, 0)</f>
        <v>198.57379999999998</v>
      </c>
      <c r="C972" s="4">
        <f>198.2342 * CHOOSE(CONTROL!$C$9, $C$13, 100%, $E$13) + CHOOSE(CONTROL!$C$28, 0.0271, 0)</f>
        <v>198.26129999999998</v>
      </c>
      <c r="D972" s="4">
        <f>142.9461 * CHOOSE(CONTROL!$C$9, $C$13, 100%, $E$13) + CHOOSE(CONTROL!$C$28, 0, 0)</f>
        <v>142.9461</v>
      </c>
      <c r="E972" s="4">
        <f>1063.06534005259 * CHOOSE(CONTROL!$C$9, $C$13, 100%, $E$13) + CHOOSE(CONTROL!$C$28, 0, 0)</f>
        <v>1063.06534005259</v>
      </c>
    </row>
    <row r="973" spans="1:5" ht="15">
      <c r="A973" s="13">
        <v>71132</v>
      </c>
      <c r="B973" s="4">
        <f>190.7092 * CHOOSE(CONTROL!$C$9, $C$13, 100%, $E$13) + CHOOSE(CONTROL!$C$28, 0.0271, 0)</f>
        <v>190.7363</v>
      </c>
      <c r="C973" s="4">
        <f>190.3967 * CHOOSE(CONTROL!$C$9, $C$13, 100%, $E$13) + CHOOSE(CONTROL!$C$28, 0.0271, 0)</f>
        <v>190.4238</v>
      </c>
      <c r="D973" s="4">
        <f>142.2196 * CHOOSE(CONTROL!$C$9, $C$13, 100%, $E$13) + CHOOSE(CONTROL!$C$28, 0, 0)</f>
        <v>142.21960000000001</v>
      </c>
      <c r="E973" s="4">
        <f>1020.70128198944 * CHOOSE(CONTROL!$C$9, $C$13, 100%, $E$13) + CHOOSE(CONTROL!$C$28, 0, 0)</f>
        <v>1020.70128198944</v>
      </c>
    </row>
    <row r="974" spans="1:5" ht="15">
      <c r="A974" s="13">
        <v>71163</v>
      </c>
      <c r="B974" s="4">
        <f>184.4351 * CHOOSE(CONTROL!$C$9, $C$13, 100%, $E$13) + CHOOSE(CONTROL!$C$28, 0.0003, 0)</f>
        <v>184.43540000000002</v>
      </c>
      <c r="C974" s="4">
        <f>184.1226 * CHOOSE(CONTROL!$C$9, $C$13, 100%, $E$13) + CHOOSE(CONTROL!$C$28, 0.0003, 0)</f>
        <v>184.12290000000002</v>
      </c>
      <c r="D974" s="4">
        <f>140.2743 * CHOOSE(CONTROL!$C$9, $C$13, 100%, $E$13) + CHOOSE(CONTROL!$C$28, 0, 0)</f>
        <v>140.27430000000001</v>
      </c>
      <c r="E974" s="4">
        <f>986.788013936281 * CHOOSE(CONTROL!$C$9, $C$13, 100%, $E$13) + CHOOSE(CONTROL!$C$28, 0, 0)</f>
        <v>986.788013936281</v>
      </c>
    </row>
    <row r="975" spans="1:5" ht="15">
      <c r="A975" s="13">
        <v>71193</v>
      </c>
      <c r="B975" s="4">
        <f>180.3941 * CHOOSE(CONTROL!$C$9, $C$13, 100%, $E$13) + CHOOSE(CONTROL!$C$28, 0.0003, 0)</f>
        <v>180.39440000000002</v>
      </c>
      <c r="C975" s="4">
        <f>180.0816 * CHOOSE(CONTROL!$C$9, $C$13, 100%, $E$13) + CHOOSE(CONTROL!$C$28, 0.0003, 0)</f>
        <v>180.08190000000002</v>
      </c>
      <c r="D975" s="4">
        <f>139.6056 * CHOOSE(CONTROL!$C$9, $C$13, 100%, $E$13) + CHOOSE(CONTROL!$C$28, 0, 0)</f>
        <v>139.60560000000001</v>
      </c>
      <c r="E975" s="4">
        <f>964.945336825747 * CHOOSE(CONTROL!$C$9, $C$13, 100%, $E$13) + CHOOSE(CONTROL!$C$28, 0, 0)</f>
        <v>964.94533682574695</v>
      </c>
    </row>
    <row r="976" spans="1:5" ht="15">
      <c r="A976" s="13">
        <v>71224</v>
      </c>
      <c r="B976" s="4">
        <f>177.5983 * CHOOSE(CONTROL!$C$9, $C$13, 100%, $E$13) + CHOOSE(CONTROL!$C$28, 0.0003, 0)</f>
        <v>177.5986</v>
      </c>
      <c r="C976" s="4">
        <f>177.2858 * CHOOSE(CONTROL!$C$9, $C$13, 100%, $E$13) + CHOOSE(CONTROL!$C$28, 0.0003, 0)</f>
        <v>177.2861</v>
      </c>
      <c r="D976" s="4">
        <f>134.682 * CHOOSE(CONTROL!$C$9, $C$13, 100%, $E$13) + CHOOSE(CONTROL!$C$28, 0, 0)</f>
        <v>134.68199999999999</v>
      </c>
      <c r="E976" s="4">
        <f>949.833012019593 * CHOOSE(CONTROL!$C$9, $C$13, 100%, $E$13) + CHOOSE(CONTROL!$C$28, 0, 0)</f>
        <v>949.83301201959296</v>
      </c>
    </row>
    <row r="977" spans="1:5" ht="15">
      <c r="A977" s="13">
        <v>71255</v>
      </c>
      <c r="B977" s="4">
        <f>173.0556 * CHOOSE(CONTROL!$C$9, $C$13, 100%, $E$13) + CHOOSE(CONTROL!$C$28, 0.0003, 0)</f>
        <v>173.05590000000001</v>
      </c>
      <c r="C977" s="4">
        <f>172.7431 * CHOOSE(CONTROL!$C$9, $C$13, 100%, $E$13) + CHOOSE(CONTROL!$C$28, 0.0003, 0)</f>
        <v>172.74340000000001</v>
      </c>
      <c r="D977" s="4">
        <f>130.1568 * CHOOSE(CONTROL!$C$9, $C$13, 100%, $E$13) + CHOOSE(CONTROL!$C$28, 0, 0)</f>
        <v>130.1568</v>
      </c>
      <c r="E977" s="4">
        <f>922.595420760533 * CHOOSE(CONTROL!$C$9, $C$13, 100%, $E$13) + CHOOSE(CONTROL!$C$28, 0, 0)</f>
        <v>922.59542076053299</v>
      </c>
    </row>
    <row r="978" spans="1:5" ht="15">
      <c r="A978" s="13">
        <v>71283</v>
      </c>
      <c r="B978" s="4">
        <f>177.1201 * CHOOSE(CONTROL!$C$9, $C$13, 100%, $E$13) + CHOOSE(CONTROL!$C$28, 0.0003, 0)</f>
        <v>177.12040000000002</v>
      </c>
      <c r="C978" s="4">
        <f>176.8076 * CHOOSE(CONTROL!$C$9, $C$13, 100%, $E$13) + CHOOSE(CONTROL!$C$28, 0.0003, 0)</f>
        <v>176.80790000000002</v>
      </c>
      <c r="D978" s="4">
        <f>134.7137 * CHOOSE(CONTROL!$C$9, $C$13, 100%, $E$13) + CHOOSE(CONTROL!$C$28, 0, 0)</f>
        <v>134.71369999999999</v>
      </c>
      <c r="E978" s="4">
        <f>944.501471914392 * CHOOSE(CONTROL!$C$9, $C$13, 100%, $E$13) + CHOOSE(CONTROL!$C$28, 0, 0)</f>
        <v>944.50147191439203</v>
      </c>
    </row>
    <row r="979" spans="1:5" ht="15">
      <c r="A979" s="13">
        <v>71314</v>
      </c>
      <c r="B979" s="4">
        <f>187.7937 * CHOOSE(CONTROL!$C$9, $C$13, 100%, $E$13) + CHOOSE(CONTROL!$C$28, 0.0003, 0)</f>
        <v>187.79400000000001</v>
      </c>
      <c r="C979" s="4">
        <f>187.4812 * CHOOSE(CONTROL!$C$9, $C$13, 100%, $E$13) + CHOOSE(CONTROL!$C$28, 0.0003, 0)</f>
        <v>187.48150000000001</v>
      </c>
      <c r="D979" s="4">
        <f>141.8472 * CHOOSE(CONTROL!$C$9, $C$13, 100%, $E$13) + CHOOSE(CONTROL!$C$28, 0, 0)</f>
        <v>141.84719999999999</v>
      </c>
      <c r="E979" s="4">
        <f>1002.02792640268 * CHOOSE(CONTROL!$C$9, $C$13, 100%, $E$13) + CHOOSE(CONTROL!$C$28, 0, 0)</f>
        <v>1002.02792640268</v>
      </c>
    </row>
    <row r="980" spans="1:5" ht="15">
      <c r="A980" s="13">
        <v>71344</v>
      </c>
      <c r="B980" s="4">
        <f>195.3774 * CHOOSE(CONTROL!$C$9, $C$13, 100%, $E$13) + CHOOSE(CONTROL!$C$28, 0.0003, 0)</f>
        <v>195.3777</v>
      </c>
      <c r="C980" s="4">
        <f>195.0649 * CHOOSE(CONTROL!$C$9, $C$13, 100%, $E$13) + CHOOSE(CONTROL!$C$28, 0.0003, 0)</f>
        <v>195.0652</v>
      </c>
      <c r="D980" s="4">
        <f>145.9563 * CHOOSE(CONTROL!$C$9, $C$13, 100%, $E$13) + CHOOSE(CONTROL!$C$28, 0, 0)</f>
        <v>145.9563</v>
      </c>
      <c r="E980" s="4">
        <f>1042.90123895741 * CHOOSE(CONTROL!$C$9, $C$13, 100%, $E$13) + CHOOSE(CONTROL!$C$28, 0, 0)</f>
        <v>1042.90123895741</v>
      </c>
    </row>
    <row r="981" spans="1:5" ht="15">
      <c r="A981" s="13">
        <v>71375</v>
      </c>
      <c r="B981" s="4">
        <f>200.0109 * CHOOSE(CONTROL!$C$9, $C$13, 100%, $E$13) + CHOOSE(CONTROL!$C$28, 0.0271, 0)</f>
        <v>200.03799999999998</v>
      </c>
      <c r="C981" s="4">
        <f>199.6984 * CHOOSE(CONTROL!$C$9, $C$13, 100%, $E$13) + CHOOSE(CONTROL!$C$28, 0.0271, 0)</f>
        <v>199.72549999999998</v>
      </c>
      <c r="D981" s="4">
        <f>144.3326 * CHOOSE(CONTROL!$C$9, $C$13, 100%, $E$13) + CHOOSE(CONTROL!$C$28, 0, 0)</f>
        <v>144.33260000000001</v>
      </c>
      <c r="E981" s="4">
        <f>1067.87385333178 * CHOOSE(CONTROL!$C$9, $C$13, 100%, $E$13) + CHOOSE(CONTROL!$C$28, 0, 0)</f>
        <v>1067.8738533317801</v>
      </c>
    </row>
    <row r="982" spans="1:5" ht="15">
      <c r="A982" s="13">
        <v>71405</v>
      </c>
      <c r="B982" s="4">
        <f>200.6379 * CHOOSE(CONTROL!$C$9, $C$13, 100%, $E$13) + CHOOSE(CONTROL!$C$28, 0.0271, 0)</f>
        <v>200.66499999999999</v>
      </c>
      <c r="C982" s="4">
        <f>200.3254 * CHOOSE(CONTROL!$C$9, $C$13, 100%, $E$13) + CHOOSE(CONTROL!$C$28, 0.0271, 0)</f>
        <v>200.35249999999999</v>
      </c>
      <c r="D982" s="4">
        <f>145.655 * CHOOSE(CONTROL!$C$9, $C$13, 100%, $E$13) + CHOOSE(CONTROL!$C$28, 0, 0)</f>
        <v>145.655</v>
      </c>
      <c r="E982" s="4">
        <f>1071.25275169511 * CHOOSE(CONTROL!$C$9, $C$13, 100%, $E$13) + CHOOSE(CONTROL!$C$28, 0, 0)</f>
        <v>1071.25275169511</v>
      </c>
    </row>
    <row r="983" spans="1:5" ht="15">
      <c r="A983" s="13">
        <v>71436</v>
      </c>
      <c r="B983" s="4">
        <f>200.5746 * CHOOSE(CONTROL!$C$9, $C$13, 100%, $E$13) + CHOOSE(CONTROL!$C$28, 0.0271, 0)</f>
        <v>200.60169999999999</v>
      </c>
      <c r="C983" s="4">
        <f>200.2621 * CHOOSE(CONTROL!$C$9, $C$13, 100%, $E$13) + CHOOSE(CONTROL!$C$28, 0.0271, 0)</f>
        <v>200.28919999999999</v>
      </c>
      <c r="D983" s="4">
        <f>148.041 * CHOOSE(CONTROL!$C$9, $C$13, 100%, $E$13) + CHOOSE(CONTROL!$C$28, 0, 0)</f>
        <v>148.041</v>
      </c>
      <c r="E983" s="4">
        <f>1070.91202244839 * CHOOSE(CONTROL!$C$9, $C$13, 100%, $E$13) + CHOOSE(CONTROL!$C$28, 0, 0)</f>
        <v>1070.91202244839</v>
      </c>
    </row>
    <row r="984" spans="1:5" ht="15">
      <c r="A984" s="13">
        <v>71467</v>
      </c>
      <c r="B984" s="4">
        <f>205.3319 * CHOOSE(CONTROL!$C$9, $C$13, 100%, $E$13) + CHOOSE(CONTROL!$C$28, 0.0271, 0)</f>
        <v>205.35899999999998</v>
      </c>
      <c r="C984" s="4">
        <f>205.0194 * CHOOSE(CONTROL!$C$9, $C$13, 100%, $E$13) + CHOOSE(CONTROL!$C$28, 0.0271, 0)</f>
        <v>205.04649999999998</v>
      </c>
      <c r="D984" s="4">
        <f>146.4653 * CHOOSE(CONTROL!$C$9, $C$13, 100%, $E$13) + CHOOSE(CONTROL!$C$28, 0, 0)</f>
        <v>146.46530000000001</v>
      </c>
      <c r="E984" s="4">
        <f>1096.55189826425 * CHOOSE(CONTROL!$C$9, $C$13, 100%, $E$13) + CHOOSE(CONTROL!$C$28, 0, 0)</f>
        <v>1096.55189826425</v>
      </c>
    </row>
    <row r="985" spans="1:5" ht="15">
      <c r="A985" s="13">
        <v>71497</v>
      </c>
      <c r="B985" s="4">
        <f>197.224 * CHOOSE(CONTROL!$C$9, $C$13, 100%, $E$13) + CHOOSE(CONTROL!$C$28, 0.0271, 0)</f>
        <v>197.25109999999998</v>
      </c>
      <c r="C985" s="4">
        <f>196.9115 * CHOOSE(CONTROL!$C$9, $C$13, 100%, $E$13) + CHOOSE(CONTROL!$C$28, 0.0271, 0)</f>
        <v>196.93859999999998</v>
      </c>
      <c r="D985" s="4">
        <f>145.7207 * CHOOSE(CONTROL!$C$9, $C$13, 100%, $E$13) + CHOOSE(CONTROL!$C$28, 0, 0)</f>
        <v>145.72069999999999</v>
      </c>
      <c r="E985" s="4">
        <f>1052.8533723721 * CHOOSE(CONTROL!$C$9, $C$13, 100%, $E$13) + CHOOSE(CONTROL!$C$28, 0, 0)</f>
        <v>1052.8533723721</v>
      </c>
    </row>
    <row r="986" spans="1:5" ht="15">
      <c r="A986" s="13">
        <v>71528</v>
      </c>
      <c r="B986" s="4">
        <f>190.7334 * CHOOSE(CONTROL!$C$9, $C$13, 100%, $E$13) + CHOOSE(CONTROL!$C$28, 0.0003, 0)</f>
        <v>190.7337</v>
      </c>
      <c r="C986" s="4">
        <f>190.4209 * CHOOSE(CONTROL!$C$9, $C$13, 100%, $E$13) + CHOOSE(CONTROL!$C$28, 0.0003, 0)</f>
        <v>190.4212</v>
      </c>
      <c r="D986" s="4">
        <f>143.7273 * CHOOSE(CONTROL!$C$9, $C$13, 100%, $E$13) + CHOOSE(CONTROL!$C$28, 0, 0)</f>
        <v>143.72730000000001</v>
      </c>
      <c r="E986" s="4">
        <f>1017.87183637527 * CHOOSE(CONTROL!$C$9, $C$13, 100%, $E$13) + CHOOSE(CONTROL!$C$28, 0, 0)</f>
        <v>1017.87183637527</v>
      </c>
    </row>
    <row r="987" spans="1:5" ht="15">
      <c r="A987" s="13">
        <v>71558</v>
      </c>
      <c r="B987" s="4">
        <f>186.553 * CHOOSE(CONTROL!$C$9, $C$13, 100%, $E$13) + CHOOSE(CONTROL!$C$28, 0.0003, 0)</f>
        <v>186.55330000000001</v>
      </c>
      <c r="C987" s="4">
        <f>186.2405 * CHOOSE(CONTROL!$C$9, $C$13, 100%, $E$13) + CHOOSE(CONTROL!$C$28, 0.0003, 0)</f>
        <v>186.24080000000001</v>
      </c>
      <c r="D987" s="4">
        <f>143.0419 * CHOOSE(CONTROL!$C$9, $C$13, 100%, $E$13) + CHOOSE(CONTROL!$C$28, 0, 0)</f>
        <v>143.0419</v>
      </c>
      <c r="E987" s="4">
        <f>995.341114935758 * CHOOSE(CONTROL!$C$9, $C$13, 100%, $E$13) + CHOOSE(CONTROL!$C$28, 0, 0)</f>
        <v>995.34111493575801</v>
      </c>
    </row>
    <row r="988" spans="1:5" ht="15">
      <c r="A988" s="13">
        <v>71589</v>
      </c>
      <c r="B988" s="4">
        <f>183.6607 * CHOOSE(CONTROL!$C$9, $C$13, 100%, $E$13) + CHOOSE(CONTROL!$C$28, 0.0003, 0)</f>
        <v>183.661</v>
      </c>
      <c r="C988" s="4">
        <f>183.3482 * CHOOSE(CONTROL!$C$9, $C$13, 100%, $E$13) + CHOOSE(CONTROL!$C$28, 0.0003, 0)</f>
        <v>183.3485</v>
      </c>
      <c r="D988" s="4">
        <f>137.9962 * CHOOSE(CONTROL!$C$9, $C$13, 100%, $E$13) + CHOOSE(CONTROL!$C$28, 0, 0)</f>
        <v>137.99619999999999</v>
      </c>
      <c r="E988" s="4">
        <f>979.75275189821 * CHOOSE(CONTROL!$C$9, $C$13, 100%, $E$13) + CHOOSE(CONTROL!$C$28, 0, 0)</f>
        <v>979.75275189821002</v>
      </c>
    </row>
    <row r="989" spans="1:5" ht="15">
      <c r="A989" s="13">
        <v>71620</v>
      </c>
      <c r="B989" s="4">
        <f>178.9613 * CHOOSE(CONTROL!$C$9, $C$13, 100%, $E$13) + CHOOSE(CONTROL!$C$28, 0.0003, 0)</f>
        <v>178.9616</v>
      </c>
      <c r="C989" s="4">
        <f>178.6488 * CHOOSE(CONTROL!$C$9, $C$13, 100%, $E$13) + CHOOSE(CONTROL!$C$28, 0.0003, 0)</f>
        <v>178.6491</v>
      </c>
      <c r="D989" s="4">
        <f>133.3588 * CHOOSE(CONTROL!$C$9, $C$13, 100%, $E$13) + CHOOSE(CONTROL!$C$28, 0, 0)</f>
        <v>133.3588</v>
      </c>
      <c r="E989" s="4">
        <f>951.65717651449 * CHOOSE(CONTROL!$C$9, $C$13, 100%, $E$13) + CHOOSE(CONTROL!$C$28, 0, 0)</f>
        <v>951.65717651448995</v>
      </c>
    </row>
    <row r="990" spans="1:5" ht="15">
      <c r="A990" s="13">
        <v>71649</v>
      </c>
      <c r="B990" s="4">
        <f>183.1661 * CHOOSE(CONTROL!$C$9, $C$13, 100%, $E$13) + CHOOSE(CONTROL!$C$28, 0.0003, 0)</f>
        <v>183.16640000000001</v>
      </c>
      <c r="C990" s="4">
        <f>182.8536 * CHOOSE(CONTROL!$C$9, $C$13, 100%, $E$13) + CHOOSE(CONTROL!$C$28, 0.0003, 0)</f>
        <v>182.85390000000001</v>
      </c>
      <c r="D990" s="4">
        <f>138.0287 * CHOOSE(CONTROL!$C$9, $C$13, 100%, $E$13) + CHOOSE(CONTROL!$C$28, 0, 0)</f>
        <v>138.02869999999999</v>
      </c>
      <c r="E990" s="4">
        <f>974.253268279695 * CHOOSE(CONTROL!$C$9, $C$13, 100%, $E$13) + CHOOSE(CONTROL!$C$28, 0, 0)</f>
        <v>974.25326827969502</v>
      </c>
    </row>
    <row r="991" spans="1:5" ht="15">
      <c r="A991" s="13">
        <v>71680</v>
      </c>
      <c r="B991" s="4">
        <f>194.2079 * CHOOSE(CONTROL!$C$9, $C$13, 100%, $E$13) + CHOOSE(CONTROL!$C$28, 0.0003, 0)</f>
        <v>194.20820000000001</v>
      </c>
      <c r="C991" s="4">
        <f>193.8954 * CHOOSE(CONTROL!$C$9, $C$13, 100%, $E$13) + CHOOSE(CONTROL!$C$28, 0.0003, 0)</f>
        <v>193.89570000000001</v>
      </c>
      <c r="D991" s="4">
        <f>145.3391 * CHOOSE(CONTROL!$C$9, $C$13, 100%, $E$13) + CHOOSE(CONTROL!$C$28, 0, 0)</f>
        <v>145.3391</v>
      </c>
      <c r="E991" s="4">
        <f>1033.59180608437 * CHOOSE(CONTROL!$C$9, $C$13, 100%, $E$13) + CHOOSE(CONTROL!$C$28, 0, 0)</f>
        <v>1033.5918060843701</v>
      </c>
    </row>
    <row r="992" spans="1:5" ht="15">
      <c r="A992" s="13">
        <v>71710</v>
      </c>
      <c r="B992" s="4">
        <f>202.0533 * CHOOSE(CONTROL!$C$9, $C$13, 100%, $E$13) + CHOOSE(CONTROL!$C$28, 0.0003, 0)</f>
        <v>202.05360000000002</v>
      </c>
      <c r="C992" s="4">
        <f>201.7408 * CHOOSE(CONTROL!$C$9, $C$13, 100%, $E$13) + CHOOSE(CONTROL!$C$28, 0.0003, 0)</f>
        <v>201.74110000000002</v>
      </c>
      <c r="D992" s="4">
        <f>149.5501 * CHOOSE(CONTROL!$C$9, $C$13, 100%, $E$13) + CHOOSE(CONTROL!$C$28, 0, 0)</f>
        <v>149.55009999999999</v>
      </c>
      <c r="E992" s="4">
        <f>1075.75262798458 * CHOOSE(CONTROL!$C$9, $C$13, 100%, $E$13) + CHOOSE(CONTROL!$C$28, 0, 0)</f>
        <v>1075.7526279845799</v>
      </c>
    </row>
    <row r="993" spans="1:5" ht="15">
      <c r="A993" s="13">
        <v>71741</v>
      </c>
      <c r="B993" s="4">
        <f>206.8466 * CHOOSE(CONTROL!$C$9, $C$13, 100%, $E$13) + CHOOSE(CONTROL!$C$28, 0.0271, 0)</f>
        <v>206.87369999999999</v>
      </c>
      <c r="C993" s="4">
        <f>206.5341 * CHOOSE(CONTROL!$C$9, $C$13, 100%, $E$13) + CHOOSE(CONTROL!$C$28, 0.0271, 0)</f>
        <v>206.56119999999999</v>
      </c>
      <c r="D993" s="4">
        <f>147.8861 * CHOOSE(CONTROL!$C$9, $C$13, 100%, $E$13) + CHOOSE(CONTROL!$C$28, 0, 0)</f>
        <v>147.8861</v>
      </c>
      <c r="E993" s="4">
        <f>1101.51187971173 * CHOOSE(CONTROL!$C$9, $C$13, 100%, $E$13) + CHOOSE(CONTROL!$C$28, 0, 0)</f>
        <v>1101.51187971173</v>
      </c>
    </row>
    <row r="994" spans="1:5" ht="15">
      <c r="A994" s="13">
        <v>71771</v>
      </c>
      <c r="B994" s="4">
        <f>207.4952 * CHOOSE(CONTROL!$C$9, $C$13, 100%, $E$13) + CHOOSE(CONTROL!$C$28, 0.0271, 0)</f>
        <v>207.5223</v>
      </c>
      <c r="C994" s="4">
        <f>207.1827 * CHOOSE(CONTROL!$C$9, $C$13, 100%, $E$13) + CHOOSE(CONTROL!$C$28, 0.0271, 0)</f>
        <v>207.2098</v>
      </c>
      <c r="D994" s="4">
        <f>149.2413 * CHOOSE(CONTROL!$C$9, $C$13, 100%, $E$13) + CHOOSE(CONTROL!$C$28, 0, 0)</f>
        <v>149.2413</v>
      </c>
      <c r="E994" s="4">
        <f>1104.99721337351 * CHOOSE(CONTROL!$C$9, $C$13, 100%, $E$13) + CHOOSE(CONTROL!$C$28, 0, 0)</f>
        <v>1104.99721337351</v>
      </c>
    </row>
    <row r="995" spans="1:5" ht="15">
      <c r="A995" s="13">
        <v>71802</v>
      </c>
      <c r="B995" s="4">
        <f>207.4298 * CHOOSE(CONTROL!$C$9, $C$13, 100%, $E$13) + CHOOSE(CONTROL!$C$28, 0.0271, 0)</f>
        <v>207.45689999999999</v>
      </c>
      <c r="C995" s="4">
        <f>207.1173 * CHOOSE(CONTROL!$C$9, $C$13, 100%, $E$13) + CHOOSE(CONTROL!$C$28, 0.0271, 0)</f>
        <v>207.14439999999999</v>
      </c>
      <c r="D995" s="4">
        <f>151.6866 * CHOOSE(CONTROL!$C$9, $C$13, 100%, $E$13) + CHOOSE(CONTROL!$C$28, 0, 0)</f>
        <v>151.6866</v>
      </c>
      <c r="E995" s="4">
        <f>1104.64575115551 * CHOOSE(CONTROL!$C$9, $C$13, 100%, $E$13) + CHOOSE(CONTROL!$C$28, 0, 0)</f>
        <v>1104.64575115551</v>
      </c>
    </row>
    <row r="996" spans="1:5" ht="15">
      <c r="A996" s="13">
        <v>71833</v>
      </c>
      <c r="B996" s="4">
        <f>212.3512 * CHOOSE(CONTROL!$C$9, $C$13, 100%, $E$13) + CHOOSE(CONTROL!$C$28, 0.0271, 0)</f>
        <v>212.3783</v>
      </c>
      <c r="C996" s="4">
        <f>212.0387 * CHOOSE(CONTROL!$C$9, $C$13, 100%, $E$13) + CHOOSE(CONTROL!$C$28, 0.0271, 0)</f>
        <v>212.0658</v>
      </c>
      <c r="D996" s="4">
        <f>150.0717 * CHOOSE(CONTROL!$C$9, $C$13, 100%, $E$13) + CHOOSE(CONTROL!$C$28, 0, 0)</f>
        <v>150.07169999999999</v>
      </c>
      <c r="E996" s="4">
        <f>1131.09328305957 * CHOOSE(CONTROL!$C$9, $C$13, 100%, $E$13) + CHOOSE(CONTROL!$C$28, 0, 0)</f>
        <v>1131.09328305957</v>
      </c>
    </row>
    <row r="997" spans="1:5" ht="15">
      <c r="A997" s="13">
        <v>71863</v>
      </c>
      <c r="B997" s="4">
        <f>203.9635 * CHOOSE(CONTROL!$C$9, $C$13, 100%, $E$13) + CHOOSE(CONTROL!$C$28, 0.0271, 0)</f>
        <v>203.9906</v>
      </c>
      <c r="C997" s="4">
        <f>203.651 * CHOOSE(CONTROL!$C$9, $C$13, 100%, $E$13) + CHOOSE(CONTROL!$C$28, 0.0271, 0)</f>
        <v>203.6781</v>
      </c>
      <c r="D997" s="4">
        <f>149.3087 * CHOOSE(CONTROL!$C$9, $C$13, 100%, $E$13) + CHOOSE(CONTROL!$C$28, 0, 0)</f>
        <v>149.30869999999999</v>
      </c>
      <c r="E997" s="4">
        <f>1086.01825360182 * CHOOSE(CONTROL!$C$9, $C$13, 100%, $E$13) + CHOOSE(CONTROL!$C$28, 0, 0)</f>
        <v>1086.0182536018201</v>
      </c>
    </row>
    <row r="998" spans="1:5" ht="15">
      <c r="A998" s="13">
        <v>71894</v>
      </c>
      <c r="B998" s="4">
        <f>197.249 * CHOOSE(CONTROL!$C$9, $C$13, 100%, $E$13) + CHOOSE(CONTROL!$C$28, 0.0003, 0)</f>
        <v>197.24930000000001</v>
      </c>
      <c r="C998" s="4">
        <f>196.9365 * CHOOSE(CONTROL!$C$9, $C$13, 100%, $E$13) + CHOOSE(CONTROL!$C$28, 0.0003, 0)</f>
        <v>196.93680000000001</v>
      </c>
      <c r="D998" s="4">
        <f>147.2658 * CHOOSE(CONTROL!$C$9, $C$13, 100%, $E$13) + CHOOSE(CONTROL!$C$28, 0, 0)</f>
        <v>147.26580000000001</v>
      </c>
      <c r="E998" s="4">
        <f>1049.9347992211 * CHOOSE(CONTROL!$C$9, $C$13, 100%, $E$13) + CHOOSE(CONTROL!$C$28, 0, 0)</f>
        <v>1049.9347992211001</v>
      </c>
    </row>
    <row r="999" spans="1:5" ht="15">
      <c r="A999" s="13">
        <v>71924</v>
      </c>
      <c r="B999" s="4">
        <f>192.9244 * CHOOSE(CONTROL!$C$9, $C$13, 100%, $E$13) + CHOOSE(CONTROL!$C$28, 0.0003, 0)</f>
        <v>192.9247</v>
      </c>
      <c r="C999" s="4">
        <f>192.6119 * CHOOSE(CONTROL!$C$9, $C$13, 100%, $E$13) + CHOOSE(CONTROL!$C$28, 0.0003, 0)</f>
        <v>192.6122</v>
      </c>
      <c r="D999" s="4">
        <f>146.5634 * CHOOSE(CONTROL!$C$9, $C$13, 100%, $E$13) + CHOOSE(CONTROL!$C$28, 0, 0)</f>
        <v>146.5634</v>
      </c>
      <c r="E999" s="4">
        <f>1026.69436005623 * CHOOSE(CONTROL!$C$9, $C$13, 100%, $E$13) + CHOOSE(CONTROL!$C$28, 0, 0)</f>
        <v>1026.6943600562299</v>
      </c>
    </row>
    <row r="1000" spans="1:5" ht="15">
      <c r="A1000" s="13">
        <v>71955</v>
      </c>
      <c r="B1000" s="4">
        <f>189.9323 * CHOOSE(CONTROL!$C$9, $C$13, 100%, $E$13) + CHOOSE(CONTROL!$C$28, 0.0003, 0)</f>
        <v>189.93260000000001</v>
      </c>
      <c r="C1000" s="4">
        <f>189.6198 * CHOOSE(CONTROL!$C$9, $C$13, 100%, $E$13) + CHOOSE(CONTROL!$C$28, 0.0003, 0)</f>
        <v>189.62010000000001</v>
      </c>
      <c r="D1000" s="4">
        <f>141.3926 * CHOOSE(CONTROL!$C$9, $C$13, 100%, $E$13) + CHOOSE(CONTROL!$C$28, 0, 0)</f>
        <v>141.39259999999999</v>
      </c>
      <c r="E1000" s="4">
        <f>1010.614963583 * CHOOSE(CONTROL!$C$9, $C$13, 100%, $E$13) + CHOOSE(CONTROL!$C$28, 0, 0)</f>
        <v>1010.614963583</v>
      </c>
    </row>
    <row r="1001" spans="1:5" ht="15">
      <c r="A1001" s="13">
        <v>71986</v>
      </c>
      <c r="B1001" s="4">
        <f>185.0708 * CHOOSE(CONTROL!$C$9, $C$13, 100%, $E$13) + CHOOSE(CONTROL!$C$28, 0.0003, 0)</f>
        <v>185.0711</v>
      </c>
      <c r="C1001" s="4">
        <f>184.7583 * CHOOSE(CONTROL!$C$9, $C$13, 100%, $E$13) + CHOOSE(CONTROL!$C$28, 0.0003, 0)</f>
        <v>184.7586</v>
      </c>
      <c r="D1001" s="4">
        <f>136.6402 * CHOOSE(CONTROL!$C$9, $C$13, 100%, $E$13) + CHOOSE(CONTROL!$C$28, 0, 0)</f>
        <v>136.64019999999999</v>
      </c>
      <c r="E1001" s="4">
        <f>981.634377574696 * CHOOSE(CONTROL!$C$9, $C$13, 100%, $E$13) + CHOOSE(CONTROL!$C$28, 0, 0)</f>
        <v>981.63437757469603</v>
      </c>
    </row>
    <row r="1002" spans="1:5" ht="15">
      <c r="A1002" s="13">
        <v>72014</v>
      </c>
      <c r="B1002" s="4">
        <f>189.4206 * CHOOSE(CONTROL!$C$9, $C$13, 100%, $E$13) + CHOOSE(CONTROL!$C$28, 0.0003, 0)</f>
        <v>189.42090000000002</v>
      </c>
      <c r="C1002" s="4">
        <f>189.1081 * CHOOSE(CONTROL!$C$9, $C$13, 100%, $E$13) + CHOOSE(CONTROL!$C$28, 0.0003, 0)</f>
        <v>189.10840000000002</v>
      </c>
      <c r="D1002" s="4">
        <f>141.4259 * CHOOSE(CONTROL!$C$9, $C$13, 100%, $E$13) + CHOOSE(CONTROL!$C$28, 0, 0)</f>
        <v>141.42590000000001</v>
      </c>
      <c r="E1002" s="4">
        <f>1004.94224623051 * CHOOSE(CONTROL!$C$9, $C$13, 100%, $E$13) + CHOOSE(CONTROL!$C$28, 0, 0)</f>
        <v>1004.94224623051</v>
      </c>
    </row>
    <row r="1003" spans="1:5" ht="15">
      <c r="A1003" s="13">
        <v>72045</v>
      </c>
      <c r="B1003" s="4">
        <f>200.8434 * CHOOSE(CONTROL!$C$9, $C$13, 100%, $E$13) + CHOOSE(CONTROL!$C$28, 0.0003, 0)</f>
        <v>200.84370000000001</v>
      </c>
      <c r="C1003" s="4">
        <f>200.5309 * CHOOSE(CONTROL!$C$9, $C$13, 100%, $E$13) + CHOOSE(CONTROL!$C$28, 0.0003, 0)</f>
        <v>200.53120000000001</v>
      </c>
      <c r="D1003" s="4">
        <f>148.9176 * CHOOSE(CONTROL!$C$9, $C$13, 100%, $E$13) + CHOOSE(CONTROL!$C$28, 0, 0)</f>
        <v>148.91759999999999</v>
      </c>
      <c r="E1003" s="4">
        <f>1066.14994797603 * CHOOSE(CONTROL!$C$9, $C$13, 100%, $E$13) + CHOOSE(CONTROL!$C$28, 0, 0)</f>
        <v>1066.14994797603</v>
      </c>
    </row>
    <row r="1004" spans="1:5" ht="15">
      <c r="A1004" s="13">
        <v>72075</v>
      </c>
      <c r="B1004" s="4">
        <f>208.9594 * CHOOSE(CONTROL!$C$9, $C$13, 100%, $E$13) + CHOOSE(CONTROL!$C$28, 0.0003, 0)</f>
        <v>208.9597</v>
      </c>
      <c r="C1004" s="4">
        <f>208.6469 * CHOOSE(CONTROL!$C$9, $C$13, 100%, $E$13) + CHOOSE(CONTROL!$C$28, 0.0003, 0)</f>
        <v>208.6472</v>
      </c>
      <c r="D1004" s="4">
        <f>153.2331 * CHOOSE(CONTROL!$C$9, $C$13, 100%, $E$13) + CHOOSE(CONTROL!$C$28, 0, 0)</f>
        <v>153.23310000000001</v>
      </c>
      <c r="E1004" s="4">
        <f>1109.63883576609 * CHOOSE(CONTROL!$C$9, $C$13, 100%, $E$13) + CHOOSE(CONTROL!$C$28, 0, 0)</f>
        <v>1109.6388357660901</v>
      </c>
    </row>
    <row r="1005" spans="1:5" ht="15">
      <c r="A1005" s="13">
        <v>72106</v>
      </c>
      <c r="B1005" s="4">
        <f>213.9181 * CHOOSE(CONTROL!$C$9, $C$13, 100%, $E$13) + CHOOSE(CONTROL!$C$28, 0.0271, 0)</f>
        <v>213.9452</v>
      </c>
      <c r="C1005" s="4">
        <f>213.6056 * CHOOSE(CONTROL!$C$9, $C$13, 100%, $E$13) + CHOOSE(CONTROL!$C$28, 0.0271, 0)</f>
        <v>213.6327</v>
      </c>
      <c r="D1005" s="4">
        <f>151.5278 * CHOOSE(CONTROL!$C$9, $C$13, 100%, $E$13) + CHOOSE(CONTROL!$C$28, 0, 0)</f>
        <v>151.52780000000001</v>
      </c>
      <c r="E1005" s="4">
        <f>1136.20950392265 * CHOOSE(CONTROL!$C$9, $C$13, 100%, $E$13) + CHOOSE(CONTROL!$C$28, 0, 0)</f>
        <v>1136.2095039226499</v>
      </c>
    </row>
    <row r="1006" spans="1:5" ht="15">
      <c r="A1006" s="13">
        <v>72136</v>
      </c>
      <c r="B1006" s="4">
        <f>214.5891 * CHOOSE(CONTROL!$C$9, $C$13, 100%, $E$13) + CHOOSE(CONTROL!$C$28, 0.0271, 0)</f>
        <v>214.61619999999999</v>
      </c>
      <c r="C1006" s="4">
        <f>214.2766 * CHOOSE(CONTROL!$C$9, $C$13, 100%, $E$13) + CHOOSE(CONTROL!$C$28, 0.0271, 0)</f>
        <v>214.30369999999999</v>
      </c>
      <c r="D1006" s="4">
        <f>152.9166 * CHOOSE(CONTROL!$C$9, $C$13, 100%, $E$13) + CHOOSE(CONTROL!$C$28, 0, 0)</f>
        <v>152.91659999999999</v>
      </c>
      <c r="E1006" s="4">
        <f>1139.80462559477 * CHOOSE(CONTROL!$C$9, $C$13, 100%, $E$13) + CHOOSE(CONTROL!$C$28, 0, 0)</f>
        <v>1139.80462559477</v>
      </c>
    </row>
    <row r="1007" spans="1:5" ht="15">
      <c r="A1007" s="13">
        <v>72167</v>
      </c>
      <c r="B1007" s="4">
        <f>214.5214 * CHOOSE(CONTROL!$C$9, $C$13, 100%, $E$13) + CHOOSE(CONTROL!$C$28, 0.0271, 0)</f>
        <v>214.54849999999999</v>
      </c>
      <c r="C1007" s="4">
        <f>214.2089 * CHOOSE(CONTROL!$C$9, $C$13, 100%, $E$13) + CHOOSE(CONTROL!$C$28, 0.0271, 0)</f>
        <v>214.23599999999999</v>
      </c>
      <c r="D1007" s="4">
        <f>155.4225 * CHOOSE(CONTROL!$C$9, $C$13, 100%, $E$13) + CHOOSE(CONTROL!$C$28, 0, 0)</f>
        <v>155.42250000000001</v>
      </c>
      <c r="E1007" s="4">
        <f>1139.44209231691 * CHOOSE(CONTROL!$C$9, $C$13, 100%, $E$13) + CHOOSE(CONTROL!$C$28, 0, 0)</f>
        <v>1139.44209231691</v>
      </c>
    </row>
    <row r="1008" spans="1:5" ht="15">
      <c r="A1008" s="13">
        <v>72198</v>
      </c>
      <c r="B1008" s="4">
        <f>219.6126 * CHOOSE(CONTROL!$C$9, $C$13, 100%, $E$13) + CHOOSE(CONTROL!$C$28, 0.0271, 0)</f>
        <v>219.63969999999998</v>
      </c>
      <c r="C1008" s="4">
        <f>219.3001 * CHOOSE(CONTROL!$C$9, $C$13, 100%, $E$13) + CHOOSE(CONTROL!$C$28, 0.0271, 0)</f>
        <v>219.32719999999998</v>
      </c>
      <c r="D1008" s="4">
        <f>153.7676 * CHOOSE(CONTROL!$C$9, $C$13, 100%, $E$13) + CHOOSE(CONTROL!$C$28, 0, 0)</f>
        <v>153.76759999999999</v>
      </c>
      <c r="E1008" s="4">
        <f>1166.72272147595 * CHOOSE(CONTROL!$C$9, $C$13, 100%, $E$13) + CHOOSE(CONTROL!$C$28, 0, 0)</f>
        <v>1166.72272147595</v>
      </c>
    </row>
    <row r="1009" spans="1:5" ht="15">
      <c r="A1009" s="13">
        <v>72228</v>
      </c>
      <c r="B1009" s="4">
        <f>210.9356 * CHOOSE(CONTROL!$C$9, $C$13, 100%, $E$13) + CHOOSE(CONTROL!$C$28, 0.0271, 0)</f>
        <v>210.96269999999998</v>
      </c>
      <c r="C1009" s="4">
        <f>210.6231 * CHOOSE(CONTROL!$C$9, $C$13, 100%, $E$13) + CHOOSE(CONTROL!$C$28, 0.0271, 0)</f>
        <v>210.65019999999998</v>
      </c>
      <c r="D1009" s="4">
        <f>152.9857 * CHOOSE(CONTROL!$C$9, $C$13, 100%, $E$13) + CHOOSE(CONTROL!$C$28, 0, 0)</f>
        <v>152.98570000000001</v>
      </c>
      <c r="E1009" s="4">
        <f>1120.22782859028 * CHOOSE(CONTROL!$C$9, $C$13, 100%, $E$13) + CHOOSE(CONTROL!$C$28, 0, 0)</f>
        <v>1120.2278285902801</v>
      </c>
    </row>
    <row r="1010" spans="1:5" ht="15">
      <c r="A1010" s="13">
        <v>72259</v>
      </c>
      <c r="B1010" s="4">
        <f>203.9894 * CHOOSE(CONTROL!$C$9, $C$13, 100%, $E$13) + CHOOSE(CONTROL!$C$28, 0.0003, 0)</f>
        <v>203.9897</v>
      </c>
      <c r="C1010" s="4">
        <f>203.6769 * CHOOSE(CONTROL!$C$9, $C$13, 100%, $E$13) + CHOOSE(CONTROL!$C$28, 0.0003, 0)</f>
        <v>203.6772</v>
      </c>
      <c r="D1010" s="4">
        <f>150.8921 * CHOOSE(CONTROL!$C$9, $C$13, 100%, $E$13) + CHOOSE(CONTROL!$C$28, 0, 0)</f>
        <v>150.8921</v>
      </c>
      <c r="E1010" s="4">
        <f>1083.00774539656 * CHOOSE(CONTROL!$C$9, $C$13, 100%, $E$13) + CHOOSE(CONTROL!$C$28, 0, 0)</f>
        <v>1083.00774539656</v>
      </c>
    </row>
    <row r="1011" spans="1:5" ht="15">
      <c r="A1011" s="13">
        <v>72289</v>
      </c>
      <c r="B1011" s="4">
        <f>199.5156 * CHOOSE(CONTROL!$C$9, $C$13, 100%, $E$13) + CHOOSE(CONTROL!$C$28, 0.0003, 0)</f>
        <v>199.51590000000002</v>
      </c>
      <c r="C1011" s="4">
        <f>199.2031 * CHOOSE(CONTROL!$C$9, $C$13, 100%, $E$13) + CHOOSE(CONTROL!$C$28, 0.0003, 0)</f>
        <v>199.20340000000002</v>
      </c>
      <c r="D1011" s="4">
        <f>150.1723 * CHOOSE(CONTROL!$C$9, $C$13, 100%, $E$13) + CHOOSE(CONTROL!$C$28, 0, 0)</f>
        <v>150.17230000000001</v>
      </c>
      <c r="E1011" s="4">
        <f>1059.03523239801 * CHOOSE(CONTROL!$C$9, $C$13, 100%, $E$13) + CHOOSE(CONTROL!$C$28, 0, 0)</f>
        <v>1059.0352323980101</v>
      </c>
    </row>
    <row r="1012" spans="1:5" ht="15">
      <c r="A1012" s="13">
        <v>72320</v>
      </c>
      <c r="B1012" s="4">
        <f>196.4203 * CHOOSE(CONTROL!$C$9, $C$13, 100%, $E$13) + CHOOSE(CONTROL!$C$28, 0.0003, 0)</f>
        <v>196.42060000000001</v>
      </c>
      <c r="C1012" s="4">
        <f>196.1078 * CHOOSE(CONTROL!$C$9, $C$13, 100%, $E$13) + CHOOSE(CONTROL!$C$28, 0.0003, 0)</f>
        <v>196.10810000000001</v>
      </c>
      <c r="D1012" s="4">
        <f>144.8733 * CHOOSE(CONTROL!$C$9, $C$13, 100%, $E$13) + CHOOSE(CONTROL!$C$28, 0, 0)</f>
        <v>144.8733</v>
      </c>
      <c r="E1012" s="4">
        <f>1042.44933493587 * CHOOSE(CONTROL!$C$9, $C$13, 100%, $E$13) + CHOOSE(CONTROL!$C$28, 0, 0)</f>
        <v>1042.44933493587</v>
      </c>
    </row>
    <row r="1013" spans="1:5" ht="15">
      <c r="A1013" s="13">
        <v>72351</v>
      </c>
      <c r="B1013" s="4">
        <f>191.3911 * CHOOSE(CONTROL!$C$9, $C$13, 100%, $E$13) + CHOOSE(CONTROL!$C$28, 0.0003, 0)</f>
        <v>191.3914</v>
      </c>
      <c r="C1013" s="4">
        <f>191.0786 * CHOOSE(CONTROL!$C$9, $C$13, 100%, $E$13) + CHOOSE(CONTROL!$C$28, 0.0003, 0)</f>
        <v>191.0789</v>
      </c>
      <c r="D1013" s="4">
        <f>140.003 * CHOOSE(CONTROL!$C$9, $C$13, 100%, $E$13) + CHOOSE(CONTROL!$C$28, 0, 0)</f>
        <v>140.00299999999999</v>
      </c>
      <c r="E1013" s="4">
        <f>1012.5558604683 * CHOOSE(CONTROL!$C$9, $C$13, 100%, $E$13) + CHOOSE(CONTROL!$C$28, 0, 0)</f>
        <v>1012.5558604683</v>
      </c>
    </row>
    <row r="1014" spans="1:5" ht="15">
      <c r="A1014" s="13">
        <v>72379</v>
      </c>
      <c r="B1014" s="4">
        <f>195.8909 * CHOOSE(CONTROL!$C$9, $C$13, 100%, $E$13) + CHOOSE(CONTROL!$C$28, 0.0003, 0)</f>
        <v>195.8912</v>
      </c>
      <c r="C1014" s="4">
        <f>195.5784 * CHOOSE(CONTROL!$C$9, $C$13, 100%, $E$13) + CHOOSE(CONTROL!$C$28, 0.0003, 0)</f>
        <v>195.5787</v>
      </c>
      <c r="D1014" s="4">
        <f>144.9074 * CHOOSE(CONTROL!$C$9, $C$13, 100%, $E$13) + CHOOSE(CONTROL!$C$28, 0, 0)</f>
        <v>144.9074</v>
      </c>
      <c r="E1014" s="4">
        <f>1036.59792698677 * CHOOSE(CONTROL!$C$9, $C$13, 100%, $E$13) + CHOOSE(CONTROL!$C$28, 0, 0)</f>
        <v>1036.5979269867701</v>
      </c>
    </row>
    <row r="1015" spans="1:5" ht="15">
      <c r="A1015" s="13">
        <v>72410</v>
      </c>
      <c r="B1015" s="4">
        <f>207.7078 * CHOOSE(CONTROL!$C$9, $C$13, 100%, $E$13) + CHOOSE(CONTROL!$C$28, 0.0003, 0)</f>
        <v>207.7081</v>
      </c>
      <c r="C1015" s="4">
        <f>207.3953 * CHOOSE(CONTROL!$C$9, $C$13, 100%, $E$13) + CHOOSE(CONTROL!$C$28, 0.0003, 0)</f>
        <v>207.3956</v>
      </c>
      <c r="D1015" s="4">
        <f>152.5849 * CHOOSE(CONTROL!$C$9, $C$13, 100%, $E$13) + CHOOSE(CONTROL!$C$28, 0, 0)</f>
        <v>152.5849</v>
      </c>
      <c r="E1015" s="4">
        <f>1099.73367133727 * CHOOSE(CONTROL!$C$9, $C$13, 100%, $E$13) + CHOOSE(CONTROL!$C$28, 0, 0)</f>
        <v>1099.7336713372699</v>
      </c>
    </row>
    <row r="1016" spans="1:5" ht="15">
      <c r="A1016" s="13">
        <v>72440</v>
      </c>
      <c r="B1016" s="4">
        <f>216.1038 * CHOOSE(CONTROL!$C$9, $C$13, 100%, $E$13) + CHOOSE(CONTROL!$C$28, 0.0003, 0)</f>
        <v>216.10410000000002</v>
      </c>
      <c r="C1016" s="4">
        <f>215.7913 * CHOOSE(CONTROL!$C$9, $C$13, 100%, $E$13) + CHOOSE(CONTROL!$C$28, 0.0003, 0)</f>
        <v>215.79160000000002</v>
      </c>
      <c r="D1016" s="4">
        <f>157.0073 * CHOOSE(CONTROL!$C$9, $C$13, 100%, $E$13) + CHOOSE(CONTROL!$C$28, 0, 0)</f>
        <v>157.00729999999999</v>
      </c>
      <c r="E1016" s="4">
        <f>1144.59245909273 * CHOOSE(CONTROL!$C$9, $C$13, 100%, $E$13) + CHOOSE(CONTROL!$C$28, 0, 0)</f>
        <v>1144.59245909273</v>
      </c>
    </row>
    <row r="1017" spans="1:5" ht="15">
      <c r="A1017" s="13">
        <v>72471</v>
      </c>
      <c r="B1017" s="4">
        <f>221.2336 * CHOOSE(CONTROL!$C$9, $C$13, 100%, $E$13) + CHOOSE(CONTROL!$C$28, 0.0271, 0)</f>
        <v>221.26069999999999</v>
      </c>
      <c r="C1017" s="4">
        <f>220.9211 * CHOOSE(CONTROL!$C$9, $C$13, 100%, $E$13) + CHOOSE(CONTROL!$C$28, 0.0271, 0)</f>
        <v>220.94819999999999</v>
      </c>
      <c r="D1017" s="4">
        <f>155.2598 * CHOOSE(CONTROL!$C$9, $C$13, 100%, $E$13) + CHOOSE(CONTROL!$C$28, 0, 0)</f>
        <v>155.25980000000001</v>
      </c>
      <c r="E1017" s="4">
        <f>1172.00010329622 * CHOOSE(CONTROL!$C$9, $C$13, 100%, $E$13) + CHOOSE(CONTROL!$C$28, 0, 0)</f>
        <v>1172.00010329622</v>
      </c>
    </row>
    <row r="1018" spans="1:5" ht="15">
      <c r="A1018" s="13">
        <v>72501</v>
      </c>
      <c r="B1018" s="4">
        <f>221.9277 * CHOOSE(CONTROL!$C$9, $C$13, 100%, $E$13) + CHOOSE(CONTROL!$C$28, 0.0271, 0)</f>
        <v>221.95479999999998</v>
      </c>
      <c r="C1018" s="4">
        <f>221.6152 * CHOOSE(CONTROL!$C$9, $C$13, 100%, $E$13) + CHOOSE(CONTROL!$C$28, 0.0271, 0)</f>
        <v>221.64229999999998</v>
      </c>
      <c r="D1018" s="4">
        <f>156.683 * CHOOSE(CONTROL!$C$9, $C$13, 100%, $E$13) + CHOOSE(CONTROL!$C$28, 0, 0)</f>
        <v>156.68299999999999</v>
      </c>
      <c r="E1018" s="4">
        <f>1175.70847130101 * CHOOSE(CONTROL!$C$9, $C$13, 100%, $E$13) + CHOOSE(CONTROL!$C$28, 0, 0)</f>
        <v>1175.7084713010099</v>
      </c>
    </row>
    <row r="1019" spans="1:5" ht="15">
      <c r="A1019" s="13">
        <v>72532</v>
      </c>
      <c r="B1019" s="4">
        <f>221.8577 * CHOOSE(CONTROL!$C$9, $C$13, 100%, $E$13) + CHOOSE(CONTROL!$C$28, 0.0271, 0)</f>
        <v>221.88479999999998</v>
      </c>
      <c r="C1019" s="4">
        <f>221.5452 * CHOOSE(CONTROL!$C$9, $C$13, 100%, $E$13) + CHOOSE(CONTROL!$C$28, 0.0271, 0)</f>
        <v>221.57229999999998</v>
      </c>
      <c r="D1019" s="4">
        <f>159.2511 * CHOOSE(CONTROL!$C$9, $C$13, 100%, $E$13) + CHOOSE(CONTROL!$C$28, 0, 0)</f>
        <v>159.25110000000001</v>
      </c>
      <c r="E1019" s="4">
        <f>1175.33451822489 * CHOOSE(CONTROL!$C$9, $C$13, 100%, $E$13) + CHOOSE(CONTROL!$C$28, 0, 0)</f>
        <v>1175.33451822489</v>
      </c>
    </row>
    <row r="1020" spans="1:5" ht="15">
      <c r="A1020" s="13">
        <v>72563</v>
      </c>
      <c r="B1020" s="4">
        <f>227.1246 * CHOOSE(CONTROL!$C$9, $C$13, 100%, $E$13) + CHOOSE(CONTROL!$C$28, 0.0271, 0)</f>
        <v>227.15169999999998</v>
      </c>
      <c r="C1020" s="4">
        <f>226.8121 * CHOOSE(CONTROL!$C$9, $C$13, 100%, $E$13) + CHOOSE(CONTROL!$C$28, 0.0271, 0)</f>
        <v>226.83919999999998</v>
      </c>
      <c r="D1020" s="4">
        <f>157.5551 * CHOOSE(CONTROL!$C$9, $C$13, 100%, $E$13) + CHOOSE(CONTROL!$C$28, 0, 0)</f>
        <v>157.55510000000001</v>
      </c>
      <c r="E1020" s="4">
        <f>1203.47448720244 * CHOOSE(CONTROL!$C$9, $C$13, 100%, $E$13) + CHOOSE(CONTROL!$C$28, 0, 0)</f>
        <v>1203.4744872024401</v>
      </c>
    </row>
    <row r="1021" spans="1:5" ht="15">
      <c r="A1021" s="13">
        <v>72593</v>
      </c>
      <c r="B1021" s="4">
        <f>218.1482 * CHOOSE(CONTROL!$C$9, $C$13, 100%, $E$13) + CHOOSE(CONTROL!$C$28, 0.0271, 0)</f>
        <v>218.17529999999999</v>
      </c>
      <c r="C1021" s="4">
        <f>217.8357 * CHOOSE(CONTROL!$C$9, $C$13, 100%, $E$13) + CHOOSE(CONTROL!$C$28, 0.0271, 0)</f>
        <v>217.86279999999999</v>
      </c>
      <c r="D1021" s="4">
        <f>156.7538 * CHOOSE(CONTROL!$C$9, $C$13, 100%, $E$13) + CHOOSE(CONTROL!$C$28, 0, 0)</f>
        <v>156.75380000000001</v>
      </c>
      <c r="E1021" s="4">
        <f>1155.51500519088 * CHOOSE(CONTROL!$C$9, $C$13, 100%, $E$13) + CHOOSE(CONTROL!$C$28, 0, 0)</f>
        <v>1155.5150051908799</v>
      </c>
    </row>
    <row r="1022" spans="1:5" ht="15">
      <c r="A1022" s="13">
        <v>72624</v>
      </c>
      <c r="B1022" s="4">
        <f>210.9624 * CHOOSE(CONTROL!$C$9, $C$13, 100%, $E$13) + CHOOSE(CONTROL!$C$28, 0.0003, 0)</f>
        <v>210.96270000000001</v>
      </c>
      <c r="C1022" s="4">
        <f>210.6499 * CHOOSE(CONTROL!$C$9, $C$13, 100%, $E$13) + CHOOSE(CONTROL!$C$28, 0.0003, 0)</f>
        <v>210.65020000000001</v>
      </c>
      <c r="D1022" s="4">
        <f>154.6083 * CHOOSE(CONTROL!$C$9, $C$13, 100%, $E$13) + CHOOSE(CONTROL!$C$28, 0, 0)</f>
        <v>154.60830000000001</v>
      </c>
      <c r="E1022" s="4">
        <f>1117.12248937655 * CHOOSE(CONTROL!$C$9, $C$13, 100%, $E$13) + CHOOSE(CONTROL!$C$28, 0, 0)</f>
        <v>1117.12248937655</v>
      </c>
    </row>
    <row r="1023" spans="1:5" ht="15">
      <c r="A1023" s="13">
        <v>72654</v>
      </c>
      <c r="B1023" s="4">
        <f>206.3342 * CHOOSE(CONTROL!$C$9, $C$13, 100%, $E$13) + CHOOSE(CONTROL!$C$28, 0.0003, 0)</f>
        <v>206.33450000000002</v>
      </c>
      <c r="C1023" s="4">
        <f>206.0217 * CHOOSE(CONTROL!$C$9, $C$13, 100%, $E$13) + CHOOSE(CONTROL!$C$28, 0.0003, 0)</f>
        <v>206.02200000000002</v>
      </c>
      <c r="D1023" s="4">
        <f>153.8707 * CHOOSE(CONTROL!$C$9, $C$13, 100%, $E$13) + CHOOSE(CONTROL!$C$28, 0, 0)</f>
        <v>153.8707</v>
      </c>
      <c r="E1023" s="4">
        <f>1092.39484221854 * CHOOSE(CONTROL!$C$9, $C$13, 100%, $E$13) + CHOOSE(CONTROL!$C$28, 0, 0)</f>
        <v>1092.3948422185399</v>
      </c>
    </row>
    <row r="1024" spans="1:5" ht="15">
      <c r="A1024" s="13">
        <v>72685</v>
      </c>
      <c r="B1024" s="4">
        <f>203.1321 * CHOOSE(CONTROL!$C$9, $C$13, 100%, $E$13) + CHOOSE(CONTROL!$C$28, 0.0003, 0)</f>
        <v>203.13240000000002</v>
      </c>
      <c r="C1024" s="4">
        <f>202.8196 * CHOOSE(CONTROL!$C$9, $C$13, 100%, $E$13) + CHOOSE(CONTROL!$C$28, 0.0003, 0)</f>
        <v>202.81990000000002</v>
      </c>
      <c r="D1024" s="4">
        <f>148.4402 * CHOOSE(CONTROL!$C$9, $C$13, 100%, $E$13) + CHOOSE(CONTROL!$C$28, 0, 0)</f>
        <v>148.4402</v>
      </c>
      <c r="E1024" s="4">
        <f>1075.28648898635 * CHOOSE(CONTROL!$C$9, $C$13, 100%, $E$13) + CHOOSE(CONTROL!$C$28, 0, 0)</f>
        <v>1075.2864889863499</v>
      </c>
    </row>
    <row r="1025" spans="1:5" ht="15">
      <c r="A1025" s="13">
        <v>72716</v>
      </c>
      <c r="B1025" s="4">
        <f>197.9294 * CHOOSE(CONTROL!$C$9, $C$13, 100%, $E$13) + CHOOSE(CONTROL!$C$28, 0.0003, 0)</f>
        <v>197.9297</v>
      </c>
      <c r="C1025" s="4">
        <f>197.6169 * CHOOSE(CONTROL!$C$9, $C$13, 100%, $E$13) + CHOOSE(CONTROL!$C$28, 0.0003, 0)</f>
        <v>197.6172</v>
      </c>
      <c r="D1025" s="4">
        <f>143.4492 * CHOOSE(CONTROL!$C$9, $C$13, 100%, $E$13) + CHOOSE(CONTROL!$C$28, 0, 0)</f>
        <v>143.44919999999999</v>
      </c>
      <c r="E1025" s="4">
        <f>1044.45137007305 * CHOOSE(CONTROL!$C$9, $C$13, 100%, $E$13) + CHOOSE(CONTROL!$C$28, 0, 0)</f>
        <v>1044.4513700730499</v>
      </c>
    </row>
    <row r="1026" spans="1:5" ht="15">
      <c r="A1026" s="13">
        <v>72744</v>
      </c>
      <c r="B1026" s="4">
        <f>202.5845 * CHOOSE(CONTROL!$C$9, $C$13, 100%, $E$13) + CHOOSE(CONTROL!$C$28, 0.0003, 0)</f>
        <v>202.5848</v>
      </c>
      <c r="C1026" s="4">
        <f>202.272 * CHOOSE(CONTROL!$C$9, $C$13, 100%, $E$13) + CHOOSE(CONTROL!$C$28, 0.0003, 0)</f>
        <v>202.2723</v>
      </c>
      <c r="D1026" s="4">
        <f>148.4752 * CHOOSE(CONTROL!$C$9, $C$13, 100%, $E$13) + CHOOSE(CONTROL!$C$28, 0, 0)</f>
        <v>148.4752</v>
      </c>
      <c r="E1026" s="4">
        <f>1069.25076168685 * CHOOSE(CONTROL!$C$9, $C$13, 100%, $E$13) + CHOOSE(CONTROL!$C$28, 0, 0)</f>
        <v>1069.25076168685</v>
      </c>
    </row>
    <row r="1027" spans="1:5" ht="15">
      <c r="A1027" s="13">
        <v>72775</v>
      </c>
      <c r="B1027" s="4">
        <f>214.809 * CHOOSE(CONTROL!$C$9, $C$13, 100%, $E$13) + CHOOSE(CONTROL!$C$28, 0.0003, 0)</f>
        <v>214.80930000000001</v>
      </c>
      <c r="C1027" s="4">
        <f>214.4965 * CHOOSE(CONTROL!$C$9, $C$13, 100%, $E$13) + CHOOSE(CONTROL!$C$28, 0.0003, 0)</f>
        <v>214.49680000000001</v>
      </c>
      <c r="D1027" s="4">
        <f>156.3431 * CHOOSE(CONTROL!$C$9, $C$13, 100%, $E$13) + CHOOSE(CONTROL!$C$28, 0, 0)</f>
        <v>156.34309999999999</v>
      </c>
      <c r="E1027" s="4">
        <f>1134.3752819844 * CHOOSE(CONTROL!$C$9, $C$13, 100%, $E$13) + CHOOSE(CONTROL!$C$28, 0, 0)</f>
        <v>1134.3752819844001</v>
      </c>
    </row>
    <row r="1028" spans="1:5" ht="15">
      <c r="A1028" s="13">
        <v>72805</v>
      </c>
      <c r="B1028" s="4">
        <f>223.4947 * CHOOSE(CONTROL!$C$9, $C$13, 100%, $E$13) + CHOOSE(CONTROL!$C$28, 0.0003, 0)</f>
        <v>223.495</v>
      </c>
      <c r="C1028" s="4">
        <f>223.1822 * CHOOSE(CONTROL!$C$9, $C$13, 100%, $E$13) + CHOOSE(CONTROL!$C$28, 0.0003, 0)</f>
        <v>223.1825</v>
      </c>
      <c r="D1028" s="4">
        <f>160.8752 * CHOOSE(CONTROL!$C$9, $C$13, 100%, $E$13) + CHOOSE(CONTROL!$C$28, 0, 0)</f>
        <v>160.87520000000001</v>
      </c>
      <c r="E1028" s="4">
        <f>1180.64712155415 * CHOOSE(CONTROL!$C$9, $C$13, 100%, $E$13) + CHOOSE(CONTROL!$C$28, 0, 0)</f>
        <v>1180.6471215541501</v>
      </c>
    </row>
    <row r="1029" spans="1:5" ht="15">
      <c r="A1029" s="13">
        <v>72836</v>
      </c>
      <c r="B1029" s="4">
        <f>228.8015 * CHOOSE(CONTROL!$C$9, $C$13, 100%, $E$13) + CHOOSE(CONTROL!$C$28, 0.0271, 0)</f>
        <v>228.82859999999999</v>
      </c>
      <c r="C1029" s="4">
        <f>228.489 * CHOOSE(CONTROL!$C$9, $C$13, 100%, $E$13) + CHOOSE(CONTROL!$C$28, 0.0271, 0)</f>
        <v>228.51609999999999</v>
      </c>
      <c r="D1029" s="4">
        <f>159.0844 * CHOOSE(CONTROL!$C$9, $C$13, 100%, $E$13) + CHOOSE(CONTROL!$C$28, 0, 0)</f>
        <v>159.08439999999999</v>
      </c>
      <c r="E1029" s="4">
        <f>1208.91810655005 * CHOOSE(CONTROL!$C$9, $C$13, 100%, $E$13) + CHOOSE(CONTROL!$C$28, 0, 0)</f>
        <v>1208.91810655005</v>
      </c>
    </row>
    <row r="1030" spans="1:5" ht="15">
      <c r="A1030" s="13">
        <v>72866</v>
      </c>
      <c r="B1030" s="4">
        <f>229.5195 * CHOOSE(CONTROL!$C$9, $C$13, 100%, $E$13) + CHOOSE(CONTROL!$C$28, 0.0271, 0)</f>
        <v>229.54659999999998</v>
      </c>
      <c r="C1030" s="4">
        <f>229.207 * CHOOSE(CONTROL!$C$9, $C$13, 100%, $E$13) + CHOOSE(CONTROL!$C$28, 0.0271, 0)</f>
        <v>229.23409999999998</v>
      </c>
      <c r="D1030" s="4">
        <f>160.5429 * CHOOSE(CONTROL!$C$9, $C$13, 100%, $E$13) + CHOOSE(CONTROL!$C$28, 0, 0)</f>
        <v>160.5429</v>
      </c>
      <c r="E1030" s="4">
        <f>1212.74328814699 * CHOOSE(CONTROL!$C$9, $C$13, 100%, $E$13) + CHOOSE(CONTROL!$C$28, 0, 0)</f>
        <v>1212.7432881469899</v>
      </c>
    </row>
    <row r="1031" spans="1:5" ht="15">
      <c r="A1031" s="13">
        <v>72897</v>
      </c>
      <c r="B1031" s="4">
        <f>229.4471 * CHOOSE(CONTROL!$C$9, $C$13, 100%, $E$13) + CHOOSE(CONTROL!$C$28, 0.0271, 0)</f>
        <v>229.4742</v>
      </c>
      <c r="C1031" s="4">
        <f>229.1346 * CHOOSE(CONTROL!$C$9, $C$13, 100%, $E$13) + CHOOSE(CONTROL!$C$28, 0.0271, 0)</f>
        <v>229.1617</v>
      </c>
      <c r="D1031" s="4">
        <f>163.1746 * CHOOSE(CONTROL!$C$9, $C$13, 100%, $E$13) + CHOOSE(CONTROL!$C$28, 0, 0)</f>
        <v>163.1746</v>
      </c>
      <c r="E1031" s="4">
        <f>1212.35755554898 * CHOOSE(CONTROL!$C$9, $C$13, 100%, $E$13) + CHOOSE(CONTROL!$C$28, 0, 0)</f>
        <v>1212.3575555489799</v>
      </c>
    </row>
    <row r="1032" spans="1:5" ht="15">
      <c r="A1032" s="13">
        <v>72928</v>
      </c>
      <c r="B1032" s="4">
        <f>234.8957 * CHOOSE(CONTROL!$C$9, $C$13, 100%, $E$13) + CHOOSE(CONTROL!$C$28, 0.0271, 0)</f>
        <v>234.9228</v>
      </c>
      <c r="C1032" s="4">
        <f>234.5832 * CHOOSE(CONTROL!$C$9, $C$13, 100%, $E$13) + CHOOSE(CONTROL!$C$28, 0.0271, 0)</f>
        <v>234.6103</v>
      </c>
      <c r="D1032" s="4">
        <f>161.4366 * CHOOSE(CONTROL!$C$9, $C$13, 100%, $E$13) + CHOOSE(CONTROL!$C$28, 0, 0)</f>
        <v>161.4366</v>
      </c>
      <c r="E1032" s="4">
        <f>1241.38393354932 * CHOOSE(CONTROL!$C$9, $C$13, 100%, $E$13) + CHOOSE(CONTROL!$C$28, 0, 0)</f>
        <v>1241.3839335493201</v>
      </c>
    </row>
    <row r="1033" spans="1:5" ht="15">
      <c r="A1033" s="13">
        <v>72958</v>
      </c>
      <c r="B1033" s="4">
        <f>225.6096 * CHOOSE(CONTROL!$C$9, $C$13, 100%, $E$13) + CHOOSE(CONTROL!$C$28, 0.0271, 0)</f>
        <v>225.63669999999999</v>
      </c>
      <c r="C1033" s="4">
        <f>225.2971 * CHOOSE(CONTROL!$C$9, $C$13, 100%, $E$13) + CHOOSE(CONTROL!$C$28, 0.0271, 0)</f>
        <v>225.32419999999999</v>
      </c>
      <c r="D1033" s="4">
        <f>160.6154 * CHOOSE(CONTROL!$C$9, $C$13, 100%, $E$13) + CHOOSE(CONTROL!$C$28, 0, 0)</f>
        <v>160.61539999999999</v>
      </c>
      <c r="E1033" s="4">
        <f>1191.91372785439 * CHOOSE(CONTROL!$C$9, $C$13, 100%, $E$13) + CHOOSE(CONTROL!$C$28, 0, 0)</f>
        <v>1191.9137278543899</v>
      </c>
    </row>
    <row r="1034" spans="1:5" ht="15">
      <c r="A1034" s="13">
        <v>72989</v>
      </c>
      <c r="B1034" s="4">
        <f>218.1759 * CHOOSE(CONTROL!$C$9, $C$13, 100%, $E$13) + CHOOSE(CONTROL!$C$28, 0.0003, 0)</f>
        <v>218.17620000000002</v>
      </c>
      <c r="C1034" s="4">
        <f>217.8634 * CHOOSE(CONTROL!$C$9, $C$13, 100%, $E$13) + CHOOSE(CONTROL!$C$28, 0.0003, 0)</f>
        <v>217.86370000000002</v>
      </c>
      <c r="D1034" s="4">
        <f>158.4167 * CHOOSE(CONTROL!$C$9, $C$13, 100%, $E$13) + CHOOSE(CONTROL!$C$28, 0, 0)</f>
        <v>158.41669999999999</v>
      </c>
      <c r="E1034" s="4">
        <f>1152.31184779191 * CHOOSE(CONTROL!$C$9, $C$13, 100%, $E$13) + CHOOSE(CONTROL!$C$28, 0, 0)</f>
        <v>1152.3118477919099</v>
      </c>
    </row>
    <row r="1035" spans="1:5" ht="15">
      <c r="A1035" s="13">
        <v>73019</v>
      </c>
      <c r="B1035" s="4">
        <f>213.3881 * CHOOSE(CONTROL!$C$9, $C$13, 100%, $E$13) + CHOOSE(CONTROL!$C$28, 0.0003, 0)</f>
        <v>213.38840000000002</v>
      </c>
      <c r="C1035" s="4">
        <f>213.0756 * CHOOSE(CONTROL!$C$9, $C$13, 100%, $E$13) + CHOOSE(CONTROL!$C$28, 0.0003, 0)</f>
        <v>213.07590000000002</v>
      </c>
      <c r="D1035" s="4">
        <f>157.6608 * CHOOSE(CONTROL!$C$9, $C$13, 100%, $E$13) + CHOOSE(CONTROL!$C$28, 0, 0)</f>
        <v>157.66079999999999</v>
      </c>
      <c r="E1035" s="4">
        <f>1126.80527974843 * CHOOSE(CONTROL!$C$9, $C$13, 100%, $E$13) + CHOOSE(CONTROL!$C$28, 0, 0)</f>
        <v>1126.8052797484299</v>
      </c>
    </row>
    <row r="1036" spans="1:5" ht="15">
      <c r="A1036" s="13">
        <v>73050</v>
      </c>
      <c r="B1036" s="4">
        <f>210.0755 * CHOOSE(CONTROL!$C$9, $C$13, 100%, $E$13) + CHOOSE(CONTROL!$C$28, 0.0003, 0)</f>
        <v>210.07580000000002</v>
      </c>
      <c r="C1036" s="4">
        <f>209.763 * CHOOSE(CONTROL!$C$9, $C$13, 100%, $E$13) + CHOOSE(CONTROL!$C$28, 0.0003, 0)</f>
        <v>209.76330000000002</v>
      </c>
      <c r="D1036" s="4">
        <f>152.0957 * CHOOSE(CONTROL!$C$9, $C$13, 100%, $E$13) + CHOOSE(CONTROL!$C$28, 0, 0)</f>
        <v>152.09569999999999</v>
      </c>
      <c r="E1036" s="4">
        <f>1109.15801338942 * CHOOSE(CONTROL!$C$9, $C$13, 100%, $E$13) + CHOOSE(CONTROL!$C$28, 0, 0)</f>
        <v>1109.1580133894199</v>
      </c>
    </row>
    <row r="1037" spans="1:5" ht="15">
      <c r="A1037" s="13">
        <v>73081</v>
      </c>
      <c r="B1037" s="4">
        <f>204.6933 * CHOOSE(CONTROL!$C$9, $C$13, 100%, $E$13) + CHOOSE(CONTROL!$C$28, 0.0003, 0)</f>
        <v>204.6936</v>
      </c>
      <c r="C1037" s="4">
        <f>204.3808 * CHOOSE(CONTROL!$C$9, $C$13, 100%, $E$13) + CHOOSE(CONTROL!$C$28, 0.0003, 0)</f>
        <v>204.3811</v>
      </c>
      <c r="D1037" s="4">
        <f>146.9808 * CHOOSE(CONTROL!$C$9, $C$13, 100%, $E$13) + CHOOSE(CONTROL!$C$28, 0, 0)</f>
        <v>146.98079999999999</v>
      </c>
      <c r="E1037" s="4">
        <f>1077.35158823035 * CHOOSE(CONTROL!$C$9, $C$13, 100%, $E$13) + CHOOSE(CONTROL!$C$28, 0, 0)</f>
        <v>1077.35158823035</v>
      </c>
    </row>
    <row r="1038" spans="1:5" ht="15">
      <c r="A1038" s="13">
        <v>73109</v>
      </c>
      <c r="B1038" s="4">
        <f>209.509 * CHOOSE(CONTROL!$C$9, $C$13, 100%, $E$13) + CHOOSE(CONTROL!$C$28, 0.0003, 0)</f>
        <v>209.5093</v>
      </c>
      <c r="C1038" s="4">
        <f>209.1965 * CHOOSE(CONTROL!$C$9, $C$13, 100%, $E$13) + CHOOSE(CONTROL!$C$28, 0.0003, 0)</f>
        <v>209.1968</v>
      </c>
      <c r="D1038" s="4">
        <f>152.1315 * CHOOSE(CONTROL!$C$9, $C$13, 100%, $E$13) + CHOOSE(CONTROL!$C$28, 0, 0)</f>
        <v>152.13149999999999</v>
      </c>
      <c r="E1038" s="4">
        <f>1102.93216067999 * CHOOSE(CONTROL!$C$9, $C$13, 100%, $E$13) + CHOOSE(CONTROL!$C$28, 0, 0)</f>
        <v>1102.9321606799899</v>
      </c>
    </row>
    <row r="1039" spans="1:5" ht="15">
      <c r="A1039" s="13">
        <v>73140</v>
      </c>
      <c r="B1039" s="4">
        <f>222.1553 * CHOOSE(CONTROL!$C$9, $C$13, 100%, $E$13) + CHOOSE(CONTROL!$C$28, 0.0003, 0)</f>
        <v>222.15560000000002</v>
      </c>
      <c r="C1039" s="4">
        <f>221.8428 * CHOOSE(CONTROL!$C$9, $C$13, 100%, $E$13) + CHOOSE(CONTROL!$C$28, 0.0003, 0)</f>
        <v>221.84310000000002</v>
      </c>
      <c r="D1039" s="4">
        <f>160.1945 * CHOOSE(CONTROL!$C$9, $C$13, 100%, $E$13) + CHOOSE(CONTROL!$C$28, 0, 0)</f>
        <v>160.19450000000001</v>
      </c>
      <c r="E1039" s="4">
        <f>1170.1081033669 * CHOOSE(CONTROL!$C$9, $C$13, 100%, $E$13) + CHOOSE(CONTROL!$C$28, 0, 0)</f>
        <v>1170.1081033669</v>
      </c>
    </row>
    <row r="1040" spans="1:5" ht="15">
      <c r="A1040" s="13">
        <v>73170</v>
      </c>
      <c r="B1040" s="4">
        <f>231.1406 * CHOOSE(CONTROL!$C$9, $C$13, 100%, $E$13) + CHOOSE(CONTROL!$C$28, 0.0003, 0)</f>
        <v>231.14090000000002</v>
      </c>
      <c r="C1040" s="4">
        <f>230.8281 * CHOOSE(CONTROL!$C$9, $C$13, 100%, $E$13) + CHOOSE(CONTROL!$C$28, 0.0003, 0)</f>
        <v>230.82840000000002</v>
      </c>
      <c r="D1040" s="4">
        <f>164.8391 * CHOOSE(CONTROL!$C$9, $C$13, 100%, $E$13) + CHOOSE(CONTROL!$C$28, 0, 0)</f>
        <v>164.8391</v>
      </c>
      <c r="E1040" s="4">
        <f>1217.8375058831 * CHOOSE(CONTROL!$C$9, $C$13, 100%, $E$13) + CHOOSE(CONTROL!$C$28, 0, 0)</f>
        <v>1217.8375058831</v>
      </c>
    </row>
    <row r="1041" spans="1:5" ht="15">
      <c r="A1041" s="13">
        <v>73201</v>
      </c>
      <c r="B1041" s="4">
        <f>236.6305 * CHOOSE(CONTROL!$C$9, $C$13, 100%, $E$13) + CHOOSE(CONTROL!$C$28, 0.0271, 0)</f>
        <v>236.6576</v>
      </c>
      <c r="C1041" s="4">
        <f>236.318 * CHOOSE(CONTROL!$C$9, $C$13, 100%, $E$13) + CHOOSE(CONTROL!$C$28, 0.0271, 0)</f>
        <v>236.3451</v>
      </c>
      <c r="D1041" s="4">
        <f>163.0038 * CHOOSE(CONTROL!$C$9, $C$13, 100%, $E$13) + CHOOSE(CONTROL!$C$28, 0, 0)</f>
        <v>163.00380000000001</v>
      </c>
      <c r="E1041" s="4">
        <f>1246.99902690637 * CHOOSE(CONTROL!$C$9, $C$13, 100%, $E$13) + CHOOSE(CONTROL!$C$28, 0, 0)</f>
        <v>1246.9990269063701</v>
      </c>
    </row>
    <row r="1042" spans="1:5" ht="15">
      <c r="A1042" s="13">
        <v>73231</v>
      </c>
      <c r="B1042" s="4">
        <f>237.3733 * CHOOSE(CONTROL!$C$9, $C$13, 100%, $E$13) + CHOOSE(CONTROL!$C$28, 0.0271, 0)</f>
        <v>237.40039999999999</v>
      </c>
      <c r="C1042" s="4">
        <f>237.0608 * CHOOSE(CONTROL!$C$9, $C$13, 100%, $E$13) + CHOOSE(CONTROL!$C$28, 0.0271, 0)</f>
        <v>237.08789999999999</v>
      </c>
      <c r="D1042" s="4">
        <f>164.4985 * CHOOSE(CONTROL!$C$9, $C$13, 100%, $E$13) + CHOOSE(CONTROL!$C$28, 0, 0)</f>
        <v>164.49850000000001</v>
      </c>
      <c r="E1042" s="4">
        <f>1250.94470172362 * CHOOSE(CONTROL!$C$9, $C$13, 100%, $E$13) + CHOOSE(CONTROL!$C$28, 0, 0)</f>
        <v>1250.94470172362</v>
      </c>
    </row>
    <row r="1043" spans="1:5" ht="15">
      <c r="A1043" s="13">
        <v>73262</v>
      </c>
      <c r="B1043" s="4">
        <f>237.2984 * CHOOSE(CONTROL!$C$9, $C$13, 100%, $E$13) + CHOOSE(CONTROL!$C$28, 0.0271, 0)</f>
        <v>237.32549999999998</v>
      </c>
      <c r="C1043" s="4">
        <f>236.9859 * CHOOSE(CONTROL!$C$9, $C$13, 100%, $E$13) + CHOOSE(CONTROL!$C$28, 0.0271, 0)</f>
        <v>237.01299999999998</v>
      </c>
      <c r="D1043" s="4">
        <f>167.1955 * CHOOSE(CONTROL!$C$9, $C$13, 100%, $E$13) + CHOOSE(CONTROL!$C$28, 0, 0)</f>
        <v>167.19550000000001</v>
      </c>
      <c r="E1043" s="4">
        <f>1250.54681854877 * CHOOSE(CONTROL!$C$9, $C$13, 100%, $E$13) + CHOOSE(CONTROL!$C$28, 0, 0)</f>
        <v>1250.54681854877</v>
      </c>
    </row>
    <row r="1044" spans="1:5" ht="15">
      <c r="A1044" s="13">
        <v>73293</v>
      </c>
      <c r="B1044" s="4">
        <f>242.9349 * CHOOSE(CONTROL!$C$9, $C$13, 100%, $E$13) + CHOOSE(CONTROL!$C$28, 0.0271, 0)</f>
        <v>242.96199999999999</v>
      </c>
      <c r="C1044" s="4">
        <f>242.6224 * CHOOSE(CONTROL!$C$9, $C$13, 100%, $E$13) + CHOOSE(CONTROL!$C$28, 0.0271, 0)</f>
        <v>242.64949999999999</v>
      </c>
      <c r="D1044" s="4">
        <f>165.4143 * CHOOSE(CONTROL!$C$9, $C$13, 100%, $E$13) + CHOOSE(CONTROL!$C$28, 0, 0)</f>
        <v>165.4143</v>
      </c>
      <c r="E1044" s="4">
        <f>1280.48752745612 * CHOOSE(CONTROL!$C$9, $C$13, 100%, $E$13) + CHOOSE(CONTROL!$C$28, 0, 0)</f>
        <v>1280.48752745612</v>
      </c>
    </row>
    <row r="1045" spans="1:5" ht="15">
      <c r="A1045" s="13">
        <v>73323</v>
      </c>
      <c r="B1045" s="4">
        <f>233.3284 * CHOOSE(CONTROL!$C$9, $C$13, 100%, $E$13) + CHOOSE(CONTROL!$C$28, 0.0271, 0)</f>
        <v>233.35549999999998</v>
      </c>
      <c r="C1045" s="4">
        <f>233.0159 * CHOOSE(CONTROL!$C$9, $C$13, 100%, $E$13) + CHOOSE(CONTROL!$C$28, 0.0271, 0)</f>
        <v>233.04299999999998</v>
      </c>
      <c r="D1045" s="4">
        <f>164.5728 * CHOOSE(CONTROL!$C$9, $C$13, 100%, $E$13) + CHOOSE(CONTROL!$C$28, 0, 0)</f>
        <v>164.5728</v>
      </c>
      <c r="E1045" s="4">
        <f>1229.4590102818 * CHOOSE(CONTROL!$C$9, $C$13, 100%, $E$13) + CHOOSE(CONTROL!$C$28, 0, 0)</f>
        <v>1229.4590102817999</v>
      </c>
    </row>
    <row r="1046" spans="1:5" ht="15">
      <c r="A1046" s="13">
        <v>73354</v>
      </c>
      <c r="B1046" s="4">
        <f>225.6383 * CHOOSE(CONTROL!$C$9, $C$13, 100%, $E$13) + CHOOSE(CONTROL!$C$28, 0.0003, 0)</f>
        <v>225.6386</v>
      </c>
      <c r="C1046" s="4">
        <f>225.3258 * CHOOSE(CONTROL!$C$9, $C$13, 100%, $E$13) + CHOOSE(CONTROL!$C$28, 0.0003, 0)</f>
        <v>225.3261</v>
      </c>
      <c r="D1046" s="4">
        <f>162.3196 * CHOOSE(CONTROL!$C$9, $C$13, 100%, $E$13) + CHOOSE(CONTROL!$C$28, 0, 0)</f>
        <v>162.31960000000001</v>
      </c>
      <c r="E1046" s="4">
        <f>1188.60967099736 * CHOOSE(CONTROL!$C$9, $C$13, 100%, $E$13) + CHOOSE(CONTROL!$C$28, 0, 0)</f>
        <v>1188.6096709973599</v>
      </c>
    </row>
    <row r="1047" spans="1:5" ht="15">
      <c r="A1047" s="13">
        <v>73384</v>
      </c>
      <c r="B1047" s="4">
        <f>220.6853 * CHOOSE(CONTROL!$C$9, $C$13, 100%, $E$13) + CHOOSE(CONTROL!$C$28, 0.0003, 0)</f>
        <v>220.68560000000002</v>
      </c>
      <c r="C1047" s="4">
        <f>220.3728 * CHOOSE(CONTROL!$C$9, $C$13, 100%, $E$13) + CHOOSE(CONTROL!$C$28, 0.0003, 0)</f>
        <v>220.37310000000002</v>
      </c>
      <c r="D1047" s="4">
        <f>161.5449 * CHOOSE(CONTROL!$C$9, $C$13, 100%, $E$13) + CHOOSE(CONTROL!$C$28, 0, 0)</f>
        <v>161.54490000000001</v>
      </c>
      <c r="E1047" s="4">
        <f>1162.2996460605 * CHOOSE(CONTROL!$C$9, $C$13, 100%, $E$13) + CHOOSE(CONTROL!$C$28, 0, 0)</f>
        <v>1162.2996460605</v>
      </c>
    </row>
    <row r="1048" spans="1:5" ht="15">
      <c r="A1048" s="13">
        <v>73415</v>
      </c>
      <c r="B1048" s="4">
        <f>217.2584 * CHOOSE(CONTROL!$C$9, $C$13, 100%, $E$13) + CHOOSE(CONTROL!$C$28, 0.0003, 0)</f>
        <v>217.2587</v>
      </c>
      <c r="C1048" s="4">
        <f>216.9459 * CHOOSE(CONTROL!$C$9, $C$13, 100%, $E$13) + CHOOSE(CONTROL!$C$28, 0.0003, 0)</f>
        <v>216.9462</v>
      </c>
      <c r="D1048" s="4">
        <f>155.8418 * CHOOSE(CONTROL!$C$9, $C$13, 100%, $E$13) + CHOOSE(CONTROL!$C$28, 0, 0)</f>
        <v>155.84180000000001</v>
      </c>
      <c r="E1048" s="4">
        <f>1144.09649081118 * CHOOSE(CONTROL!$C$9, $C$13, 100%, $E$13) + CHOOSE(CONTROL!$C$28, 0, 0)</f>
        <v>1144.09649081118</v>
      </c>
    </row>
    <row r="1049" spans="1:5" ht="15">
      <c r="A1049" s="10"/>
      <c r="B1049" s="4"/>
      <c r="C1049" s="4"/>
      <c r="D1049" s="4"/>
      <c r="E1049" s="4"/>
    </row>
    <row r="1050" spans="1:5" ht="15">
      <c r="A1050" s="3">
        <v>2015</v>
      </c>
      <c r="B1050" s="4">
        <f>AVERAGE(B17:B28)</f>
        <v>9.1080916666666667</v>
      </c>
      <c r="C1050" s="4">
        <f>AVERAGE(C17:C28)</f>
        <v>8.7955916666666667</v>
      </c>
      <c r="D1050" s="4">
        <f>AVERAGE(D17:D28)</f>
        <v>13.924608333333333</v>
      </c>
      <c r="E1050" s="4">
        <f>AVERAGE(E17:E28)</f>
        <v>50.20333333333334</v>
      </c>
    </row>
    <row r="1051" spans="1:5" ht="15">
      <c r="A1051" s="3">
        <v>2016</v>
      </c>
      <c r="B1051" s="4">
        <f>AVERAGE(B29:B40)</f>
        <v>9.0557333333333325</v>
      </c>
      <c r="C1051" s="4">
        <f>AVERAGE(C29:C40)</f>
        <v>8.7432416666666661</v>
      </c>
      <c r="D1051" s="4">
        <f>AVERAGE(D29:D40)</f>
        <v>13.116425000000001</v>
      </c>
      <c r="E1051" s="4">
        <f>AVERAGE(E29:E40)</f>
        <v>50.4</v>
      </c>
    </row>
    <row r="1052" spans="1:5" ht="15">
      <c r="A1052" s="3">
        <v>2017</v>
      </c>
      <c r="B1052" s="4">
        <f>AVERAGE(B41:B52)</f>
        <v>9.9112083333333327</v>
      </c>
      <c r="C1052" s="4">
        <f>AVERAGE(C41:C52)</f>
        <v>9.5987166666666663</v>
      </c>
      <c r="D1052" s="4">
        <f>AVERAGE(D41:D52)</f>
        <v>13.886891666666665</v>
      </c>
      <c r="E1052" s="4">
        <f>AVERAGE(E41:E52)</f>
        <v>54.111666666666657</v>
      </c>
    </row>
    <row r="1053" spans="1:5" ht="15">
      <c r="A1053" s="3">
        <v>2018</v>
      </c>
      <c r="B1053" s="4">
        <f>AVERAGE(B53:B64)</f>
        <v>11.748383333333331</v>
      </c>
      <c r="C1053" s="4">
        <f>AVERAGE(C53:C64)</f>
        <v>11.435883333333335</v>
      </c>
      <c r="D1053" s="4">
        <f>AVERAGE(D53:D64)</f>
        <v>16.072191666666665</v>
      </c>
      <c r="E1053" s="4">
        <f>AVERAGE(E53:E64)</f>
        <v>66.604334004720059</v>
      </c>
    </row>
    <row r="1054" spans="1:5" ht="15">
      <c r="A1054" s="3">
        <v>2019</v>
      </c>
      <c r="B1054" s="4">
        <f>AVERAGE(B65:B76)</f>
        <v>12.419099999999998</v>
      </c>
      <c r="C1054" s="4">
        <f>AVERAGE(C65:C76)</f>
        <v>12.106599999999998</v>
      </c>
      <c r="D1054" s="4">
        <f>AVERAGE(D65:D76)</f>
        <v>16.878016666666667</v>
      </c>
      <c r="E1054" s="4">
        <f>AVERAGE(E65:E76)</f>
        <v>71.055675048828135</v>
      </c>
    </row>
    <row r="1055" spans="1:5" ht="15">
      <c r="A1055" s="3">
        <v>2020</v>
      </c>
      <c r="B1055" s="4">
        <f>AVERAGE(B77:B88)</f>
        <v>15.383516666666667</v>
      </c>
      <c r="C1055" s="4">
        <f>AVERAGE(C77:C88)</f>
        <v>15.071016666666667</v>
      </c>
      <c r="D1055" s="4">
        <f>AVERAGE(D77:D88)</f>
        <v>20.231241666666666</v>
      </c>
      <c r="E1055" s="4">
        <f>AVERAGE(E77:E88)</f>
        <v>90.270339965820327</v>
      </c>
    </row>
    <row r="1056" spans="1:5" ht="15">
      <c r="A1056" s="3">
        <v>2021</v>
      </c>
      <c r="B1056" s="4">
        <f>AVERAGE(B89:B100)</f>
        <v>16.363633333333333</v>
      </c>
      <c r="C1056" s="4">
        <f>AVERAGE(C89:C100)</f>
        <v>16.051133333333333</v>
      </c>
      <c r="D1056" s="4">
        <f>AVERAGE(D89:D100)</f>
        <v>21.142483333333331</v>
      </c>
      <c r="E1056" s="4">
        <f>AVERAGE(E89:E100)</f>
        <v>95.231910705566449</v>
      </c>
    </row>
    <row r="1057" spans="1:5" ht="15">
      <c r="A1057" s="3">
        <v>2022</v>
      </c>
      <c r="B1057" s="4">
        <f>AVERAGE(B101:B112)</f>
        <v>17.151208333333333</v>
      </c>
      <c r="C1057" s="4">
        <f>AVERAGE(C101:C112)</f>
        <v>16.838708333333333</v>
      </c>
      <c r="D1057" s="4">
        <f>AVERAGE(D101:D112)</f>
        <v>22.159933333333338</v>
      </c>
      <c r="E1057" s="4">
        <f>AVERAGE(E101:E112)</f>
        <v>100.19161987304686</v>
      </c>
    </row>
    <row r="1058" spans="1:5" ht="15">
      <c r="A1058" s="3">
        <v>2023</v>
      </c>
      <c r="B1058" s="4">
        <f>AVERAGE(B113:B124)</f>
        <v>17.994541666666667</v>
      </c>
      <c r="C1058" s="4">
        <f>AVERAGE(C113:C124)</f>
        <v>17.682041666666667</v>
      </c>
      <c r="D1058" s="4">
        <f>AVERAGE(D113:D124)</f>
        <v>23.235850000000003</v>
      </c>
      <c r="E1058" s="4">
        <f>AVERAGE(E113:E124)</f>
        <v>105.09546661376959</v>
      </c>
    </row>
    <row r="1059" spans="1:5" ht="15">
      <c r="A1059" s="3">
        <v>2024</v>
      </c>
      <c r="B1059" s="4">
        <f>AVERAGE(B125:B136)</f>
        <v>18.795533333333335</v>
      </c>
      <c r="C1059" s="4">
        <f>AVERAGE(C125:C136)</f>
        <v>18.483033333333335</v>
      </c>
      <c r="D1059" s="4">
        <f>AVERAGE(D125:D136)</f>
        <v>24.654274999999998</v>
      </c>
      <c r="E1059" s="4">
        <f>AVERAGE(E125:E136)</f>
        <v>109.99078369140625</v>
      </c>
    </row>
    <row r="1060" spans="1:5" ht="15">
      <c r="A1060" s="3">
        <v>2025</v>
      </c>
      <c r="B1060" s="4">
        <f>AVERAGE(B137:B148)</f>
        <v>19.963358333333332</v>
      </c>
      <c r="C1060" s="4">
        <f>AVERAGE(C137:C148)</f>
        <v>19.650858333333332</v>
      </c>
      <c r="D1060" s="4">
        <f>AVERAGE(D137:D148)</f>
        <v>25.958483333333334</v>
      </c>
      <c r="E1060" s="4">
        <f>AVERAGE(E137:E148)</f>
        <v>115.49522399902342</v>
      </c>
    </row>
    <row r="1061" spans="1:5" ht="15">
      <c r="A1061" s="3">
        <v>2026</v>
      </c>
      <c r="B1061" s="4">
        <f>AVERAGE(B149:B160)</f>
        <v>20.519958333333332</v>
      </c>
      <c r="C1061" s="4">
        <f>AVERAGE(C149:C160)</f>
        <v>20.207458333333332</v>
      </c>
      <c r="D1061" s="4">
        <f>AVERAGE(D149:D160)</f>
        <v>26.718374999999998</v>
      </c>
      <c r="E1061" s="4">
        <f>AVERAGE(E149:E160)</f>
        <v>119.41790008544926</v>
      </c>
    </row>
    <row r="1062" spans="1:5" ht="15">
      <c r="A1062" s="3">
        <v>2027</v>
      </c>
      <c r="B1062" s="4">
        <f>AVERAGE(B161:B172)</f>
        <v>21.099991666666668</v>
      </c>
      <c r="C1062" s="4">
        <f>AVERAGE(C161:C172)</f>
        <v>20.787491666666668</v>
      </c>
      <c r="D1062" s="4">
        <f>AVERAGE(D161:D172)</f>
        <v>27.451833333333337</v>
      </c>
      <c r="E1062" s="4">
        <f>AVERAGE(E161:E172)</f>
        <v>123.19518280029284</v>
      </c>
    </row>
    <row r="1063" spans="1:5" ht="15">
      <c r="A1063" s="3">
        <v>2028</v>
      </c>
      <c r="B1063" s="4">
        <f>AVERAGE(B173:B184)</f>
        <v>21.68534166666667</v>
      </c>
      <c r="C1063" s="4">
        <f>AVERAGE(C173:C184)</f>
        <v>21.37284166666667</v>
      </c>
      <c r="D1063" s="4">
        <f>AVERAGE(D173:D184)</f>
        <v>28.140650000000004</v>
      </c>
      <c r="E1063" s="4">
        <f>AVERAGE(E173:E184)</f>
        <v>127.06141662597656</v>
      </c>
    </row>
    <row r="1064" spans="1:5" ht="15">
      <c r="A1064" s="3">
        <v>2029</v>
      </c>
      <c r="B1064" s="4">
        <f>AVERAGE(B185:B196)</f>
        <v>22.286516666666667</v>
      </c>
      <c r="C1064" s="4">
        <f>AVERAGE(C185:C196)</f>
        <v>21.974016666666667</v>
      </c>
      <c r="D1064" s="4">
        <f>AVERAGE(D185:D196)</f>
        <v>28.779199999999999</v>
      </c>
      <c r="E1064" s="4">
        <f>AVERAGE(E185:E196)</f>
        <v>130.9290771484375</v>
      </c>
    </row>
    <row r="1065" spans="1:5" ht="15">
      <c r="A1065" s="3">
        <v>2030</v>
      </c>
      <c r="B1065" s="4">
        <f>AVERAGE(B197:B208)</f>
        <v>22.877224999999999</v>
      </c>
      <c r="C1065" s="4">
        <f>AVERAGE(C197:C208)</f>
        <v>22.564724999999999</v>
      </c>
      <c r="D1065" s="4">
        <f>AVERAGE(D197:D208)</f>
        <v>29.414024999999999</v>
      </c>
      <c r="E1065" s="4">
        <f>AVERAGE(E197:E208)</f>
        <v>134.74345397949227</v>
      </c>
    </row>
    <row r="1066" spans="1:5" ht="15">
      <c r="A1066" s="3">
        <v>2031</v>
      </c>
      <c r="B1066" s="4">
        <f>AVERAGE(B209:B220)</f>
        <v>23.625049999999998</v>
      </c>
      <c r="C1066" s="4">
        <f>AVERAGE(C209:C220)</f>
        <v>23.312549999999998</v>
      </c>
      <c r="D1066" s="4">
        <f>AVERAGE(D209:D220)</f>
        <v>30.234391666666667</v>
      </c>
      <c r="E1066" s="4">
        <f>AVERAGE(E209:E220)</f>
        <v>139.60798645019534</v>
      </c>
    </row>
    <row r="1067" spans="1:5" ht="15">
      <c r="A1067" s="3">
        <v>2032</v>
      </c>
      <c r="B1067" s="4">
        <f>AVERAGE(B221:B232)</f>
        <v>24.388533333333328</v>
      </c>
      <c r="C1067" s="4">
        <f>AVERAGE(C221:C232)</f>
        <v>24.076033333333328</v>
      </c>
      <c r="D1067" s="4">
        <f>AVERAGE(D221:D232)</f>
        <v>31.054766666666676</v>
      </c>
      <c r="E1067" s="4">
        <f>AVERAGE(E221:E232)</f>
        <v>144.46009826660156</v>
      </c>
    </row>
    <row r="1068" spans="1:5" ht="15">
      <c r="A1068" s="3">
        <v>2033</v>
      </c>
      <c r="B1068" s="4">
        <f>AVERAGE(B233:B244)</f>
        <v>25.148366666666671</v>
      </c>
      <c r="C1068" s="4">
        <f>AVERAGE(C233:C244)</f>
        <v>24.835866666666671</v>
      </c>
      <c r="D1068" s="4">
        <f>AVERAGE(D233:D244)</f>
        <v>31.871183333333335</v>
      </c>
      <c r="E1068" s="4">
        <f>AVERAGE(E233:E244)</f>
        <v>149.300048828125</v>
      </c>
    </row>
    <row r="1069" spans="1:5" ht="15">
      <c r="A1069" s="3">
        <v>2034</v>
      </c>
      <c r="B1069" s="4">
        <f>AVERAGE(B245:B256)</f>
        <v>25.906674999999996</v>
      </c>
      <c r="C1069" s="4">
        <f>AVERAGE(C245:C256)</f>
        <v>25.594174999999996</v>
      </c>
      <c r="D1069" s="4">
        <f>AVERAGE(D245:D256)</f>
        <v>32.685916666666664</v>
      </c>
      <c r="E1069" s="4">
        <f>AVERAGE(E245:E256)</f>
        <v>154.13546752929702</v>
      </c>
    </row>
    <row r="1070" spans="1:5" ht="15">
      <c r="A1070" s="3">
        <v>2035</v>
      </c>
      <c r="B1070" s="4">
        <f>AVERAGE(B257:B268)</f>
        <v>26.665241666666663</v>
      </c>
      <c r="C1070" s="4">
        <f>AVERAGE(C257:C268)</f>
        <v>26.352741666666663</v>
      </c>
      <c r="D1070" s="4">
        <f>AVERAGE(D257:D268)</f>
        <v>33.528350000000003</v>
      </c>
      <c r="E1070" s="4">
        <f>AVERAGE(E257:E268)</f>
        <v>158.96897888183591</v>
      </c>
    </row>
    <row r="1071" spans="1:5" ht="15">
      <c r="A1071" s="3">
        <v>2036</v>
      </c>
      <c r="B1071" s="4">
        <f>AVERAGE(B269:B280)</f>
        <v>27.520116666666663</v>
      </c>
      <c r="C1071" s="4">
        <f>AVERAGE(C269:C280)</f>
        <v>27.207616666666663</v>
      </c>
      <c r="D1071" s="4">
        <f>AVERAGE(D269:D280)</f>
        <v>34.333983333333336</v>
      </c>
      <c r="E1071" s="4">
        <f>AVERAGE(E269:E280)</f>
        <v>163.97650171661374</v>
      </c>
    </row>
    <row r="1072" spans="1:5" ht="15">
      <c r="A1072" s="3">
        <v>2037</v>
      </c>
      <c r="B1072" s="4">
        <f>AVERAGE(B281:B292)</f>
        <v>28.404483333333332</v>
      </c>
      <c r="C1072" s="4">
        <f>AVERAGE(C281:C292)</f>
        <v>28.091983333333332</v>
      </c>
      <c r="D1072" s="4">
        <f>AVERAGE(D281:D292)</f>
        <v>35.159558333333337</v>
      </c>
      <c r="E1072" s="4">
        <f>AVERAGE(E281:E292)</f>
        <v>169.14176152068725</v>
      </c>
    </row>
    <row r="1073" spans="1:5" ht="15">
      <c r="A1073" s="3">
        <f t="shared" ref="A1073:A1104" si="0">A1072+1</f>
        <v>2038</v>
      </c>
      <c r="B1073" s="4">
        <f>AVERAGE(B293:B304)</f>
        <v>29.319333333333336</v>
      </c>
      <c r="C1073" s="4">
        <f>AVERAGE(C293:C304)</f>
        <v>29.006833333333336</v>
      </c>
      <c r="D1073" s="4">
        <f>AVERAGE(D293:D304)</f>
        <v>36.005616666666675</v>
      </c>
      <c r="E1073" s="4">
        <f>AVERAGE(E293:E304)</f>
        <v>174.46972700858888</v>
      </c>
    </row>
    <row r="1074" spans="1:5" ht="15">
      <c r="A1074" s="3">
        <f t="shared" si="0"/>
        <v>2039</v>
      </c>
      <c r="B1074" s="4">
        <f>AVERAGE(B305:B316)</f>
        <v>30.265783333333331</v>
      </c>
      <c r="C1074" s="4">
        <f>AVERAGE(C305:C316)</f>
        <v>29.953283333333331</v>
      </c>
      <c r="D1074" s="4">
        <f>AVERAGE(D305:D316)</f>
        <v>36.872683333333335</v>
      </c>
      <c r="E1074" s="4">
        <f>AVERAGE(E305:E316)</f>
        <v>179.96552340935941</v>
      </c>
    </row>
    <row r="1075" spans="1:5" ht="15">
      <c r="A1075" s="3">
        <f t="shared" si="0"/>
        <v>2040</v>
      </c>
      <c r="B1075" s="4">
        <f>AVERAGE(B317:B328)</f>
        <v>31.24488333333333</v>
      </c>
      <c r="C1075" s="4">
        <f>AVERAGE(C317:C328)</f>
        <v>30.93238333333333</v>
      </c>
      <c r="D1075" s="4">
        <f>AVERAGE(D317:D328)</f>
        <v>37.761224999999996</v>
      </c>
      <c r="E1075" s="4">
        <f>AVERAGE(E317:E328)</f>
        <v>185.63443739675415</v>
      </c>
    </row>
    <row r="1076" spans="1:5" ht="15">
      <c r="A1076" s="3">
        <f t="shared" si="0"/>
        <v>2041</v>
      </c>
      <c r="B1076" s="4">
        <f>AVERAGE(B329:B340)</f>
        <v>32.257725000000001</v>
      </c>
      <c r="C1076" s="4">
        <f>AVERAGE(C329:C340)</f>
        <v>31.945224999999997</v>
      </c>
      <c r="D1076" s="4">
        <f>AVERAGE(D329:D340)</f>
        <v>38.671799999999998</v>
      </c>
      <c r="E1076" s="4">
        <f>AVERAGE(E329:E340)</f>
        <v>191.48192217475193</v>
      </c>
    </row>
    <row r="1077" spans="1:5" ht="15">
      <c r="A1077" s="3">
        <f t="shared" si="0"/>
        <v>2042</v>
      </c>
      <c r="B1077" s="4">
        <f>AVERAGE(B341:B352)</f>
        <v>33.305533333333337</v>
      </c>
      <c r="C1077" s="4">
        <f>AVERAGE(C341:C352)</f>
        <v>32.993033333333337</v>
      </c>
      <c r="D1077" s="4">
        <f>AVERAGE(D341:D352)</f>
        <v>39.604975000000003</v>
      </c>
      <c r="E1077" s="4">
        <f>AVERAGE(E341:E352)</f>
        <v>197.51360272325675</v>
      </c>
    </row>
    <row r="1078" spans="1:5" ht="15">
      <c r="A1078" s="3">
        <f t="shared" si="0"/>
        <v>2043</v>
      </c>
      <c r="B1078" s="4">
        <f>AVERAGE(B353:B364)</f>
        <v>34.389508333333332</v>
      </c>
      <c r="C1078" s="4">
        <f>AVERAGE(C353:C364)</f>
        <v>34.077008333333332</v>
      </c>
      <c r="D1078" s="4">
        <f>AVERAGE(D353:D364)</f>
        <v>40.561299999999996</v>
      </c>
      <c r="E1078" s="4">
        <f>AVERAGE(E353:E364)</f>
        <v>203.73528120903936</v>
      </c>
    </row>
    <row r="1079" spans="1:5" ht="15">
      <c r="A1079" s="3">
        <f t="shared" si="0"/>
        <v>2044</v>
      </c>
      <c r="B1079" s="4">
        <f>AVERAGE(B365:B376)</f>
        <v>35.510841666666671</v>
      </c>
      <c r="C1079" s="4">
        <f>AVERAGE(C365:C376)</f>
        <v>35.198341666666671</v>
      </c>
      <c r="D1079" s="4">
        <f>AVERAGE(D365:D376)</f>
        <v>41.5413</v>
      </c>
      <c r="E1079" s="4">
        <f>AVERAGE(E365:E376)</f>
        <v>210.15294256712414</v>
      </c>
    </row>
    <row r="1080" spans="1:5" ht="15">
      <c r="A1080" s="3">
        <f t="shared" si="0"/>
        <v>2045</v>
      </c>
      <c r="B1080" s="4">
        <f>AVERAGE(B377:B388)</f>
        <v>36.670908333333337</v>
      </c>
      <c r="C1080" s="4">
        <f>AVERAGE(C377:C388)</f>
        <v>36.358408333333337</v>
      </c>
      <c r="D1080" s="4">
        <f>AVERAGE(D377:D388)</f>
        <v>42.545641666666668</v>
      </c>
      <c r="E1080" s="4">
        <f>AVERAGE(E377:E388)</f>
        <v>216.77276025798861</v>
      </c>
    </row>
    <row r="1081" spans="1:5" ht="15">
      <c r="A1081" s="3">
        <f t="shared" si="0"/>
        <v>2046</v>
      </c>
      <c r="B1081" s="4">
        <f>AVERAGE(B389:B400)</f>
        <v>37.870950000000001</v>
      </c>
      <c r="C1081" s="4">
        <f>AVERAGE(C389:C400)</f>
        <v>37.558450000000001</v>
      </c>
      <c r="D1081" s="4">
        <f>AVERAGE(D389:D400)</f>
        <v>43.574874999999999</v>
      </c>
      <c r="E1081" s="4">
        <f>AVERAGE(E389:E400)</f>
        <v>223.60110220611531</v>
      </c>
    </row>
    <row r="1082" spans="1:5" ht="15">
      <c r="A1082" s="3">
        <f t="shared" si="0"/>
        <v>2047</v>
      </c>
      <c r="B1082" s="4">
        <f>AVERAGE(B401:B412)</f>
        <v>39.112424999999995</v>
      </c>
      <c r="C1082" s="4">
        <f>AVERAGE(C401:C412)</f>
        <v>38.799924999999995</v>
      </c>
      <c r="D1082" s="4">
        <f>AVERAGE(D401:D412)</f>
        <v>44.629625000000004</v>
      </c>
      <c r="E1082" s="4">
        <f>AVERAGE(E401:E412)</f>
        <v>230.64453692560767</v>
      </c>
    </row>
    <row r="1083" spans="1:5" ht="15">
      <c r="A1083" s="3">
        <f t="shared" si="0"/>
        <v>2048</v>
      </c>
      <c r="B1083" s="4">
        <f>AVERAGE(B413:B424)</f>
        <v>40.39670000000001</v>
      </c>
      <c r="C1083" s="4">
        <f>AVERAGE(C413:C424)</f>
        <v>40.08420000000001</v>
      </c>
      <c r="D1083" s="4">
        <f>AVERAGE(D413:D424)</f>
        <v>45.710574999999999</v>
      </c>
      <c r="E1083" s="4">
        <f>AVERAGE(E413:E424)</f>
        <v>237.90983983876424</v>
      </c>
    </row>
    <row r="1084" spans="1:5" ht="15">
      <c r="A1084" s="3">
        <f t="shared" si="0"/>
        <v>2049</v>
      </c>
      <c r="B1084" s="4">
        <f>AVERAGE(B425:B436)</f>
        <v>41.725325000000005</v>
      </c>
      <c r="C1084" s="4">
        <f>AVERAGE(C425:C436)</f>
        <v>41.412825000000005</v>
      </c>
      <c r="D1084" s="4">
        <f>AVERAGE(D425:D436)</f>
        <v>46.818299999999994</v>
      </c>
      <c r="E1084" s="4">
        <f>AVERAGE(E425:E436)</f>
        <v>245.40399979368547</v>
      </c>
    </row>
    <row r="1085" spans="1:5" ht="15">
      <c r="A1085" s="3">
        <f t="shared" si="0"/>
        <v>2050</v>
      </c>
      <c r="B1085" s="4">
        <f>AVERAGE(B437:B448)</f>
        <v>43.099766666666675</v>
      </c>
      <c r="C1085" s="4">
        <f>AVERAGE(C437:C448)</f>
        <v>42.787266666666675</v>
      </c>
      <c r="D1085" s="4">
        <f>AVERAGE(D437:D448)</f>
        <v>47.953508333333332</v>
      </c>
      <c r="E1085" s="4">
        <f>AVERAGE(E437:E448)</f>
        <v>253.13422578718675</v>
      </c>
    </row>
    <row r="1086" spans="1:5" ht="15">
      <c r="A1086" s="3">
        <f t="shared" si="0"/>
        <v>2051</v>
      </c>
      <c r="B1086" s="4">
        <f>AVERAGE(B449:B460)</f>
        <v>44.52161666666666</v>
      </c>
      <c r="C1086" s="4">
        <f>AVERAGE(C449:C460)</f>
        <v>44.20911666666666</v>
      </c>
      <c r="D1086" s="4">
        <f>AVERAGE(D449:D460)</f>
        <v>49.116849999999999</v>
      </c>
      <c r="E1086" s="4">
        <f>AVERAGE(E449:E460)</f>
        <v>261.10795389948311</v>
      </c>
    </row>
    <row r="1087" spans="1:5" ht="15">
      <c r="A1087" s="3">
        <f t="shared" si="0"/>
        <v>2052</v>
      </c>
      <c r="B1087" s="4">
        <f>AVERAGE(B461:B472)</f>
        <v>45.992525000000001</v>
      </c>
      <c r="C1087" s="4">
        <f>AVERAGE(C461:C472)</f>
        <v>45.680025000000001</v>
      </c>
      <c r="D1087" s="4">
        <f>AVERAGE(D461:D472)</f>
        <v>50.309058333333333</v>
      </c>
      <c r="E1087" s="4">
        <f>AVERAGE(E461:E472)</f>
        <v>269.33285444731683</v>
      </c>
    </row>
    <row r="1088" spans="1:5" ht="15">
      <c r="A1088" s="3">
        <f t="shared" si="0"/>
        <v>2053</v>
      </c>
      <c r="B1088" s="4">
        <f>AVERAGE(B473:B484)</f>
        <v>47.514183333333335</v>
      </c>
      <c r="C1088" s="4">
        <f>AVERAGE(C473:C484)</f>
        <v>47.201683333333335</v>
      </c>
      <c r="D1088" s="4">
        <f>AVERAGE(D473:D484)</f>
        <v>51.530833333333334</v>
      </c>
      <c r="E1088" s="4">
        <f>AVERAGE(E473:E484)</f>
        <v>277.81683936240728</v>
      </c>
    </row>
    <row r="1089" spans="1:5" ht="15">
      <c r="A1089" s="3">
        <f t="shared" si="0"/>
        <v>2054</v>
      </c>
      <c r="B1089" s="4">
        <f>AVERAGE(B485:B496)</f>
        <v>49.088341666666672</v>
      </c>
      <c r="C1089" s="4">
        <f>AVERAGE(C485:C496)</f>
        <v>48.775841666666672</v>
      </c>
      <c r="D1089" s="4">
        <f>AVERAGE(D485:D496)</f>
        <v>52.782908333333332</v>
      </c>
      <c r="E1089" s="4">
        <f>AVERAGE(E485:E496)</f>
        <v>286.56806980232312</v>
      </c>
    </row>
    <row r="1090" spans="1:5" ht="15">
      <c r="A1090" s="3">
        <f t="shared" si="0"/>
        <v>2055</v>
      </c>
      <c r="B1090" s="4">
        <f>AVERAGE(B497:B508)</f>
        <v>50.716799999999999</v>
      </c>
      <c r="C1090" s="4">
        <f>AVERAGE(C497:C508)</f>
        <v>50.404299999999999</v>
      </c>
      <c r="D1090" s="4">
        <f>AVERAGE(D497:D508)</f>
        <v>54.066024999999996</v>
      </c>
      <c r="E1090" s="4">
        <f>AVERAGE(E497:E508)</f>
        <v>295.59496400109629</v>
      </c>
    </row>
    <row r="1091" spans="1:5" ht="15">
      <c r="A1091" s="3">
        <f t="shared" si="0"/>
        <v>2056</v>
      </c>
      <c r="B1091" s="4">
        <f>AVERAGE(B509:B520)</f>
        <v>52.401483333333339</v>
      </c>
      <c r="C1091" s="4">
        <f>AVERAGE(C509:C520)</f>
        <v>52.088983333333339</v>
      </c>
      <c r="D1091" s="4">
        <f>AVERAGE(D509:D520)</f>
        <v>55.380991666666667</v>
      </c>
      <c r="E1091" s="4">
        <f>AVERAGE(E509:E520)</f>
        <v>304.90620536713101</v>
      </c>
    </row>
    <row r="1092" spans="1:5" ht="15">
      <c r="A1092" s="3">
        <f t="shared" si="0"/>
        <v>2057</v>
      </c>
      <c r="B1092" s="4">
        <f>AVERAGE(B521:B532)</f>
        <v>54.144216666666665</v>
      </c>
      <c r="C1092" s="4">
        <f>AVERAGE(C521:C532)</f>
        <v>53.831716666666665</v>
      </c>
      <c r="D1092" s="4">
        <f>AVERAGE(D521:D532)</f>
        <v>56.728541666666665</v>
      </c>
      <c r="E1092" s="4">
        <f>AVERAGE(E521:E532)</f>
        <v>314.5107508361956</v>
      </c>
    </row>
    <row r="1093" spans="1:5" ht="15">
      <c r="A1093" s="3">
        <f t="shared" si="0"/>
        <v>2058</v>
      </c>
      <c r="B1093" s="4">
        <f>AVERAGE(B533:B544)</f>
        <v>55.947116666666666</v>
      </c>
      <c r="C1093" s="4">
        <f>AVERAGE(C533:C544)</f>
        <v>55.634616666666666</v>
      </c>
      <c r="D1093" s="4">
        <f>AVERAGE(D533:D544)</f>
        <v>58.109508333333338</v>
      </c>
      <c r="E1093" s="4">
        <f>AVERAGE(E533:E544)</f>
        <v>324.41783948753567</v>
      </c>
    </row>
    <row r="1094" spans="1:5" ht="15">
      <c r="A1094" s="3">
        <f t="shared" si="0"/>
        <v>2059</v>
      </c>
      <c r="B1094" s="4">
        <f>AVERAGE(B545:B556)</f>
        <v>57.812216666666671</v>
      </c>
      <c r="C1094" s="4">
        <f>AVERAGE(C545:C556)</f>
        <v>57.499716666666671</v>
      </c>
      <c r="D1094" s="4">
        <f>AVERAGE(D545:D556)</f>
        <v>59.52471666666667</v>
      </c>
      <c r="E1094" s="4">
        <f>AVERAGE(E545:E556)</f>
        <v>334.637001431393</v>
      </c>
    </row>
    <row r="1095" spans="1:5" ht="15">
      <c r="A1095" s="3">
        <f t="shared" si="0"/>
        <v>2060</v>
      </c>
      <c r="B1095" s="4">
        <f>AVERAGE(B557:B568)</f>
        <v>59.741641666666659</v>
      </c>
      <c r="C1095" s="4">
        <f>AVERAGE(C557:C568)</f>
        <v>59.429141666666659</v>
      </c>
      <c r="D1095" s="4">
        <f>AVERAGE(D557:D568)</f>
        <v>60.97505000000001</v>
      </c>
      <c r="E1095" s="4">
        <f>AVERAGE(E557:E568)</f>
        <v>345.17806697648194</v>
      </c>
    </row>
    <row r="1096" spans="1:5" ht="15">
      <c r="A1096" s="3">
        <f t="shared" si="0"/>
        <v>2061</v>
      </c>
      <c r="B1096" s="4">
        <f>AVERAGE(B569:B580)</f>
        <v>61.737666666666676</v>
      </c>
      <c r="C1096" s="4">
        <f>AVERAGE(C569:C580)</f>
        <v>61.425166666666676</v>
      </c>
      <c r="D1096" s="4">
        <f>AVERAGE(D569:D580)</f>
        <v>62.461349999999989</v>
      </c>
      <c r="E1096" s="4">
        <f>AVERAGE(E569:E580)</f>
        <v>356.05117608624113</v>
      </c>
    </row>
    <row r="1097" spans="1:5" ht="15">
      <c r="A1097" s="3">
        <f t="shared" si="0"/>
        <v>2062</v>
      </c>
      <c r="B1097" s="4">
        <f t="shared" ref="B1097:E1116" ca="1" si="1">AVERAGE(OFFSET(B$581,($A1097-$A$1097)*12,0,12,1))</f>
        <v>63.802516666666655</v>
      </c>
      <c r="C1097" s="4">
        <f t="shared" ca="1" si="1"/>
        <v>63.490016666666655</v>
      </c>
      <c r="D1097" s="4">
        <f t="shared" ca="1" si="1"/>
        <v>63.984474999999996</v>
      </c>
      <c r="E1097" s="4">
        <f t="shared" ca="1" si="1"/>
        <v>367.26678813295774</v>
      </c>
    </row>
    <row r="1098" spans="1:5" ht="15">
      <c r="A1098" s="3">
        <f t="shared" si="0"/>
        <v>2063</v>
      </c>
      <c r="B1098" s="4">
        <f t="shared" ca="1" si="1"/>
        <v>65.938625000000016</v>
      </c>
      <c r="C1098" s="4">
        <f t="shared" ca="1" si="1"/>
        <v>65.626125000000016</v>
      </c>
      <c r="D1098" s="4">
        <f t="shared" ca="1" si="1"/>
        <v>65.545425000000009</v>
      </c>
      <c r="E1098" s="4">
        <f t="shared" ca="1" si="1"/>
        <v>378.835691959146</v>
      </c>
    </row>
    <row r="1099" spans="1:5" ht="15">
      <c r="A1099" s="3">
        <f t="shared" si="0"/>
        <v>2064</v>
      </c>
      <c r="B1099" s="4">
        <f t="shared" ca="1" si="1"/>
        <v>68.148416666666662</v>
      </c>
      <c r="C1099" s="4">
        <f t="shared" ca="1" si="1"/>
        <v>67.835916666666662</v>
      </c>
      <c r="D1099" s="4">
        <f t="shared" ca="1" si="1"/>
        <v>67.14503333333333</v>
      </c>
      <c r="E1099" s="4">
        <f t="shared" ca="1" si="1"/>
        <v>390.76901625585907</v>
      </c>
    </row>
    <row r="1100" spans="1:5" ht="15">
      <c r="A1100" s="3">
        <f t="shared" si="0"/>
        <v>2065</v>
      </c>
      <c r="B1100" s="4">
        <f t="shared" ca="1" si="1"/>
        <v>70.434450000000012</v>
      </c>
      <c r="C1100" s="4">
        <f t="shared" ca="1" si="1"/>
        <v>70.121950000000012</v>
      </c>
      <c r="D1100" s="4">
        <f t="shared" ca="1" si="1"/>
        <v>68.784333333333336</v>
      </c>
      <c r="E1100" s="4">
        <f t="shared" ca="1" si="1"/>
        <v>403.07824026791855</v>
      </c>
    </row>
    <row r="1101" spans="1:5" ht="15">
      <c r="A1101" s="3">
        <f t="shared" si="0"/>
        <v>2066</v>
      </c>
      <c r="B1101" s="4">
        <f t="shared" ca="1" si="1"/>
        <v>72.799366666666671</v>
      </c>
      <c r="C1101" s="4">
        <f t="shared" ca="1" si="1"/>
        <v>72.486866666666671</v>
      </c>
      <c r="D1101" s="4">
        <f t="shared" ca="1" si="1"/>
        <v>70.464299999999994</v>
      </c>
      <c r="E1101" s="4">
        <f t="shared" ca="1" si="1"/>
        <v>415.77520483635811</v>
      </c>
    </row>
    <row r="1102" spans="1:5" ht="15">
      <c r="A1102" s="3">
        <f t="shared" si="0"/>
        <v>2067</v>
      </c>
      <c r="B1102" s="4">
        <f t="shared" ca="1" si="1"/>
        <v>75.245866666666657</v>
      </c>
      <c r="C1102" s="4">
        <f t="shared" ca="1" si="1"/>
        <v>74.933366666666657</v>
      </c>
      <c r="D1102" s="4">
        <f t="shared" ca="1" si="1"/>
        <v>72.185933333333324</v>
      </c>
      <c r="E1102" s="4">
        <f t="shared" ca="1" si="1"/>
        <v>428.87212378870328</v>
      </c>
    </row>
    <row r="1103" spans="1:5" ht="15">
      <c r="A1103" s="3">
        <f t="shared" si="0"/>
        <v>2068</v>
      </c>
      <c r="B1103" s="4">
        <f t="shared" ca="1" si="1"/>
        <v>77.776766666666674</v>
      </c>
      <c r="C1103" s="4">
        <f t="shared" ca="1" si="1"/>
        <v>77.464266666666674</v>
      </c>
      <c r="D1103" s="4">
        <f t="shared" ca="1" si="1"/>
        <v>73.950249999999997</v>
      </c>
      <c r="E1103" s="4">
        <f t="shared" ca="1" si="1"/>
        <v>442.38159568804775</v>
      </c>
    </row>
    <row r="1104" spans="1:5" ht="15">
      <c r="A1104" s="3">
        <f t="shared" si="0"/>
        <v>2069</v>
      </c>
      <c r="B1104" s="4">
        <f t="shared" ca="1" si="1"/>
        <v>80.394974999999988</v>
      </c>
      <c r="C1104" s="4">
        <f t="shared" ca="1" si="1"/>
        <v>80.082474999999988</v>
      </c>
      <c r="D1104" s="4">
        <f t="shared" ca="1" si="1"/>
        <v>75.758308333333346</v>
      </c>
      <c r="E1104" s="4">
        <f t="shared" ca="1" si="1"/>
        <v>456.3166159522213</v>
      </c>
    </row>
    <row r="1105" spans="1:5" ht="15">
      <c r="A1105" s="3">
        <f t="shared" ref="A1105:A1135" si="2">A1104+1</f>
        <v>2070</v>
      </c>
      <c r="B1105" s="4">
        <f t="shared" ca="1" si="1"/>
        <v>83.103533333333331</v>
      </c>
      <c r="C1105" s="4">
        <f t="shared" ca="1" si="1"/>
        <v>82.791033333333331</v>
      </c>
      <c r="D1105" s="4">
        <f t="shared" ca="1" si="1"/>
        <v>77.61122499999999</v>
      </c>
      <c r="E1105" s="4">
        <f t="shared" ca="1" si="1"/>
        <v>470.69058935471611</v>
      </c>
    </row>
    <row r="1106" spans="1:5" ht="15">
      <c r="A1106" s="3">
        <f t="shared" si="2"/>
        <v>2071</v>
      </c>
      <c r="B1106" s="4">
        <f t="shared" ca="1" si="1"/>
        <v>85.905508333333344</v>
      </c>
      <c r="C1106" s="4">
        <f t="shared" ca="1" si="1"/>
        <v>85.593008333333344</v>
      </c>
      <c r="D1106" s="4">
        <f t="shared" ca="1" si="1"/>
        <v>79.51009999999998</v>
      </c>
      <c r="E1106" s="4">
        <f t="shared" ca="1" si="1"/>
        <v>485.51734291938971</v>
      </c>
    </row>
    <row r="1107" spans="1:5" ht="15">
      <c r="A1107" s="3">
        <f t="shared" si="2"/>
        <v>2072</v>
      </c>
      <c r="B1107" s="4">
        <f t="shared" ca="1" si="1"/>
        <v>88.804158333333319</v>
      </c>
      <c r="C1107" s="4">
        <f t="shared" ca="1" si="1"/>
        <v>88.491658333333319</v>
      </c>
      <c r="D1107" s="4">
        <f t="shared" ca="1" si="1"/>
        <v>81.456050000000005</v>
      </c>
      <c r="E1107" s="4">
        <f t="shared" ca="1" si="1"/>
        <v>500.81113922135063</v>
      </c>
    </row>
    <row r="1108" spans="1:5" ht="15">
      <c r="A1108" s="3">
        <f t="shared" si="2"/>
        <v>2073</v>
      </c>
      <c r="B1108" s="4">
        <f t="shared" ca="1" si="1"/>
        <v>91.802824999999984</v>
      </c>
      <c r="C1108" s="4">
        <f t="shared" ca="1" si="1"/>
        <v>91.490324999999984</v>
      </c>
      <c r="D1108" s="4">
        <f t="shared" ca="1" si="1"/>
        <v>83.450283333333331</v>
      </c>
      <c r="E1108" s="4">
        <f t="shared" ca="1" si="1"/>
        <v>516.58669010682308</v>
      </c>
    </row>
    <row r="1109" spans="1:5" ht="15">
      <c r="A1109" s="3">
        <f t="shared" si="2"/>
        <v>2074</v>
      </c>
      <c r="B1109" s="4">
        <f t="shared" ca="1" si="1"/>
        <v>94.904949999999999</v>
      </c>
      <c r="C1109" s="4">
        <f t="shared" ca="1" si="1"/>
        <v>94.592449999999999</v>
      </c>
      <c r="D1109" s="4">
        <f t="shared" ca="1" si="1"/>
        <v>85.493949999999998</v>
      </c>
      <c r="E1109" s="4">
        <f t="shared" ca="1" si="1"/>
        <v>532.85917084518815</v>
      </c>
    </row>
    <row r="1110" spans="1:5" ht="15">
      <c r="A1110" s="3">
        <f t="shared" si="2"/>
        <v>2075</v>
      </c>
      <c r="B1110" s="4">
        <f t="shared" ca="1" si="1"/>
        <v>98.114083333333326</v>
      </c>
      <c r="C1110" s="4">
        <f t="shared" ca="1" si="1"/>
        <v>97.801583333333326</v>
      </c>
      <c r="D1110" s="4">
        <f t="shared" ca="1" si="1"/>
        <v>87.588300000000004</v>
      </c>
      <c r="E1110" s="4">
        <f t="shared" ca="1" si="1"/>
        <v>549.64423472681176</v>
      </c>
    </row>
    <row r="1111" spans="1:5" ht="15">
      <c r="A1111" s="3">
        <f t="shared" si="2"/>
        <v>2076</v>
      </c>
      <c r="B1111" s="4">
        <f t="shared" ca="1" si="1"/>
        <v>101.433925</v>
      </c>
      <c r="C1111" s="4">
        <f t="shared" ca="1" si="1"/>
        <v>101.121425</v>
      </c>
      <c r="D1111" s="4">
        <f t="shared" ca="1" si="1"/>
        <v>89.7346</v>
      </c>
      <c r="E1111" s="4">
        <f t="shared" ca="1" si="1"/>
        <v>566.95802812070622</v>
      </c>
    </row>
    <row r="1112" spans="1:5" ht="15">
      <c r="A1112" s="3">
        <f t="shared" si="2"/>
        <v>2077</v>
      </c>
      <c r="B1112" s="4">
        <f t="shared" ca="1" si="1"/>
        <v>104.86830000000003</v>
      </c>
      <c r="C1112" s="4">
        <f t="shared" ca="1" si="1"/>
        <v>104.55580000000003</v>
      </c>
      <c r="D1112" s="4">
        <f t="shared" ca="1" si="1"/>
        <v>91.934133333333321</v>
      </c>
      <c r="E1112" s="4">
        <f t="shared" ca="1" si="1"/>
        <v>584.81720600650863</v>
      </c>
    </row>
    <row r="1113" spans="1:5" ht="15">
      <c r="A1113" s="3">
        <f t="shared" si="2"/>
        <v>2078</v>
      </c>
      <c r="B1113" s="4">
        <f t="shared" ca="1" si="1"/>
        <v>108.42118333333336</v>
      </c>
      <c r="C1113" s="4">
        <f t="shared" ca="1" si="1"/>
        <v>108.10868333333336</v>
      </c>
      <c r="D1113" s="4">
        <f t="shared" ca="1" si="1"/>
        <v>94.188200000000009</v>
      </c>
      <c r="E1113" s="4">
        <f t="shared" ca="1" si="1"/>
        <v>603.2389479957136</v>
      </c>
    </row>
    <row r="1114" spans="1:5" ht="15">
      <c r="A1114" s="3">
        <f t="shared" si="2"/>
        <v>2079</v>
      </c>
      <c r="B1114" s="4">
        <f t="shared" ca="1" si="1"/>
        <v>112.09664166666666</v>
      </c>
      <c r="C1114" s="4">
        <f t="shared" ca="1" si="1"/>
        <v>111.78414166666666</v>
      </c>
      <c r="D1114" s="4">
        <f t="shared" ca="1" si="1"/>
        <v>96.498166666666677</v>
      </c>
      <c r="E1114" s="4">
        <f t="shared" ca="1" si="1"/>
        <v>622.24097485757875</v>
      </c>
    </row>
    <row r="1115" spans="1:5" ht="15">
      <c r="A1115" s="3">
        <f t="shared" si="2"/>
        <v>2080</v>
      </c>
      <c r="B1115" s="4">
        <f t="shared" ca="1" si="1"/>
        <v>115.89889166666666</v>
      </c>
      <c r="C1115" s="4">
        <f t="shared" ca="1" si="1"/>
        <v>115.58639166666666</v>
      </c>
      <c r="D1115" s="4">
        <f t="shared" ca="1" si="1"/>
        <v>98.865449999999996</v>
      </c>
      <c r="E1115" s="4">
        <f t="shared" ca="1" si="1"/>
        <v>641.8415655655923</v>
      </c>
    </row>
    <row r="1116" spans="1:5" ht="15">
      <c r="A1116" s="3">
        <f t="shared" si="2"/>
        <v>2081</v>
      </c>
      <c r="B1116" s="4">
        <f t="shared" ca="1" si="1"/>
        <v>119.83231666666666</v>
      </c>
      <c r="C1116" s="4">
        <f t="shared" ca="1" si="1"/>
        <v>119.51981666666666</v>
      </c>
      <c r="D1116" s="4">
        <f t="shared" ca="1" si="1"/>
        <v>101.29141666666665</v>
      </c>
      <c r="E1116" s="4">
        <f t="shared" ca="1" si="1"/>
        <v>662.0595748809086</v>
      </c>
    </row>
    <row r="1117" spans="1:5" ht="15">
      <c r="A1117" s="3">
        <f t="shared" si="2"/>
        <v>2082</v>
      </c>
      <c r="B1117" s="4">
        <f t="shared" ref="B1117:E1135" ca="1" si="3">AVERAGE(OFFSET(B$581,($A1117-$A$1097)*12,0,12,1))</f>
        <v>123.90145</v>
      </c>
      <c r="C1117" s="4">
        <f t="shared" ca="1" si="3"/>
        <v>123.58895</v>
      </c>
      <c r="D1117" s="4">
        <f t="shared" ca="1" si="3"/>
        <v>103.77754999999998</v>
      </c>
      <c r="E1117" s="4">
        <f t="shared" ca="1" si="3"/>
        <v>682.91445148965738</v>
      </c>
    </row>
    <row r="1118" spans="1:5" ht="15">
      <c r="A1118" s="3">
        <f t="shared" si="2"/>
        <v>2083</v>
      </c>
      <c r="B1118" s="4">
        <f t="shared" ca="1" si="3"/>
        <v>128.11098333333334</v>
      </c>
      <c r="C1118" s="4">
        <f t="shared" ca="1" si="3"/>
        <v>127.79848333333332</v>
      </c>
      <c r="D1118" s="4">
        <f t="shared" ca="1" si="3"/>
        <v>106.32533333333333</v>
      </c>
      <c r="E1118" s="4">
        <f t="shared" ca="1" si="3"/>
        <v>704.42625671158169</v>
      </c>
    </row>
    <row r="1119" spans="1:5" ht="15">
      <c r="A1119" s="3">
        <f t="shared" si="2"/>
        <v>2084</v>
      </c>
      <c r="B1119" s="4">
        <f t="shared" ca="1" si="3"/>
        <v>132.4657</v>
      </c>
      <c r="C1119" s="4">
        <f t="shared" ca="1" si="3"/>
        <v>132.1532</v>
      </c>
      <c r="D1119" s="4">
        <f t="shared" ca="1" si="3"/>
        <v>108.9363</v>
      </c>
      <c r="E1119" s="4">
        <f t="shared" ca="1" si="3"/>
        <v>726.61568379799644</v>
      </c>
    </row>
    <row r="1120" spans="1:5" ht="15">
      <c r="A1120" s="3">
        <f t="shared" si="2"/>
        <v>2085</v>
      </c>
      <c r="B1120" s="4">
        <f t="shared" ca="1" si="3"/>
        <v>136.97069999999999</v>
      </c>
      <c r="C1120" s="4">
        <f t="shared" ca="1" si="3"/>
        <v>136.65819999999999</v>
      </c>
      <c r="D1120" s="4">
        <f t="shared" ca="1" si="3"/>
        <v>111.61204166666668</v>
      </c>
      <c r="E1120" s="4">
        <f t="shared" ca="1" si="3"/>
        <v>749.50407783763364</v>
      </c>
    </row>
    <row r="1121" spans="1:5" ht="15">
      <c r="A1121" s="3">
        <f t="shared" si="2"/>
        <v>2086</v>
      </c>
      <c r="B1121" s="4">
        <f t="shared" ca="1" si="3"/>
        <v>141.63110833333334</v>
      </c>
      <c r="C1121" s="4">
        <f t="shared" ca="1" si="3"/>
        <v>141.31860833333334</v>
      </c>
      <c r="D1121" s="4">
        <f t="shared" ca="1" si="3"/>
        <v>114.35412500000001</v>
      </c>
      <c r="E1121" s="4">
        <f t="shared" ca="1" si="3"/>
        <v>773.11345628951892</v>
      </c>
    </row>
    <row r="1122" spans="1:5" ht="15">
      <c r="A1122" s="3">
        <f t="shared" si="2"/>
        <v>2087</v>
      </c>
      <c r="B1122" s="4">
        <f t="shared" ca="1" si="3"/>
        <v>146.45229166666664</v>
      </c>
      <c r="C1122" s="4">
        <f t="shared" ca="1" si="3"/>
        <v>146.13979166666664</v>
      </c>
      <c r="D1122" s="4">
        <f t="shared" ca="1" si="3"/>
        <v>117.16422499999999</v>
      </c>
      <c r="E1122" s="4">
        <f t="shared" ca="1" si="3"/>
        <v>797.46653016263872</v>
      </c>
    </row>
    <row r="1123" spans="1:5" ht="15">
      <c r="A1123" s="3">
        <f t="shared" si="2"/>
        <v>2088</v>
      </c>
      <c r="B1123" s="4">
        <f t="shared" ca="1" si="3"/>
        <v>151.43981666666664</v>
      </c>
      <c r="C1123" s="4">
        <f t="shared" ca="1" si="3"/>
        <v>151.12731666666664</v>
      </c>
      <c r="D1123" s="4">
        <f t="shared" ca="1" si="3"/>
        <v>120.044</v>
      </c>
      <c r="E1123" s="4">
        <f t="shared" ca="1" si="3"/>
        <v>822.58672586276214</v>
      </c>
    </row>
    <row r="1124" spans="1:5" ht="15">
      <c r="A1124" s="3">
        <f t="shared" si="2"/>
        <v>2089</v>
      </c>
      <c r="B1124" s="4">
        <f t="shared" ca="1" si="3"/>
        <v>156.59939999999997</v>
      </c>
      <c r="C1124" s="4">
        <f t="shared" ca="1" si="3"/>
        <v>156.28689999999997</v>
      </c>
      <c r="D1124" s="4">
        <f t="shared" ca="1" si="3"/>
        <v>122.99519166666668</v>
      </c>
      <c r="E1124" s="4">
        <f t="shared" ca="1" si="3"/>
        <v>848.49820772743908</v>
      </c>
    </row>
    <row r="1125" spans="1:5" ht="15">
      <c r="A1125" s="3">
        <f t="shared" si="2"/>
        <v>2090</v>
      </c>
      <c r="B1125" s="4">
        <f t="shared" ca="1" si="3"/>
        <v>161.93700000000001</v>
      </c>
      <c r="C1125" s="4">
        <f t="shared" ca="1" si="3"/>
        <v>161.62450000000001</v>
      </c>
      <c r="D1125" s="4">
        <f t="shared" ca="1" si="3"/>
        <v>126.01959166666666</v>
      </c>
      <c r="E1125" s="4">
        <f t="shared" ca="1" si="3"/>
        <v>875.22590127085334</v>
      </c>
    </row>
    <row r="1126" spans="1:5" ht="15">
      <c r="A1126" s="3">
        <f t="shared" si="2"/>
        <v>2091</v>
      </c>
      <c r="B1126" s="4">
        <f t="shared" ca="1" si="3"/>
        <v>167.45874166666667</v>
      </c>
      <c r="C1126" s="4">
        <f t="shared" ca="1" si="3"/>
        <v>167.14624166666667</v>
      </c>
      <c r="D1126" s="4">
        <f t="shared" ca="1" si="3"/>
        <v>129.11895833333332</v>
      </c>
      <c r="E1126" s="4">
        <f t="shared" ca="1" si="3"/>
        <v>902.79551716088542</v>
      </c>
    </row>
    <row r="1127" spans="1:5" ht="15">
      <c r="A1127" s="3">
        <f t="shared" si="2"/>
        <v>2092</v>
      </c>
      <c r="B1127" s="4">
        <f t="shared" ca="1" si="3"/>
        <v>173.17099166666665</v>
      </c>
      <c r="C1127" s="4">
        <f t="shared" ca="1" si="3"/>
        <v>172.85849166666665</v>
      </c>
      <c r="D1127" s="4">
        <f t="shared" ca="1" si="3"/>
        <v>132.29523333333336</v>
      </c>
      <c r="E1127" s="4">
        <f t="shared" ca="1" si="3"/>
        <v>931.23357595145364</v>
      </c>
    </row>
    <row r="1128" spans="1:5" ht="15">
      <c r="A1128" s="3">
        <f t="shared" si="2"/>
        <v>2093</v>
      </c>
      <c r="B1128" s="4">
        <f t="shared" ca="1" si="3"/>
        <v>179.08029999999999</v>
      </c>
      <c r="C1128" s="4">
        <f t="shared" ca="1" si="3"/>
        <v>178.76779999999999</v>
      </c>
      <c r="D1128" s="4">
        <f t="shared" ca="1" si="3"/>
        <v>135.55025833333335</v>
      </c>
      <c r="E1128" s="4">
        <f t="shared" ca="1" si="3"/>
        <v>960.56743359392431</v>
      </c>
    </row>
    <row r="1129" spans="1:5" ht="15">
      <c r="A1129" s="3">
        <f t="shared" si="2"/>
        <v>2094</v>
      </c>
      <c r="B1129" s="4">
        <f t="shared" ca="1" si="3"/>
        <v>185.19347500000001</v>
      </c>
      <c r="C1129" s="4">
        <f t="shared" ca="1" si="3"/>
        <v>184.88097500000001</v>
      </c>
      <c r="D1129" s="4">
        <f t="shared" ca="1" si="3"/>
        <v>138.88600833333336</v>
      </c>
      <c r="E1129" s="4">
        <f t="shared" ca="1" si="3"/>
        <v>990.82530775213343</v>
      </c>
    </row>
    <row r="1130" spans="1:5" ht="15">
      <c r="A1130" s="3">
        <f t="shared" si="2"/>
        <v>2095</v>
      </c>
      <c r="B1130" s="4">
        <f t="shared" ca="1" si="3"/>
        <v>191.51756666666665</v>
      </c>
      <c r="C1130" s="4">
        <f t="shared" ca="1" si="3"/>
        <v>191.20506666666665</v>
      </c>
      <c r="D1130" s="4">
        <f t="shared" ca="1" si="3"/>
        <v>142.30449999999999</v>
      </c>
      <c r="E1130" s="4">
        <f t="shared" ca="1" si="3"/>
        <v>1022.0363049463235</v>
      </c>
    </row>
    <row r="1131" spans="1:5" ht="15">
      <c r="A1131" s="3">
        <f t="shared" si="2"/>
        <v>2096</v>
      </c>
      <c r="B1131" s="4">
        <f t="shared" ca="1" si="3"/>
        <v>198.05985000000001</v>
      </c>
      <c r="C1131" s="4">
        <f t="shared" ca="1" si="3"/>
        <v>197.74735000000001</v>
      </c>
      <c r="D1131" s="4">
        <f t="shared" ca="1" si="3"/>
        <v>145.80774166666666</v>
      </c>
      <c r="E1131" s="4">
        <f t="shared" ca="1" si="3"/>
        <v>1054.2304485521338</v>
      </c>
    </row>
    <row r="1132" spans="1:5" ht="15">
      <c r="A1132" s="3">
        <f t="shared" si="2"/>
        <v>2097</v>
      </c>
      <c r="B1132" s="4">
        <f t="shared" ca="1" si="3"/>
        <v>204.82782499999996</v>
      </c>
      <c r="C1132" s="4">
        <f t="shared" ca="1" si="3"/>
        <v>204.51532499999996</v>
      </c>
      <c r="D1132" s="4">
        <f t="shared" ca="1" si="3"/>
        <v>149.39789166666665</v>
      </c>
      <c r="E1132" s="4">
        <f t="shared" ca="1" si="3"/>
        <v>1087.4387076815271</v>
      </c>
    </row>
    <row r="1133" spans="1:5" ht="15">
      <c r="A1133" s="3">
        <f t="shared" si="2"/>
        <v>2098</v>
      </c>
      <c r="B1133" s="4">
        <f t="shared" ca="1" si="3"/>
        <v>211.82930833333333</v>
      </c>
      <c r="C1133" s="4">
        <f t="shared" ca="1" si="3"/>
        <v>211.51680833333333</v>
      </c>
      <c r="D1133" s="4">
        <f t="shared" ca="1" si="3"/>
        <v>153.07705000000001</v>
      </c>
      <c r="E1133" s="4">
        <f t="shared" ca="1" si="3"/>
        <v>1121.693026973496</v>
      </c>
    </row>
    <row r="1134" spans="1:5" ht="15">
      <c r="A1134" s="3">
        <f t="shared" si="2"/>
        <v>2099</v>
      </c>
      <c r="B1134" s="4">
        <f t="shared" ca="1" si="3"/>
        <v>219.07234166666669</v>
      </c>
      <c r="C1134" s="4">
        <f t="shared" ca="1" si="3"/>
        <v>218.75984166666669</v>
      </c>
      <c r="D1134" s="4">
        <f t="shared" ca="1" si="3"/>
        <v>156.84748333333332</v>
      </c>
      <c r="E1134" s="4">
        <f t="shared" ca="1" si="3"/>
        <v>1157.0263573231616</v>
      </c>
    </row>
    <row r="1135" spans="1:5" ht="15">
      <c r="A1135" s="3">
        <f t="shared" si="2"/>
        <v>2100</v>
      </c>
      <c r="B1135" s="4">
        <f t="shared" ca="1" si="3"/>
        <v>226.56527499999996</v>
      </c>
      <c r="C1135" s="4">
        <f t="shared" ca="1" si="3"/>
        <v>226.25277499999996</v>
      </c>
      <c r="D1135" s="4">
        <f t="shared" ca="1" si="3"/>
        <v>160.71142499999999</v>
      </c>
      <c r="E1135" s="4">
        <f t="shared" ca="1" si="3"/>
        <v>1193.4726875788381</v>
      </c>
    </row>
    <row r="1136" spans="1:5">
      <c r="A1136" s="32"/>
    </row>
    <row r="1137" spans="1:1">
      <c r="A1137" s="32"/>
    </row>
    <row r="1138" spans="1:1">
      <c r="A1138" s="32"/>
    </row>
    <row r="1139" spans="1:1">
      <c r="A1139" s="32"/>
    </row>
    <row r="1140" spans="1:1">
      <c r="A1140" s="32"/>
    </row>
    <row r="1141" spans="1:1">
      <c r="A1141" s="32"/>
    </row>
    <row r="1142" spans="1:1">
      <c r="A1142" s="32"/>
    </row>
    <row r="1143" spans="1:1">
      <c r="A1143" s="32"/>
    </row>
    <row r="1144" spans="1:1">
      <c r="A1144" s="32"/>
    </row>
    <row r="1145" spans="1:1">
      <c r="A1145" s="32"/>
    </row>
    <row r="1146" spans="1:1">
      <c r="A1146" s="32"/>
    </row>
    <row r="1147" spans="1:1">
      <c r="A1147" s="32"/>
    </row>
    <row r="1148" spans="1:1">
      <c r="A1148" s="32"/>
    </row>
    <row r="1149" spans="1:1">
      <c r="A1149" s="32"/>
    </row>
    <row r="1150" spans="1:1">
      <c r="A1150" s="32"/>
    </row>
    <row r="1151" spans="1:1">
      <c r="A1151" s="32"/>
    </row>
    <row r="1152" spans="1:1">
      <c r="A1152" s="32"/>
    </row>
    <row r="1153" spans="1:1">
      <c r="A1153" s="32"/>
    </row>
    <row r="1154" spans="1:1">
      <c r="A1154" s="32"/>
    </row>
    <row r="1155" spans="1:1">
      <c r="A1155" s="32"/>
    </row>
  </sheetData>
  <mergeCells count="1">
    <mergeCell ref="B14:C14"/>
  </mergeCells>
  <pageMargins left="0.25" right="0.25" top="0.5" bottom="0.5" header="0.25" footer="0.25"/>
  <pageSetup orientation="portrait" horizontalDpi="1200" verticalDpi="1200" r:id="rId1"/>
  <headerFooter alignWithMargins="0">
    <oddFooter xml:space="preserve">&amp;R&amp;A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1</xdr:col>
                    <xdr:colOff>133350</xdr:colOff>
                    <xdr:row>9</xdr:row>
                    <xdr:rowOff>171450</xdr:rowOff>
                  </from>
                  <to>
                    <xdr:col>2</xdr:col>
                    <xdr:colOff>666750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3</xdr:col>
                    <xdr:colOff>19050</xdr:colOff>
                    <xdr:row>9</xdr:row>
                    <xdr:rowOff>171450</xdr:rowOff>
                  </from>
                  <to>
                    <xdr:col>4</xdr:col>
                    <xdr:colOff>371475</xdr:colOff>
                    <xdr:row>11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O1130"/>
  <sheetViews>
    <sheetView zoomScale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ColWidth="7.109375" defaultRowHeight="12.75"/>
  <cols>
    <col min="1" max="1" width="14.5546875" style="32" customWidth="1"/>
    <col min="2" max="2" width="19" style="32" customWidth="1"/>
    <col min="3" max="3" width="16.109375" style="32" customWidth="1"/>
    <col min="4" max="4" width="20.21875" style="32" customWidth="1"/>
    <col min="5" max="5" width="20.6640625" style="32" customWidth="1"/>
    <col min="6" max="6" width="16.109375" style="32" customWidth="1"/>
    <col min="7" max="9" width="20" style="32" customWidth="1"/>
    <col min="10" max="11" width="19.109375" style="32" customWidth="1"/>
    <col min="12" max="12" width="16.109375" style="32" customWidth="1"/>
    <col min="13" max="15" width="17.6640625" style="32" customWidth="1"/>
    <col min="16" max="16384" width="7.109375" style="32"/>
  </cols>
  <sheetData>
    <row r="1" spans="1:15" ht="15.75">
      <c r="A1" s="84" t="s">
        <v>64</v>
      </c>
    </row>
    <row r="2" spans="1:15" ht="15.75">
      <c r="A2" s="84" t="s">
        <v>65</v>
      </c>
    </row>
    <row r="3" spans="1:15" ht="15.75">
      <c r="A3" s="84" t="s">
        <v>66</v>
      </c>
    </row>
    <row r="4" spans="1:15" ht="15.75">
      <c r="A4" s="84" t="s">
        <v>67</v>
      </c>
    </row>
    <row r="5" spans="1:15" ht="15.75">
      <c r="A5" s="84" t="s">
        <v>69</v>
      </c>
    </row>
    <row r="6" spans="1:15" ht="15.75">
      <c r="A6" s="84" t="s">
        <v>72</v>
      </c>
    </row>
    <row r="9" spans="1:15" ht="15" customHeight="1">
      <c r="A9" s="74" t="s">
        <v>25</v>
      </c>
    </row>
    <row r="10" spans="1:15" ht="15" customHeight="1">
      <c r="A10" s="75"/>
    </row>
    <row r="11" spans="1:15" ht="15" customHeight="1">
      <c r="A11" s="75"/>
    </row>
    <row r="12" spans="1:15" ht="15" customHeight="1">
      <c r="B12" s="74"/>
      <c r="H12" s="71" t="s">
        <v>51</v>
      </c>
    </row>
    <row r="13" spans="1:15" ht="15" customHeight="1">
      <c r="A13" s="74"/>
      <c r="B13" s="73" t="s">
        <v>24</v>
      </c>
      <c r="C13" s="72">
        <f>1-0.141</f>
        <v>0.85899999999999999</v>
      </c>
      <c r="D13" s="73" t="s">
        <v>23</v>
      </c>
      <c r="E13" s="72">
        <f>1+0.141</f>
        <v>1.141</v>
      </c>
      <c r="H13" s="71"/>
      <c r="L13" s="89"/>
      <c r="M13" s="89"/>
      <c r="N13" s="89"/>
      <c r="O13" s="89"/>
    </row>
    <row r="14" spans="1:15" ht="15" customHeight="1">
      <c r="B14" s="88" t="s">
        <v>50</v>
      </c>
      <c r="C14" s="88"/>
      <c r="D14" s="88"/>
      <c r="E14" s="90" t="s">
        <v>49</v>
      </c>
      <c r="F14" s="90"/>
      <c r="G14" s="91"/>
      <c r="H14" s="92" t="s">
        <v>48</v>
      </c>
      <c r="I14" s="92"/>
      <c r="J14" s="91" t="s">
        <v>47</v>
      </c>
      <c r="K14" s="91"/>
      <c r="L14" s="89"/>
      <c r="M14" s="89"/>
      <c r="N14" s="89"/>
      <c r="O14" s="89"/>
    </row>
    <row r="15" spans="1:15" ht="63">
      <c r="B15" s="70" t="s">
        <v>46</v>
      </c>
      <c r="C15" s="69" t="s">
        <v>45</v>
      </c>
      <c r="D15" s="68" t="s">
        <v>44</v>
      </c>
      <c r="E15" s="70" t="s">
        <v>46</v>
      </c>
      <c r="F15" s="69" t="s">
        <v>45</v>
      </c>
      <c r="G15" s="68" t="s">
        <v>44</v>
      </c>
      <c r="H15" s="69" t="s">
        <v>45</v>
      </c>
      <c r="I15" s="68" t="s">
        <v>44</v>
      </c>
      <c r="J15" s="69" t="s">
        <v>45</v>
      </c>
      <c r="K15" s="68" t="s">
        <v>44</v>
      </c>
      <c r="L15" s="60"/>
      <c r="M15" s="67"/>
      <c r="N15" s="67"/>
      <c r="O15" s="67"/>
    </row>
    <row r="16" spans="1:15" ht="20.25">
      <c r="A16" s="24" t="s">
        <v>2</v>
      </c>
      <c r="B16" s="66" t="s">
        <v>1</v>
      </c>
      <c r="C16" s="66" t="s">
        <v>1</v>
      </c>
      <c r="D16" s="66" t="s">
        <v>1</v>
      </c>
      <c r="E16" s="66" t="s">
        <v>1</v>
      </c>
      <c r="F16" s="66" t="s">
        <v>1</v>
      </c>
      <c r="G16" s="66" t="s">
        <v>1</v>
      </c>
      <c r="H16" s="66" t="s">
        <v>1</v>
      </c>
      <c r="I16" s="66" t="s">
        <v>1</v>
      </c>
      <c r="J16" s="66" t="s">
        <v>1</v>
      </c>
      <c r="K16" s="66" t="s">
        <v>1</v>
      </c>
      <c r="L16" s="65"/>
      <c r="M16" s="65"/>
      <c r="N16" s="65"/>
      <c r="O16" s="65"/>
    </row>
    <row r="17" spans="1:14" ht="15">
      <c r="A17" s="13">
        <v>42156</v>
      </c>
      <c r="B17" s="63">
        <f>2.2099 * CHOOSE(CONTROL!$C$22, $C$13, 100%, $E$13)</f>
        <v>2.2099000000000002</v>
      </c>
      <c r="C17" s="63">
        <f>2.2099 * CHOOSE(CONTROL!$C$22, $C$13, 100%, $E$13)</f>
        <v>2.2099000000000002</v>
      </c>
      <c r="D17" s="63">
        <f>2.2445 * CHOOSE(CONTROL!$C$22, $C$13, 100%, $E$13)</f>
        <v>2.2444999999999999</v>
      </c>
      <c r="E17" s="64">
        <f>3.1268 * CHOOSE(CONTROL!$C$22, $C$13, 100%, $E$13)</f>
        <v>3.1267999999999998</v>
      </c>
      <c r="F17" s="64">
        <f>4.06 * CHOOSE(CONTROL!$C$22, $C$13, 100%, $E$13)</f>
        <v>4.0599999999999996</v>
      </c>
      <c r="G17" s="64">
        <f>4.0621 * CHOOSE(CONTROL!$C$22, $C$13, 100%, $E$13)</f>
        <v>4.0621</v>
      </c>
      <c r="H17" s="64">
        <f>5.6482* CHOOSE(CONTROL!$C$22, $C$13, 100%, $E$13)</f>
        <v>5.6482000000000001</v>
      </c>
      <c r="I17" s="64">
        <f>5.6503 * CHOOSE(CONTROL!$C$22, $C$13, 100%, $E$13)</f>
        <v>5.6502999999999997</v>
      </c>
      <c r="J17" s="64">
        <f>3.1268 * CHOOSE(CONTROL!$C$22, $C$13, 100%, $E$13)</f>
        <v>3.1267999999999998</v>
      </c>
      <c r="K17" s="64">
        <f>3.129 * CHOOSE(CONTROL!$C$22, $C$13, 100%, $E$13)</f>
        <v>3.129</v>
      </c>
      <c r="L17" s="4"/>
      <c r="M17" s="64"/>
      <c r="N17" s="64"/>
    </row>
    <row r="18" spans="1:14" ht="15">
      <c r="A18" s="13">
        <v>42186</v>
      </c>
      <c r="B18" s="63">
        <f>2.2225 * CHOOSE(CONTROL!$C$22, $C$13, 100%, $E$13)</f>
        <v>2.2225000000000001</v>
      </c>
      <c r="C18" s="63">
        <f>2.2225 * CHOOSE(CONTROL!$C$22, $C$13, 100%, $E$13)</f>
        <v>2.2225000000000001</v>
      </c>
      <c r="D18" s="63">
        <f>2.2572 * CHOOSE(CONTROL!$C$22, $C$13, 100%, $E$13)</f>
        <v>2.2572000000000001</v>
      </c>
      <c r="E18" s="64">
        <f>3.2309 * CHOOSE(CONTROL!$C$22, $C$13, 100%, $E$13)</f>
        <v>3.2309000000000001</v>
      </c>
      <c r="F18" s="64">
        <f>4.06 * CHOOSE(CONTROL!$C$22, $C$13, 100%, $E$13)</f>
        <v>4.0599999999999996</v>
      </c>
      <c r="G18" s="64">
        <f>4.0621 * CHOOSE(CONTROL!$C$22, $C$13, 100%, $E$13)</f>
        <v>4.0621</v>
      </c>
      <c r="H18" s="64">
        <f>5.6599* CHOOSE(CONTROL!$C$22, $C$13, 100%, $E$13)</f>
        <v>5.6599000000000004</v>
      </c>
      <c r="I18" s="64">
        <f>5.6621 * CHOOSE(CONTROL!$C$22, $C$13, 100%, $E$13)</f>
        <v>5.6620999999999997</v>
      </c>
      <c r="J18" s="64">
        <f>3.2309 * CHOOSE(CONTROL!$C$22, $C$13, 100%, $E$13)</f>
        <v>3.2309000000000001</v>
      </c>
      <c r="K18" s="64">
        <f>3.2331 * CHOOSE(CONTROL!$C$22, $C$13, 100%, $E$13)</f>
        <v>3.2330999999999999</v>
      </c>
      <c r="L18" s="4"/>
      <c r="M18" s="64"/>
      <c r="N18" s="64"/>
    </row>
    <row r="19" spans="1:14" ht="15">
      <c r="A19" s="13">
        <v>42217</v>
      </c>
      <c r="B19" s="63">
        <f>2.2353 * CHOOSE(CONTROL!$C$22, $C$13, 100%, $E$13)</f>
        <v>2.2353000000000001</v>
      </c>
      <c r="C19" s="63">
        <f>2.2353 * CHOOSE(CONTROL!$C$22, $C$13, 100%, $E$13)</f>
        <v>2.2353000000000001</v>
      </c>
      <c r="D19" s="63">
        <f>2.2699 * CHOOSE(CONTROL!$C$22, $C$13, 100%, $E$13)</f>
        <v>2.2698999999999998</v>
      </c>
      <c r="E19" s="64">
        <f>3.4538 * CHOOSE(CONTROL!$C$22, $C$13, 100%, $E$13)</f>
        <v>3.4538000000000002</v>
      </c>
      <c r="F19" s="64">
        <f>4.06 * CHOOSE(CONTROL!$C$22, $C$13, 100%, $E$13)</f>
        <v>4.0599999999999996</v>
      </c>
      <c r="G19" s="64">
        <f>4.0621 * CHOOSE(CONTROL!$C$22, $C$13, 100%, $E$13)</f>
        <v>4.0621</v>
      </c>
      <c r="H19" s="64">
        <f>5.6717* CHOOSE(CONTROL!$C$22, $C$13, 100%, $E$13)</f>
        <v>5.6717000000000004</v>
      </c>
      <c r="I19" s="64">
        <f>5.6739 * CHOOSE(CONTROL!$C$22, $C$13, 100%, $E$13)</f>
        <v>5.6738999999999997</v>
      </c>
      <c r="J19" s="64">
        <f>3.4538 * CHOOSE(CONTROL!$C$22, $C$13, 100%, $E$13)</f>
        <v>3.4538000000000002</v>
      </c>
      <c r="K19" s="64">
        <f>3.4559 * CHOOSE(CONTROL!$C$22, $C$13, 100%, $E$13)</f>
        <v>3.4559000000000002</v>
      </c>
      <c r="L19" s="4"/>
      <c r="M19" s="64"/>
      <c r="N19" s="64"/>
    </row>
    <row r="20" spans="1:14" ht="15">
      <c r="A20" s="13">
        <v>42248</v>
      </c>
      <c r="B20" s="63">
        <f>2.2292 * CHOOSE(CONTROL!$C$22, $C$13, 100%, $E$13)</f>
        <v>2.2292000000000001</v>
      </c>
      <c r="C20" s="63">
        <f>2.2292 * CHOOSE(CONTROL!$C$22, $C$13, 100%, $E$13)</f>
        <v>2.2292000000000001</v>
      </c>
      <c r="D20" s="63">
        <f>2.2639 * CHOOSE(CONTROL!$C$22, $C$13, 100%, $E$13)</f>
        <v>2.2639</v>
      </c>
      <c r="E20" s="64">
        <f>3.3064 * CHOOSE(CONTROL!$C$22, $C$13, 100%, $E$13)</f>
        <v>3.3064</v>
      </c>
      <c r="F20" s="64">
        <f>4.06 * CHOOSE(CONTROL!$C$22, $C$13, 100%, $E$13)</f>
        <v>4.0599999999999996</v>
      </c>
      <c r="G20" s="64">
        <f>4.0621 * CHOOSE(CONTROL!$C$22, $C$13, 100%, $E$13)</f>
        <v>4.0621</v>
      </c>
      <c r="H20" s="64">
        <f>5.6835* CHOOSE(CONTROL!$C$22, $C$13, 100%, $E$13)</f>
        <v>5.6835000000000004</v>
      </c>
      <c r="I20" s="64">
        <f>5.6857 * CHOOSE(CONTROL!$C$22, $C$13, 100%, $E$13)</f>
        <v>5.6856999999999998</v>
      </c>
      <c r="J20" s="64">
        <f>3.3064 * CHOOSE(CONTROL!$C$22, $C$13, 100%, $E$13)</f>
        <v>3.3064</v>
      </c>
      <c r="K20" s="64">
        <f>3.3085 * CHOOSE(CONTROL!$C$22, $C$13, 100%, $E$13)</f>
        <v>3.3085</v>
      </c>
      <c r="L20" s="4"/>
      <c r="M20" s="64"/>
      <c r="N20" s="64"/>
    </row>
    <row r="21" spans="1:14" ht="15">
      <c r="A21" s="13">
        <v>42278</v>
      </c>
      <c r="B21" s="63">
        <f>2.2231 * CHOOSE(CONTROL!$C$22, $C$13, 100%, $E$13)</f>
        <v>2.2231000000000001</v>
      </c>
      <c r="C21" s="63">
        <f>2.2231 * CHOOSE(CONTROL!$C$22, $C$13, 100%, $E$13)</f>
        <v>2.2231000000000001</v>
      </c>
      <c r="D21" s="63">
        <f>2.2404 * CHOOSE(CONTROL!$C$22, $C$13, 100%, $E$13)</f>
        <v>2.2404000000000002</v>
      </c>
      <c r="E21" s="64">
        <f>3.4538 * CHOOSE(CONTROL!$C$22, $C$13, 100%, $E$13)</f>
        <v>3.4538000000000002</v>
      </c>
      <c r="F21" s="64">
        <f>4.06 * CHOOSE(CONTROL!$C$22, $C$13, 100%, $E$13)</f>
        <v>4.0599999999999996</v>
      </c>
      <c r="G21" s="64">
        <f>4.0602 * CHOOSE(CONTROL!$C$22, $C$13, 100%, $E$13)</f>
        <v>4.0602</v>
      </c>
      <c r="H21" s="64">
        <f>5.6954* CHOOSE(CONTROL!$C$22, $C$13, 100%, $E$13)</f>
        <v>5.6954000000000002</v>
      </c>
      <c r="I21" s="64">
        <f>5.6955 * CHOOSE(CONTROL!$C$22, $C$13, 100%, $E$13)</f>
        <v>5.6955</v>
      </c>
      <c r="J21" s="64">
        <f>3.4538 * CHOOSE(CONTROL!$C$22, $C$13, 100%, $E$13)</f>
        <v>3.4538000000000002</v>
      </c>
      <c r="K21" s="64">
        <f>3.4539 * CHOOSE(CONTROL!$C$22, $C$13, 100%, $E$13)</f>
        <v>3.4539</v>
      </c>
      <c r="L21" s="4"/>
      <c r="M21" s="64"/>
      <c r="N21" s="64"/>
    </row>
    <row r="22" spans="1:14" ht="15">
      <c r="A22" s="13">
        <v>42309</v>
      </c>
      <c r="B22" s="63">
        <f>2.242 * CHOOSE(CONTROL!$C$22, $C$13, 100%, $E$13)</f>
        <v>2.242</v>
      </c>
      <c r="C22" s="63">
        <f>2.242 * CHOOSE(CONTROL!$C$22, $C$13, 100%, $E$13)</f>
        <v>2.242</v>
      </c>
      <c r="D22" s="63">
        <f>2.2593 * CHOOSE(CONTROL!$C$22, $C$13, 100%, $E$13)</f>
        <v>2.2593000000000001</v>
      </c>
      <c r="E22" s="64">
        <f>3.3432 * CHOOSE(CONTROL!$C$22, $C$13, 100%, $E$13)</f>
        <v>3.3431999999999999</v>
      </c>
      <c r="F22" s="64">
        <f>4.06 * CHOOSE(CONTROL!$C$22, $C$13, 100%, $E$13)</f>
        <v>4.0599999999999996</v>
      </c>
      <c r="G22" s="64">
        <f>4.0602 * CHOOSE(CONTROL!$C$22, $C$13, 100%, $E$13)</f>
        <v>4.0602</v>
      </c>
      <c r="H22" s="64">
        <f>5.7072* CHOOSE(CONTROL!$C$22, $C$13, 100%, $E$13)</f>
        <v>5.7072000000000003</v>
      </c>
      <c r="I22" s="64">
        <f>5.7074 * CHOOSE(CONTROL!$C$22, $C$13, 100%, $E$13)</f>
        <v>5.7073999999999998</v>
      </c>
      <c r="J22" s="64">
        <f>3.3432 * CHOOSE(CONTROL!$C$22, $C$13, 100%, $E$13)</f>
        <v>3.3431999999999999</v>
      </c>
      <c r="K22" s="64">
        <f>3.3434 * CHOOSE(CONTROL!$C$22, $C$13, 100%, $E$13)</f>
        <v>3.3433999999999999</v>
      </c>
      <c r="L22" s="4"/>
      <c r="M22" s="64"/>
      <c r="N22" s="64"/>
    </row>
    <row r="23" spans="1:14" ht="15">
      <c r="A23" s="13">
        <v>42339</v>
      </c>
      <c r="B23" s="63">
        <f>2.2724 * CHOOSE(CONTROL!$C$22, $C$13, 100%, $E$13)</f>
        <v>2.2724000000000002</v>
      </c>
      <c r="C23" s="63">
        <f>2.2724 * CHOOSE(CONTROL!$C$22, $C$13, 100%, $E$13)</f>
        <v>2.2724000000000002</v>
      </c>
      <c r="D23" s="63">
        <f>2.2897 * CHOOSE(CONTROL!$C$22, $C$13, 100%, $E$13)</f>
        <v>2.2896999999999998</v>
      </c>
      <c r="E23" s="64">
        <f>3.3054 * CHOOSE(CONTROL!$C$22, $C$13, 100%, $E$13)</f>
        <v>3.3054000000000001</v>
      </c>
      <c r="F23" s="64">
        <f>4.06 * CHOOSE(CONTROL!$C$22, $C$13, 100%, $E$13)</f>
        <v>4.0599999999999996</v>
      </c>
      <c r="G23" s="64">
        <f>4.0602 * CHOOSE(CONTROL!$C$22, $C$13, 100%, $E$13)</f>
        <v>4.0602</v>
      </c>
      <c r="H23" s="64">
        <f>5.7191* CHOOSE(CONTROL!$C$22, $C$13, 100%, $E$13)</f>
        <v>5.7191000000000001</v>
      </c>
      <c r="I23" s="64">
        <f>5.7193 * CHOOSE(CONTROL!$C$22, $C$13, 100%, $E$13)</f>
        <v>5.7192999999999996</v>
      </c>
      <c r="J23" s="64">
        <f>3.3054 * CHOOSE(CONTROL!$C$22, $C$13, 100%, $E$13)</f>
        <v>3.3054000000000001</v>
      </c>
      <c r="K23" s="64">
        <f>3.3056 * CHOOSE(CONTROL!$C$22, $C$13, 100%, $E$13)</f>
        <v>3.3056000000000001</v>
      </c>
      <c r="L23" s="4"/>
      <c r="M23" s="64"/>
      <c r="N23" s="64"/>
    </row>
    <row r="24" spans="1:14" ht="15">
      <c r="A24" s="13">
        <v>42370</v>
      </c>
      <c r="B24" s="63">
        <f>2.6078 * CHOOSE(CONTROL!$C$22, $C$13, 100%, $E$13)</f>
        <v>2.6078000000000001</v>
      </c>
      <c r="C24" s="63">
        <f>2.6078 * CHOOSE(CONTROL!$C$22, $C$13, 100%, $E$13)</f>
        <v>2.6078000000000001</v>
      </c>
      <c r="D24" s="63">
        <f>2.6251 * CHOOSE(CONTROL!$C$22, $C$13, 100%, $E$13)</f>
        <v>2.6251000000000002</v>
      </c>
      <c r="E24" s="64">
        <f>3.383 * CHOOSE(CONTROL!$C$22, $C$13, 100%, $E$13)</f>
        <v>3.383</v>
      </c>
      <c r="F24" s="64">
        <f>4.017 * CHOOSE(CONTROL!$C$22, $C$13, 100%, $E$13)</f>
        <v>4.0170000000000003</v>
      </c>
      <c r="G24" s="64">
        <f>4.0172 * CHOOSE(CONTROL!$C$22, $C$13, 100%, $E$13)</f>
        <v>4.0171999999999999</v>
      </c>
      <c r="H24" s="64">
        <f>5.731* CHOOSE(CONTROL!$C$22, $C$13, 100%, $E$13)</f>
        <v>5.7309999999999999</v>
      </c>
      <c r="I24" s="64">
        <f>5.7312 * CHOOSE(CONTROL!$C$22, $C$13, 100%, $E$13)</f>
        <v>5.7312000000000003</v>
      </c>
      <c r="J24" s="64">
        <f>3.383 * CHOOSE(CONTROL!$C$22, $C$13, 100%, $E$13)</f>
        <v>3.383</v>
      </c>
      <c r="K24" s="64">
        <f>3.3832 * CHOOSE(CONTROL!$C$22, $C$13, 100%, $E$13)</f>
        <v>3.3832</v>
      </c>
      <c r="L24" s="4"/>
      <c r="M24" s="64"/>
      <c r="N24" s="64"/>
    </row>
    <row r="25" spans="1:14" ht="15">
      <c r="A25" s="13">
        <v>42401</v>
      </c>
      <c r="B25" s="63">
        <f>2.6017 * CHOOSE(CONTROL!$C$22, $C$13, 100%, $E$13)</f>
        <v>2.6017000000000001</v>
      </c>
      <c r="C25" s="63">
        <f>2.6017 * CHOOSE(CONTROL!$C$22, $C$13, 100%, $E$13)</f>
        <v>2.6017000000000001</v>
      </c>
      <c r="D25" s="63">
        <f>2.619 * CHOOSE(CONTROL!$C$22, $C$13, 100%, $E$13)</f>
        <v>2.6190000000000002</v>
      </c>
      <c r="E25" s="64">
        <f>3.3427 * CHOOSE(CONTROL!$C$22, $C$13, 100%, $E$13)</f>
        <v>3.3426999999999998</v>
      </c>
      <c r="F25" s="64">
        <f>4.035 * CHOOSE(CONTROL!$C$22, $C$13, 100%, $E$13)</f>
        <v>4.0350000000000001</v>
      </c>
      <c r="G25" s="64">
        <f>4.0352 * CHOOSE(CONTROL!$C$22, $C$13, 100%, $E$13)</f>
        <v>4.0351999999999997</v>
      </c>
      <c r="H25" s="64">
        <f>5.743* CHOOSE(CONTROL!$C$22, $C$13, 100%, $E$13)</f>
        <v>5.7430000000000003</v>
      </c>
      <c r="I25" s="64">
        <f>5.7432 * CHOOSE(CONTROL!$C$22, $C$13, 100%, $E$13)</f>
        <v>5.7431999999999999</v>
      </c>
      <c r="J25" s="64">
        <f>3.3427 * CHOOSE(CONTROL!$C$22, $C$13, 100%, $E$13)</f>
        <v>3.3426999999999998</v>
      </c>
      <c r="K25" s="64">
        <f>3.3429 * CHOOSE(CONTROL!$C$22, $C$13, 100%, $E$13)</f>
        <v>3.3429000000000002</v>
      </c>
      <c r="L25" s="4"/>
      <c r="M25" s="64"/>
      <c r="N25" s="64"/>
    </row>
    <row r="26" spans="1:14" ht="15">
      <c r="A26" s="13">
        <v>42430</v>
      </c>
      <c r="B26" s="63">
        <f>2.5956 * CHOOSE(CONTROL!$C$22, $C$13, 100%, $E$13)</f>
        <v>2.5956000000000001</v>
      </c>
      <c r="C26" s="63">
        <f>2.5956 * CHOOSE(CONTROL!$C$22, $C$13, 100%, $E$13)</f>
        <v>2.5956000000000001</v>
      </c>
      <c r="D26" s="63">
        <f>2.613 * CHOOSE(CONTROL!$C$22, $C$13, 100%, $E$13)</f>
        <v>2.613</v>
      </c>
      <c r="E26" s="64">
        <f>3.5819 * CHOOSE(CONTROL!$C$22, $C$13, 100%, $E$13)</f>
        <v>3.5819000000000001</v>
      </c>
      <c r="F26" s="64">
        <f>4.01 * CHOOSE(CONTROL!$C$22, $C$13, 100%, $E$13)</f>
        <v>4.01</v>
      </c>
      <c r="G26" s="64">
        <f>4.0102 * CHOOSE(CONTROL!$C$22, $C$13, 100%, $E$13)</f>
        <v>4.0102000000000002</v>
      </c>
      <c r="H26" s="64">
        <f>5.7549* CHOOSE(CONTROL!$C$22, $C$13, 100%, $E$13)</f>
        <v>5.7549000000000001</v>
      </c>
      <c r="I26" s="64">
        <f>5.7551 * CHOOSE(CONTROL!$C$22, $C$13, 100%, $E$13)</f>
        <v>5.7550999999999997</v>
      </c>
      <c r="J26" s="64">
        <f>3.5819 * CHOOSE(CONTROL!$C$22, $C$13, 100%, $E$13)</f>
        <v>3.5819000000000001</v>
      </c>
      <c r="K26" s="64">
        <f>3.5821 * CHOOSE(CONTROL!$C$22, $C$13, 100%, $E$13)</f>
        <v>3.5821000000000001</v>
      </c>
      <c r="L26" s="4"/>
      <c r="M26" s="64"/>
      <c r="N26" s="64"/>
    </row>
    <row r="27" spans="1:14" ht="15">
      <c r="A27" s="13">
        <v>42461</v>
      </c>
      <c r="B27" s="63">
        <f>2.6042 * CHOOSE(CONTROL!$C$22, $C$13, 100%, $E$13)</f>
        <v>2.6042000000000001</v>
      </c>
      <c r="C27" s="63">
        <f>2.6042 * CHOOSE(CONTROL!$C$22, $C$13, 100%, $E$13)</f>
        <v>2.6042000000000001</v>
      </c>
      <c r="D27" s="63">
        <f>2.6215 * CHOOSE(CONTROL!$C$22, $C$13, 100%, $E$13)</f>
        <v>2.6215000000000002</v>
      </c>
      <c r="E27" s="64">
        <f>3.3427 * CHOOSE(CONTROL!$C$22, $C$13, 100%, $E$13)</f>
        <v>3.3426999999999998</v>
      </c>
      <c r="F27" s="64">
        <f>4.035 * CHOOSE(CONTROL!$C$22, $C$13, 100%, $E$13)</f>
        <v>4.0350000000000001</v>
      </c>
      <c r="G27" s="64">
        <f>4.0352 * CHOOSE(CONTROL!$C$22, $C$13, 100%, $E$13)</f>
        <v>4.0351999999999997</v>
      </c>
      <c r="H27" s="64">
        <f>5.7669* CHOOSE(CONTROL!$C$22, $C$13, 100%, $E$13)</f>
        <v>5.7668999999999997</v>
      </c>
      <c r="I27" s="64">
        <f>5.7671 * CHOOSE(CONTROL!$C$22, $C$13, 100%, $E$13)</f>
        <v>5.7671000000000001</v>
      </c>
      <c r="J27" s="64">
        <f>3.3427 * CHOOSE(CONTROL!$C$22, $C$13, 100%, $E$13)</f>
        <v>3.3426999999999998</v>
      </c>
      <c r="K27" s="64">
        <f>3.3429 * CHOOSE(CONTROL!$C$22, $C$13, 100%, $E$13)</f>
        <v>3.3429000000000002</v>
      </c>
      <c r="L27" s="4"/>
      <c r="M27" s="64"/>
      <c r="N27" s="64"/>
    </row>
    <row r="28" spans="1:14" ht="15">
      <c r="A28" s="13">
        <v>42491</v>
      </c>
      <c r="B28" s="63">
        <f>2.6103 * CHOOSE(CONTROL!$C$22, $C$13, 100%, $E$13)</f>
        <v>2.6103000000000001</v>
      </c>
      <c r="C28" s="63">
        <f>2.6103 * CHOOSE(CONTROL!$C$22, $C$13, 100%, $E$13)</f>
        <v>2.6103000000000001</v>
      </c>
      <c r="D28" s="63">
        <f>2.6449 * CHOOSE(CONTROL!$C$22, $C$13, 100%, $E$13)</f>
        <v>2.6448999999999998</v>
      </c>
      <c r="E28" s="64">
        <f>3.3395 * CHOOSE(CONTROL!$C$22, $C$13, 100%, $E$13)</f>
        <v>3.3395000000000001</v>
      </c>
      <c r="F28" s="64">
        <f>4.005 * CHOOSE(CONTROL!$C$22, $C$13, 100%, $E$13)</f>
        <v>4.0049999999999999</v>
      </c>
      <c r="G28" s="64">
        <f>4.0071 * CHOOSE(CONTROL!$C$22, $C$13, 100%, $E$13)</f>
        <v>4.0071000000000003</v>
      </c>
      <c r="H28" s="64">
        <f>5.7789* CHOOSE(CONTROL!$C$22, $C$13, 100%, $E$13)</f>
        <v>5.7789000000000001</v>
      </c>
      <c r="I28" s="64">
        <f>5.7811 * CHOOSE(CONTROL!$C$22, $C$13, 100%, $E$13)</f>
        <v>5.7811000000000003</v>
      </c>
      <c r="J28" s="64">
        <f>3.3395 * CHOOSE(CONTROL!$C$22, $C$13, 100%, $E$13)</f>
        <v>3.3395000000000001</v>
      </c>
      <c r="K28" s="64">
        <f>3.3416 * CHOOSE(CONTROL!$C$22, $C$13, 100%, $E$13)</f>
        <v>3.3416000000000001</v>
      </c>
      <c r="L28" s="4"/>
      <c r="M28" s="64"/>
      <c r="N28" s="64"/>
    </row>
    <row r="29" spans="1:14" ht="15">
      <c r="A29" s="13">
        <v>42522</v>
      </c>
      <c r="B29" s="63">
        <f>2.6164 * CHOOSE(CONTROL!$C$22, $C$13, 100%, $E$13)</f>
        <v>2.6164000000000001</v>
      </c>
      <c r="C29" s="63">
        <f>2.6164 * CHOOSE(CONTROL!$C$22, $C$13, 100%, $E$13)</f>
        <v>2.6164000000000001</v>
      </c>
      <c r="D29" s="63">
        <f>2.651 * CHOOSE(CONTROL!$C$22, $C$13, 100%, $E$13)</f>
        <v>2.6509999999999998</v>
      </c>
      <c r="E29" s="64">
        <f>3.1559 * CHOOSE(CONTROL!$C$22, $C$13, 100%, $E$13)</f>
        <v>3.1558999999999999</v>
      </c>
      <c r="F29" s="64">
        <f>4.017 * CHOOSE(CONTROL!$C$22, $C$13, 100%, $E$13)</f>
        <v>4.0170000000000003</v>
      </c>
      <c r="G29" s="64">
        <f>4.0191 * CHOOSE(CONTROL!$C$22, $C$13, 100%, $E$13)</f>
        <v>4.0190999999999999</v>
      </c>
      <c r="H29" s="64">
        <f>5.791* CHOOSE(CONTROL!$C$22, $C$13, 100%, $E$13)</f>
        <v>5.7910000000000004</v>
      </c>
      <c r="I29" s="64">
        <f>5.7931 * CHOOSE(CONTROL!$C$22, $C$13, 100%, $E$13)</f>
        <v>5.7930999999999999</v>
      </c>
      <c r="J29" s="64">
        <f>3.1559 * CHOOSE(CONTROL!$C$22, $C$13, 100%, $E$13)</f>
        <v>3.1558999999999999</v>
      </c>
      <c r="K29" s="64">
        <f>3.1581 * CHOOSE(CONTROL!$C$22, $C$13, 100%, $E$13)</f>
        <v>3.1581000000000001</v>
      </c>
      <c r="L29" s="4"/>
      <c r="M29" s="64"/>
      <c r="N29" s="64"/>
    </row>
    <row r="30" spans="1:14" ht="15">
      <c r="A30" s="13">
        <v>42552</v>
      </c>
      <c r="B30" s="63">
        <f>2.6506 * CHOOSE(CONTROL!$C$22, $C$13, 100%, $E$13)</f>
        <v>2.6505999999999998</v>
      </c>
      <c r="C30" s="63">
        <f>2.6506 * CHOOSE(CONTROL!$C$22, $C$13, 100%, $E$13)</f>
        <v>2.6505999999999998</v>
      </c>
      <c r="D30" s="63">
        <f>2.6852 * CHOOSE(CONTROL!$C$22, $C$13, 100%, $E$13)</f>
        <v>2.6852</v>
      </c>
      <c r="E30" s="64">
        <f>3.2732 * CHOOSE(CONTROL!$C$22, $C$13, 100%, $E$13)</f>
        <v>3.2732000000000001</v>
      </c>
      <c r="F30" s="64">
        <f>4.017 * CHOOSE(CONTROL!$C$22, $C$13, 100%, $E$13)</f>
        <v>4.0170000000000003</v>
      </c>
      <c r="G30" s="64">
        <f>4.0191 * CHOOSE(CONTROL!$C$22, $C$13, 100%, $E$13)</f>
        <v>4.0190999999999999</v>
      </c>
      <c r="H30" s="64">
        <f>5.8031* CHOOSE(CONTROL!$C$22, $C$13, 100%, $E$13)</f>
        <v>5.8030999999999997</v>
      </c>
      <c r="I30" s="64">
        <f>5.8052 * CHOOSE(CONTROL!$C$22, $C$13, 100%, $E$13)</f>
        <v>5.8052000000000001</v>
      </c>
      <c r="J30" s="64">
        <f>3.2732 * CHOOSE(CONTROL!$C$22, $C$13, 100%, $E$13)</f>
        <v>3.2732000000000001</v>
      </c>
      <c r="K30" s="64">
        <f>3.2753 * CHOOSE(CONTROL!$C$22, $C$13, 100%, $E$13)</f>
        <v>3.2753000000000001</v>
      </c>
      <c r="L30" s="4"/>
      <c r="M30" s="4"/>
      <c r="N30" s="4"/>
    </row>
    <row r="31" spans="1:14" ht="15">
      <c r="A31" s="13">
        <v>42583</v>
      </c>
      <c r="B31" s="63">
        <f>2.6658 * CHOOSE(CONTROL!$C$22, $C$13, 100%, $E$13)</f>
        <v>2.6657999999999999</v>
      </c>
      <c r="C31" s="63">
        <f>2.6658 * CHOOSE(CONTROL!$C$22, $C$13, 100%, $E$13)</f>
        <v>2.6657999999999999</v>
      </c>
      <c r="D31" s="63">
        <f>2.7004 * CHOOSE(CONTROL!$C$22, $C$13, 100%, $E$13)</f>
        <v>2.7004000000000001</v>
      </c>
      <c r="E31" s="64">
        <f>3.383 * CHOOSE(CONTROL!$C$22, $C$13, 100%, $E$13)</f>
        <v>3.383</v>
      </c>
      <c r="F31" s="64">
        <f>4.017 * CHOOSE(CONTROL!$C$22, $C$13, 100%, $E$13)</f>
        <v>4.0170000000000003</v>
      </c>
      <c r="G31" s="64">
        <f>4.0191 * CHOOSE(CONTROL!$C$22, $C$13, 100%, $E$13)</f>
        <v>4.0190999999999999</v>
      </c>
      <c r="H31" s="64">
        <f>5.8151* CHOOSE(CONTROL!$C$22, $C$13, 100%, $E$13)</f>
        <v>5.8151000000000002</v>
      </c>
      <c r="I31" s="64">
        <f>5.8173 * CHOOSE(CONTROL!$C$22, $C$13, 100%, $E$13)</f>
        <v>5.8173000000000004</v>
      </c>
      <c r="J31" s="64">
        <f>3.383 * CHOOSE(CONTROL!$C$22, $C$13, 100%, $E$13)</f>
        <v>3.383</v>
      </c>
      <c r="K31" s="64">
        <f>3.3852 * CHOOSE(CONTROL!$C$22, $C$13, 100%, $E$13)</f>
        <v>3.3852000000000002</v>
      </c>
      <c r="L31" s="4"/>
      <c r="M31" s="4"/>
      <c r="N31" s="4"/>
    </row>
    <row r="32" spans="1:14" ht="15">
      <c r="A32" s="13">
        <v>42614</v>
      </c>
      <c r="B32" s="63">
        <f>2.6597 * CHOOSE(CONTROL!$C$22, $C$13, 100%, $E$13)</f>
        <v>2.6597</v>
      </c>
      <c r="C32" s="63">
        <f>2.6597 * CHOOSE(CONTROL!$C$22, $C$13, 100%, $E$13)</f>
        <v>2.6597</v>
      </c>
      <c r="D32" s="63">
        <f>2.6943 * CHOOSE(CONTROL!$C$22, $C$13, 100%, $E$13)</f>
        <v>2.6943000000000001</v>
      </c>
      <c r="E32" s="64">
        <f>3.2732 * CHOOSE(CONTROL!$C$22, $C$13, 100%, $E$13)</f>
        <v>3.2732000000000001</v>
      </c>
      <c r="F32" s="64">
        <f>4.017 * CHOOSE(CONTROL!$C$22, $C$13, 100%, $E$13)</f>
        <v>4.0170000000000003</v>
      </c>
      <c r="G32" s="64">
        <f>4.0191 * CHOOSE(CONTROL!$C$22, $C$13, 100%, $E$13)</f>
        <v>4.0190999999999999</v>
      </c>
      <c r="H32" s="64">
        <f>5.8273* CHOOSE(CONTROL!$C$22, $C$13, 100%, $E$13)</f>
        <v>5.8273000000000001</v>
      </c>
      <c r="I32" s="64">
        <f>5.8294 * CHOOSE(CONTROL!$C$22, $C$13, 100%, $E$13)</f>
        <v>5.8293999999999997</v>
      </c>
      <c r="J32" s="64">
        <f>3.2732 * CHOOSE(CONTROL!$C$22, $C$13, 100%, $E$13)</f>
        <v>3.2732000000000001</v>
      </c>
      <c r="K32" s="64">
        <f>3.2753 * CHOOSE(CONTROL!$C$22, $C$13, 100%, $E$13)</f>
        <v>3.2753000000000001</v>
      </c>
      <c r="L32" s="4"/>
      <c r="M32" s="4"/>
      <c r="N32" s="4"/>
    </row>
    <row r="33" spans="1:14" ht="15">
      <c r="A33" s="13">
        <v>42644</v>
      </c>
      <c r="B33" s="63">
        <f>2.6898 * CHOOSE(CONTROL!$C$22, $C$13, 100%, $E$13)</f>
        <v>2.6898</v>
      </c>
      <c r="C33" s="63">
        <f>2.6898 * CHOOSE(CONTROL!$C$22, $C$13, 100%, $E$13)</f>
        <v>2.6898</v>
      </c>
      <c r="D33" s="63">
        <f>2.7071 * CHOOSE(CONTROL!$C$22, $C$13, 100%, $E$13)</f>
        <v>2.7071000000000001</v>
      </c>
      <c r="E33" s="64">
        <f>3.3427 * CHOOSE(CONTROL!$C$22, $C$13, 100%, $E$13)</f>
        <v>3.3426999999999998</v>
      </c>
      <c r="F33" s="64">
        <f>4.035 * CHOOSE(CONTROL!$C$22, $C$13, 100%, $E$13)</f>
        <v>4.0350000000000001</v>
      </c>
      <c r="G33" s="64">
        <f>4.0352 * CHOOSE(CONTROL!$C$22, $C$13, 100%, $E$13)</f>
        <v>4.0351999999999997</v>
      </c>
      <c r="H33" s="64">
        <f>5.8394* CHOOSE(CONTROL!$C$22, $C$13, 100%, $E$13)</f>
        <v>5.8394000000000004</v>
      </c>
      <c r="I33" s="64">
        <f>5.8396 * CHOOSE(CONTROL!$C$22, $C$13, 100%, $E$13)</f>
        <v>5.8395999999999999</v>
      </c>
      <c r="J33" s="64">
        <f>3.3427 * CHOOSE(CONTROL!$C$22, $C$13, 100%, $E$13)</f>
        <v>3.3426999999999998</v>
      </c>
      <c r="K33" s="64">
        <f>3.3429 * CHOOSE(CONTROL!$C$22, $C$13, 100%, $E$13)</f>
        <v>3.3429000000000002</v>
      </c>
      <c r="L33" s="4"/>
      <c r="M33" s="4"/>
      <c r="N33" s="4"/>
    </row>
    <row r="34" spans="1:14" ht="15">
      <c r="A34" s="13">
        <v>42675</v>
      </c>
      <c r="B34" s="63">
        <f>2.6928 * CHOOSE(CONTROL!$C$22, $C$13, 100%, $E$13)</f>
        <v>2.6928000000000001</v>
      </c>
      <c r="C34" s="63">
        <f>2.6928 * CHOOSE(CONTROL!$C$22, $C$13, 100%, $E$13)</f>
        <v>2.6928000000000001</v>
      </c>
      <c r="D34" s="63">
        <f>2.7102 * CHOOSE(CONTROL!$C$22, $C$13, 100%, $E$13)</f>
        <v>2.7101999999999999</v>
      </c>
      <c r="E34" s="64">
        <f>3.3427 * CHOOSE(CONTROL!$C$22, $C$13, 100%, $E$13)</f>
        <v>3.3426999999999998</v>
      </c>
      <c r="F34" s="64">
        <f>4.035 * CHOOSE(CONTROL!$C$22, $C$13, 100%, $E$13)</f>
        <v>4.0350000000000001</v>
      </c>
      <c r="G34" s="64">
        <f>4.0352 * CHOOSE(CONTROL!$C$22, $C$13, 100%, $E$13)</f>
        <v>4.0351999999999997</v>
      </c>
      <c r="H34" s="64">
        <f>5.8516* CHOOSE(CONTROL!$C$22, $C$13, 100%, $E$13)</f>
        <v>5.8516000000000004</v>
      </c>
      <c r="I34" s="64">
        <f>5.8517 * CHOOSE(CONTROL!$C$22, $C$13, 100%, $E$13)</f>
        <v>5.8517000000000001</v>
      </c>
      <c r="J34" s="64">
        <f>3.3427 * CHOOSE(CONTROL!$C$22, $C$13, 100%, $E$13)</f>
        <v>3.3426999999999998</v>
      </c>
      <c r="K34" s="64">
        <f>3.3429 * CHOOSE(CONTROL!$C$22, $C$13, 100%, $E$13)</f>
        <v>3.3429000000000002</v>
      </c>
      <c r="L34" s="4"/>
      <c r="M34" s="4"/>
      <c r="N34" s="4"/>
    </row>
    <row r="35" spans="1:14" ht="15">
      <c r="A35" s="13">
        <v>42705</v>
      </c>
      <c r="B35" s="63">
        <f>2.6959 * CHOOSE(CONTROL!$C$22, $C$13, 100%, $E$13)</f>
        <v>2.6959</v>
      </c>
      <c r="C35" s="63">
        <f>2.6959 * CHOOSE(CONTROL!$C$22, $C$13, 100%, $E$13)</f>
        <v>2.6959</v>
      </c>
      <c r="D35" s="63">
        <f>2.7132 * CHOOSE(CONTROL!$C$22, $C$13, 100%, $E$13)</f>
        <v>2.7132000000000001</v>
      </c>
      <c r="E35" s="64">
        <f>3.5831 * CHOOSE(CONTROL!$C$22, $C$13, 100%, $E$13)</f>
        <v>3.5831</v>
      </c>
      <c r="F35" s="64">
        <f>4.017 * CHOOSE(CONTROL!$C$22, $C$13, 100%, $E$13)</f>
        <v>4.0170000000000003</v>
      </c>
      <c r="G35" s="64">
        <f>4.0172 * CHOOSE(CONTROL!$C$22, $C$13, 100%, $E$13)</f>
        <v>4.0171999999999999</v>
      </c>
      <c r="H35" s="64">
        <f>5.8638* CHOOSE(CONTROL!$C$22, $C$13, 100%, $E$13)</f>
        <v>5.8638000000000003</v>
      </c>
      <c r="I35" s="64">
        <f>5.8639 * CHOOSE(CONTROL!$C$22, $C$13, 100%, $E$13)</f>
        <v>5.8639000000000001</v>
      </c>
      <c r="J35" s="64">
        <f>3.5831 * CHOOSE(CONTROL!$C$22, $C$13, 100%, $E$13)</f>
        <v>3.5831</v>
      </c>
      <c r="K35" s="64">
        <f>3.5833 * CHOOSE(CONTROL!$C$22, $C$13, 100%, $E$13)</f>
        <v>3.5832999999999999</v>
      </c>
      <c r="L35" s="4"/>
      <c r="M35" s="4"/>
      <c r="N35" s="4"/>
    </row>
    <row r="36" spans="1:14" ht="15">
      <c r="A36" s="13">
        <v>42736</v>
      </c>
      <c r="B36" s="63">
        <f>2.7015 * CHOOSE(CONTROL!$C$22, $C$13, 100%, $E$13)</f>
        <v>2.7014999999999998</v>
      </c>
      <c r="C36" s="63">
        <f>2.7015 * CHOOSE(CONTROL!$C$22, $C$13, 100%, $E$13)</f>
        <v>2.7014999999999998</v>
      </c>
      <c r="D36" s="63">
        <f>2.7188 * CHOOSE(CONTROL!$C$22, $C$13, 100%, $E$13)</f>
        <v>2.7187999999999999</v>
      </c>
      <c r="E36" s="64">
        <f>3.4856 * CHOOSE(CONTROL!$C$22, $C$13, 100%, $E$13)</f>
        <v>3.4855999999999998</v>
      </c>
      <c r="F36" s="64">
        <f>3.4856 * CHOOSE(CONTROL!$C$22, $C$13, 100%, $E$13)</f>
        <v>3.4855999999999998</v>
      </c>
      <c r="G36" s="64">
        <f>3.4858 * CHOOSE(CONTROL!$C$22, $C$13, 100%, $E$13)</f>
        <v>3.4857999999999998</v>
      </c>
      <c r="H36" s="64">
        <f>5.876* CHOOSE(CONTROL!$C$22, $C$13, 100%, $E$13)</f>
        <v>5.8760000000000003</v>
      </c>
      <c r="I36" s="64">
        <f>5.8761 * CHOOSE(CONTROL!$C$22, $C$13, 100%, $E$13)</f>
        <v>5.8761000000000001</v>
      </c>
      <c r="J36" s="64">
        <f>3.4856 * CHOOSE(CONTROL!$C$22, $C$13, 100%, $E$13)</f>
        <v>3.4855999999999998</v>
      </c>
      <c r="K36" s="64">
        <f>3.4858 * CHOOSE(CONTROL!$C$22, $C$13, 100%, $E$13)</f>
        <v>3.4857999999999998</v>
      </c>
      <c r="L36" s="4"/>
      <c r="M36" s="4"/>
      <c r="N36" s="4"/>
    </row>
    <row r="37" spans="1:14" ht="15">
      <c r="A37" s="13">
        <v>42767</v>
      </c>
      <c r="B37" s="63">
        <f>2.6954 * CHOOSE(CONTROL!$C$22, $C$13, 100%, $E$13)</f>
        <v>2.6953999999999998</v>
      </c>
      <c r="C37" s="63">
        <f>2.6954 * CHOOSE(CONTROL!$C$22, $C$13, 100%, $E$13)</f>
        <v>2.6953999999999998</v>
      </c>
      <c r="D37" s="63">
        <f>2.7127 * CHOOSE(CONTROL!$C$22, $C$13, 100%, $E$13)</f>
        <v>2.7126999999999999</v>
      </c>
      <c r="E37" s="64">
        <f>3.3873 * CHOOSE(CONTROL!$C$22, $C$13, 100%, $E$13)</f>
        <v>3.3873000000000002</v>
      </c>
      <c r="F37" s="64">
        <f>3.3873 * CHOOSE(CONTROL!$C$22, $C$13, 100%, $E$13)</f>
        <v>3.3873000000000002</v>
      </c>
      <c r="G37" s="64">
        <f>3.3875 * CHOOSE(CONTROL!$C$22, $C$13, 100%, $E$13)</f>
        <v>3.3875000000000002</v>
      </c>
      <c r="H37" s="64">
        <f>5.8882* CHOOSE(CONTROL!$C$22, $C$13, 100%, $E$13)</f>
        <v>5.8882000000000003</v>
      </c>
      <c r="I37" s="64">
        <f>5.8884 * CHOOSE(CONTROL!$C$22, $C$13, 100%, $E$13)</f>
        <v>5.8883999999999999</v>
      </c>
      <c r="J37" s="64">
        <f>3.3873 * CHOOSE(CONTROL!$C$22, $C$13, 100%, $E$13)</f>
        <v>3.3873000000000002</v>
      </c>
      <c r="K37" s="64">
        <f>3.3875 * CHOOSE(CONTROL!$C$22, $C$13, 100%, $E$13)</f>
        <v>3.3875000000000002</v>
      </c>
      <c r="L37" s="4"/>
      <c r="M37" s="4"/>
      <c r="N37" s="4"/>
    </row>
    <row r="38" spans="1:14" ht="15">
      <c r="A38" s="13">
        <v>42795</v>
      </c>
      <c r="B38" s="63">
        <f>2.6924 * CHOOSE(CONTROL!$C$22, $C$13, 100%, $E$13)</f>
        <v>2.6924000000000001</v>
      </c>
      <c r="C38" s="63">
        <f>2.6924 * CHOOSE(CONTROL!$C$22, $C$13, 100%, $E$13)</f>
        <v>2.6924000000000001</v>
      </c>
      <c r="D38" s="63">
        <f>2.7097 * CHOOSE(CONTROL!$C$22, $C$13, 100%, $E$13)</f>
        <v>2.7097000000000002</v>
      </c>
      <c r="E38" s="64">
        <f>3.4487 * CHOOSE(CONTROL!$C$22, $C$13, 100%, $E$13)</f>
        <v>3.4487000000000001</v>
      </c>
      <c r="F38" s="64">
        <f>3.4487 * CHOOSE(CONTROL!$C$22, $C$13, 100%, $E$13)</f>
        <v>3.4487000000000001</v>
      </c>
      <c r="G38" s="64">
        <f>3.4489 * CHOOSE(CONTROL!$C$22, $C$13, 100%, $E$13)</f>
        <v>3.4489000000000001</v>
      </c>
      <c r="H38" s="64">
        <f>5.9005* CHOOSE(CONTROL!$C$22, $C$13, 100%, $E$13)</f>
        <v>5.9005000000000001</v>
      </c>
      <c r="I38" s="64">
        <f>5.9007 * CHOOSE(CONTROL!$C$22, $C$13, 100%, $E$13)</f>
        <v>5.9006999999999996</v>
      </c>
      <c r="J38" s="64">
        <f>3.4487 * CHOOSE(CONTROL!$C$22, $C$13, 100%, $E$13)</f>
        <v>3.4487000000000001</v>
      </c>
      <c r="K38" s="64">
        <f>3.4489 * CHOOSE(CONTROL!$C$22, $C$13, 100%, $E$13)</f>
        <v>3.4489000000000001</v>
      </c>
      <c r="L38" s="4"/>
      <c r="M38" s="4"/>
      <c r="N38" s="4"/>
    </row>
    <row r="39" spans="1:14" ht="15">
      <c r="A39" s="13">
        <v>42826</v>
      </c>
      <c r="B39" s="63">
        <f>2.7147 * CHOOSE(CONTROL!$C$22, $C$13, 100%, $E$13)</f>
        <v>2.7147000000000001</v>
      </c>
      <c r="C39" s="63">
        <f>2.7147 * CHOOSE(CONTROL!$C$22, $C$13, 100%, $E$13)</f>
        <v>2.7147000000000001</v>
      </c>
      <c r="D39" s="63">
        <f>2.732 * CHOOSE(CONTROL!$C$22, $C$13, 100%, $E$13)</f>
        <v>2.7320000000000002</v>
      </c>
      <c r="E39" s="64">
        <f>3.3873 * CHOOSE(CONTROL!$C$22, $C$13, 100%, $E$13)</f>
        <v>3.3873000000000002</v>
      </c>
      <c r="F39" s="64">
        <f>3.3873 * CHOOSE(CONTROL!$C$22, $C$13, 100%, $E$13)</f>
        <v>3.3873000000000002</v>
      </c>
      <c r="G39" s="64">
        <f>3.3875 * CHOOSE(CONTROL!$C$22, $C$13, 100%, $E$13)</f>
        <v>3.3875000000000002</v>
      </c>
      <c r="H39" s="64">
        <f>5.9128* CHOOSE(CONTROL!$C$22, $C$13, 100%, $E$13)</f>
        <v>5.9127999999999998</v>
      </c>
      <c r="I39" s="64">
        <f>5.9129 * CHOOSE(CONTROL!$C$22, $C$13, 100%, $E$13)</f>
        <v>5.9128999999999996</v>
      </c>
      <c r="J39" s="64">
        <f>3.3873 * CHOOSE(CONTROL!$C$22, $C$13, 100%, $E$13)</f>
        <v>3.3873000000000002</v>
      </c>
      <c r="K39" s="64">
        <f>3.3875 * CHOOSE(CONTROL!$C$22, $C$13, 100%, $E$13)</f>
        <v>3.3875000000000002</v>
      </c>
      <c r="L39" s="4"/>
      <c r="M39" s="4"/>
      <c r="N39" s="4"/>
    </row>
    <row r="40" spans="1:14" ht="15">
      <c r="A40" s="13">
        <v>42856</v>
      </c>
      <c r="B40" s="63">
        <f>2.7117 * CHOOSE(CONTROL!$C$22, $C$13, 100%, $E$13)</f>
        <v>2.7117</v>
      </c>
      <c r="C40" s="63">
        <f>2.7117 * CHOOSE(CONTROL!$C$22, $C$13, 100%, $E$13)</f>
        <v>2.7117</v>
      </c>
      <c r="D40" s="63">
        <f>2.7463 * CHOOSE(CONTROL!$C$22, $C$13, 100%, $E$13)</f>
        <v>2.7463000000000002</v>
      </c>
      <c r="E40" s="64">
        <f>3.3873 * CHOOSE(CONTROL!$C$22, $C$13, 100%, $E$13)</f>
        <v>3.3873000000000002</v>
      </c>
      <c r="F40" s="64">
        <f>3.3873 * CHOOSE(CONTROL!$C$22, $C$13, 100%, $E$13)</f>
        <v>3.3873000000000002</v>
      </c>
      <c r="G40" s="64">
        <f>3.3895 * CHOOSE(CONTROL!$C$22, $C$13, 100%, $E$13)</f>
        <v>3.3895</v>
      </c>
      <c r="H40" s="64">
        <f>5.9251* CHOOSE(CONTROL!$C$22, $C$13, 100%, $E$13)</f>
        <v>5.9250999999999996</v>
      </c>
      <c r="I40" s="64">
        <f>5.9272 * CHOOSE(CONTROL!$C$22, $C$13, 100%, $E$13)</f>
        <v>5.9272</v>
      </c>
      <c r="J40" s="64">
        <f>3.3873 * CHOOSE(CONTROL!$C$22, $C$13, 100%, $E$13)</f>
        <v>3.3873000000000002</v>
      </c>
      <c r="K40" s="64">
        <f>3.3895 * CHOOSE(CONTROL!$C$22, $C$13, 100%, $E$13)</f>
        <v>3.3895</v>
      </c>
      <c r="L40" s="4"/>
      <c r="M40" s="4"/>
      <c r="N40" s="4"/>
    </row>
    <row r="41" spans="1:14" ht="15">
      <c r="A41" s="13">
        <v>42887</v>
      </c>
      <c r="B41" s="63">
        <f>2.7177 * CHOOSE(CONTROL!$C$22, $C$13, 100%, $E$13)</f>
        <v>2.7176999999999998</v>
      </c>
      <c r="C41" s="63">
        <f>2.7177 * CHOOSE(CONTROL!$C$22, $C$13, 100%, $E$13)</f>
        <v>2.7176999999999998</v>
      </c>
      <c r="D41" s="63">
        <f>2.7524 * CHOOSE(CONTROL!$C$22, $C$13, 100%, $E$13)</f>
        <v>2.7524000000000002</v>
      </c>
      <c r="E41" s="64">
        <f>3.2645 * CHOOSE(CONTROL!$C$22, $C$13, 100%, $E$13)</f>
        <v>3.2645</v>
      </c>
      <c r="F41" s="64">
        <f>3.2645 * CHOOSE(CONTROL!$C$22, $C$13, 100%, $E$13)</f>
        <v>3.2645</v>
      </c>
      <c r="G41" s="64">
        <f>3.2666 * CHOOSE(CONTROL!$C$22, $C$13, 100%, $E$13)</f>
        <v>3.2665999999999999</v>
      </c>
      <c r="H41" s="64">
        <f>5.9374* CHOOSE(CONTROL!$C$22, $C$13, 100%, $E$13)</f>
        <v>5.9374000000000002</v>
      </c>
      <c r="I41" s="64">
        <f>5.9396 * CHOOSE(CONTROL!$C$22, $C$13, 100%, $E$13)</f>
        <v>5.9396000000000004</v>
      </c>
      <c r="J41" s="64">
        <f>3.2645 * CHOOSE(CONTROL!$C$22, $C$13, 100%, $E$13)</f>
        <v>3.2645</v>
      </c>
      <c r="K41" s="64">
        <f>3.2666 * CHOOSE(CONTROL!$C$22, $C$13, 100%, $E$13)</f>
        <v>3.2665999999999999</v>
      </c>
      <c r="L41" s="4"/>
      <c r="M41" s="4"/>
      <c r="N41" s="4"/>
    </row>
    <row r="42" spans="1:14" ht="15">
      <c r="A42" s="13">
        <v>42917</v>
      </c>
      <c r="B42" s="63">
        <f>2.7414 * CHOOSE(CONTROL!$C$22, $C$13, 100%, $E$13)</f>
        <v>2.7414000000000001</v>
      </c>
      <c r="C42" s="63">
        <f>2.7414 * CHOOSE(CONTROL!$C$22, $C$13, 100%, $E$13)</f>
        <v>2.7414000000000001</v>
      </c>
      <c r="D42" s="63">
        <f>2.7761 * CHOOSE(CONTROL!$C$22, $C$13, 100%, $E$13)</f>
        <v>2.7761</v>
      </c>
      <c r="E42" s="64">
        <f>3.633 * CHOOSE(CONTROL!$C$22, $C$13, 100%, $E$13)</f>
        <v>3.633</v>
      </c>
      <c r="F42" s="64">
        <f>3.633 * CHOOSE(CONTROL!$C$22, $C$13, 100%, $E$13)</f>
        <v>3.633</v>
      </c>
      <c r="G42" s="64">
        <f>3.6351 * CHOOSE(CONTROL!$C$22, $C$13, 100%, $E$13)</f>
        <v>3.6351</v>
      </c>
      <c r="H42" s="64">
        <f>5.9498* CHOOSE(CONTROL!$C$22, $C$13, 100%, $E$13)</f>
        <v>5.9497999999999998</v>
      </c>
      <c r="I42" s="64">
        <f>5.9519 * CHOOSE(CONTROL!$C$22, $C$13, 100%, $E$13)</f>
        <v>5.9519000000000002</v>
      </c>
      <c r="J42" s="64">
        <f>3.633 * CHOOSE(CONTROL!$C$22, $C$13, 100%, $E$13)</f>
        <v>3.633</v>
      </c>
      <c r="K42" s="64">
        <f>3.6351 * CHOOSE(CONTROL!$C$22, $C$13, 100%, $E$13)</f>
        <v>3.6351</v>
      </c>
      <c r="L42" s="4"/>
      <c r="M42" s="4"/>
      <c r="N42" s="4"/>
    </row>
    <row r="43" spans="1:14" ht="15">
      <c r="A43" s="13">
        <v>42948</v>
      </c>
      <c r="B43" s="63">
        <f>2.7566 * CHOOSE(CONTROL!$C$22, $C$13, 100%, $E$13)</f>
        <v>2.7566000000000002</v>
      </c>
      <c r="C43" s="63">
        <f>2.7566 * CHOOSE(CONTROL!$C$22, $C$13, 100%, $E$13)</f>
        <v>2.7566000000000002</v>
      </c>
      <c r="D43" s="63">
        <f>2.7913 * CHOOSE(CONTROL!$C$22, $C$13, 100%, $E$13)</f>
        <v>2.7913000000000001</v>
      </c>
      <c r="E43" s="64">
        <f>3.633 * CHOOSE(CONTROL!$C$22, $C$13, 100%, $E$13)</f>
        <v>3.633</v>
      </c>
      <c r="F43" s="64">
        <f>3.633 * CHOOSE(CONTROL!$C$22, $C$13, 100%, $E$13)</f>
        <v>3.633</v>
      </c>
      <c r="G43" s="64">
        <f>3.6351 * CHOOSE(CONTROL!$C$22, $C$13, 100%, $E$13)</f>
        <v>3.6351</v>
      </c>
      <c r="H43" s="64">
        <f>5.9622* CHOOSE(CONTROL!$C$22, $C$13, 100%, $E$13)</f>
        <v>5.9622000000000002</v>
      </c>
      <c r="I43" s="64">
        <f>5.9643 * CHOOSE(CONTROL!$C$22, $C$13, 100%, $E$13)</f>
        <v>5.9642999999999997</v>
      </c>
      <c r="J43" s="64">
        <f>3.633 * CHOOSE(CONTROL!$C$22, $C$13, 100%, $E$13)</f>
        <v>3.633</v>
      </c>
      <c r="K43" s="64">
        <f>3.6351 * CHOOSE(CONTROL!$C$22, $C$13, 100%, $E$13)</f>
        <v>3.6351</v>
      </c>
      <c r="L43" s="4"/>
      <c r="M43" s="4"/>
      <c r="N43" s="4"/>
    </row>
    <row r="44" spans="1:14" ht="15">
      <c r="A44" s="13">
        <v>42979</v>
      </c>
      <c r="B44" s="63">
        <f>2.7506 * CHOOSE(CONTROL!$C$22, $C$13, 100%, $E$13)</f>
        <v>2.7505999999999999</v>
      </c>
      <c r="C44" s="63">
        <f>2.7506 * CHOOSE(CONTROL!$C$22, $C$13, 100%, $E$13)</f>
        <v>2.7505999999999999</v>
      </c>
      <c r="D44" s="63">
        <f>2.7852 * CHOOSE(CONTROL!$C$22, $C$13, 100%, $E$13)</f>
        <v>2.7852000000000001</v>
      </c>
      <c r="E44" s="64">
        <f>3.633 * CHOOSE(CONTROL!$C$22, $C$13, 100%, $E$13)</f>
        <v>3.633</v>
      </c>
      <c r="F44" s="64">
        <f>3.633 * CHOOSE(CONTROL!$C$22, $C$13, 100%, $E$13)</f>
        <v>3.633</v>
      </c>
      <c r="G44" s="64">
        <f>3.6351 * CHOOSE(CONTROL!$C$22, $C$13, 100%, $E$13)</f>
        <v>3.6351</v>
      </c>
      <c r="H44" s="64">
        <f>5.9746* CHOOSE(CONTROL!$C$22, $C$13, 100%, $E$13)</f>
        <v>5.9745999999999997</v>
      </c>
      <c r="I44" s="64">
        <f>5.9768 * CHOOSE(CONTROL!$C$22, $C$13, 100%, $E$13)</f>
        <v>5.9767999999999999</v>
      </c>
      <c r="J44" s="64">
        <f>3.633 * CHOOSE(CONTROL!$C$22, $C$13, 100%, $E$13)</f>
        <v>3.633</v>
      </c>
      <c r="K44" s="64">
        <f>3.6351 * CHOOSE(CONTROL!$C$22, $C$13, 100%, $E$13)</f>
        <v>3.6351</v>
      </c>
      <c r="L44" s="4"/>
      <c r="M44" s="4"/>
      <c r="N44" s="4"/>
    </row>
    <row r="45" spans="1:14" ht="15">
      <c r="A45" s="13">
        <v>43009</v>
      </c>
      <c r="B45" s="63">
        <f>2.7682 * CHOOSE(CONTROL!$C$22, $C$13, 100%, $E$13)</f>
        <v>2.7682000000000002</v>
      </c>
      <c r="C45" s="63">
        <f>2.7682 * CHOOSE(CONTROL!$C$22, $C$13, 100%, $E$13)</f>
        <v>2.7682000000000002</v>
      </c>
      <c r="D45" s="63">
        <f>2.7855 * CHOOSE(CONTROL!$C$22, $C$13, 100%, $E$13)</f>
        <v>2.7854999999999999</v>
      </c>
      <c r="E45" s="64">
        <f>3.633 * CHOOSE(CONTROL!$C$22, $C$13, 100%, $E$13)</f>
        <v>3.633</v>
      </c>
      <c r="F45" s="64">
        <f>3.633 * CHOOSE(CONTROL!$C$22, $C$13, 100%, $E$13)</f>
        <v>3.633</v>
      </c>
      <c r="G45" s="64">
        <f>3.6332 * CHOOSE(CONTROL!$C$22, $C$13, 100%, $E$13)</f>
        <v>3.6332</v>
      </c>
      <c r="H45" s="64">
        <f>5.9871* CHOOSE(CONTROL!$C$22, $C$13, 100%, $E$13)</f>
        <v>5.9870999999999999</v>
      </c>
      <c r="I45" s="64">
        <f>5.9872 * CHOOSE(CONTROL!$C$22, $C$13, 100%, $E$13)</f>
        <v>5.9871999999999996</v>
      </c>
      <c r="J45" s="64">
        <f>3.633 * CHOOSE(CONTROL!$C$22, $C$13, 100%, $E$13)</f>
        <v>3.633</v>
      </c>
      <c r="K45" s="64">
        <f>3.6332 * CHOOSE(CONTROL!$C$22, $C$13, 100%, $E$13)</f>
        <v>3.6332</v>
      </c>
      <c r="L45" s="4"/>
      <c r="M45" s="4"/>
      <c r="N45" s="4"/>
    </row>
    <row r="46" spans="1:14" ht="15">
      <c r="A46" s="13">
        <v>43040</v>
      </c>
      <c r="B46" s="63">
        <f>2.7713 * CHOOSE(CONTROL!$C$22, $C$13, 100%, $E$13)</f>
        <v>2.7713000000000001</v>
      </c>
      <c r="C46" s="63">
        <f>2.7713 * CHOOSE(CONTROL!$C$22, $C$13, 100%, $E$13)</f>
        <v>2.7713000000000001</v>
      </c>
      <c r="D46" s="63">
        <f>2.7886 * CHOOSE(CONTROL!$C$22, $C$13, 100%, $E$13)</f>
        <v>2.7886000000000002</v>
      </c>
      <c r="E46" s="64">
        <f>3.633 * CHOOSE(CONTROL!$C$22, $C$13, 100%, $E$13)</f>
        <v>3.633</v>
      </c>
      <c r="F46" s="64">
        <f>3.633 * CHOOSE(CONTROL!$C$22, $C$13, 100%, $E$13)</f>
        <v>3.633</v>
      </c>
      <c r="G46" s="64">
        <f>3.6332 * CHOOSE(CONTROL!$C$22, $C$13, 100%, $E$13)</f>
        <v>3.6332</v>
      </c>
      <c r="H46" s="64">
        <f>5.9995* CHOOSE(CONTROL!$C$22, $C$13, 100%, $E$13)</f>
        <v>5.9995000000000003</v>
      </c>
      <c r="I46" s="64">
        <f>5.9997 * CHOOSE(CONTROL!$C$22, $C$13, 100%, $E$13)</f>
        <v>5.9996999999999998</v>
      </c>
      <c r="J46" s="64">
        <f>3.633 * CHOOSE(CONTROL!$C$22, $C$13, 100%, $E$13)</f>
        <v>3.633</v>
      </c>
      <c r="K46" s="64">
        <f>3.6332 * CHOOSE(CONTROL!$C$22, $C$13, 100%, $E$13)</f>
        <v>3.6332</v>
      </c>
      <c r="L46" s="4"/>
      <c r="M46" s="4"/>
      <c r="N46" s="4"/>
    </row>
    <row r="47" spans="1:14" ht="15">
      <c r="A47" s="13">
        <v>43070</v>
      </c>
      <c r="B47" s="63">
        <f>2.7743 * CHOOSE(CONTROL!$C$22, $C$13, 100%, $E$13)</f>
        <v>2.7743000000000002</v>
      </c>
      <c r="C47" s="63">
        <f>2.7743 * CHOOSE(CONTROL!$C$22, $C$13, 100%, $E$13)</f>
        <v>2.7743000000000002</v>
      </c>
      <c r="D47" s="63">
        <f>2.7916 * CHOOSE(CONTROL!$C$22, $C$13, 100%, $E$13)</f>
        <v>2.7915999999999999</v>
      </c>
      <c r="E47" s="64">
        <f>3.633 * CHOOSE(CONTROL!$C$22, $C$13, 100%, $E$13)</f>
        <v>3.633</v>
      </c>
      <c r="F47" s="64">
        <f>3.633 * CHOOSE(CONTROL!$C$22, $C$13, 100%, $E$13)</f>
        <v>3.633</v>
      </c>
      <c r="G47" s="64">
        <f>3.6332 * CHOOSE(CONTROL!$C$22, $C$13, 100%, $E$13)</f>
        <v>3.6332</v>
      </c>
      <c r="H47" s="64">
        <f>6.012* CHOOSE(CONTROL!$C$22, $C$13, 100%, $E$13)</f>
        <v>6.0119999999999996</v>
      </c>
      <c r="I47" s="64">
        <f>6.0122 * CHOOSE(CONTROL!$C$22, $C$13, 100%, $E$13)</f>
        <v>6.0122</v>
      </c>
      <c r="J47" s="64">
        <f>3.633 * CHOOSE(CONTROL!$C$22, $C$13, 100%, $E$13)</f>
        <v>3.633</v>
      </c>
      <c r="K47" s="64">
        <f>3.6332 * CHOOSE(CONTROL!$C$22, $C$13, 100%, $E$13)</f>
        <v>3.6332</v>
      </c>
      <c r="L47" s="4"/>
      <c r="M47" s="4"/>
      <c r="N47" s="4"/>
    </row>
    <row r="48" spans="1:14" ht="15">
      <c r="A48" s="13">
        <v>43101</v>
      </c>
      <c r="B48" s="63">
        <f>2.8174 * CHOOSE(CONTROL!$C$22, $C$13, 100%, $E$13)</f>
        <v>2.8174000000000001</v>
      </c>
      <c r="C48" s="63">
        <f>2.8174 * CHOOSE(CONTROL!$C$22, $C$13, 100%, $E$13)</f>
        <v>2.8174000000000001</v>
      </c>
      <c r="D48" s="63">
        <f>2.8347 * CHOOSE(CONTROL!$C$22, $C$13, 100%, $E$13)</f>
        <v>2.8347000000000002</v>
      </c>
      <c r="E48" s="64">
        <f>3.2609 * CHOOSE(CONTROL!$C$22, $C$13, 100%, $E$13)</f>
        <v>3.2608999999999999</v>
      </c>
      <c r="F48" s="64">
        <f>3.2609 * CHOOSE(CONTROL!$C$22, $C$13, 100%, $E$13)</f>
        <v>3.2608999999999999</v>
      </c>
      <c r="G48" s="64">
        <f>3.261 * CHOOSE(CONTROL!$C$22, $C$13, 100%, $E$13)</f>
        <v>3.2610000000000001</v>
      </c>
      <c r="H48" s="64">
        <f>6.0246* CHOOSE(CONTROL!$C$22, $C$13, 100%, $E$13)</f>
        <v>6.0246000000000004</v>
      </c>
      <c r="I48" s="64">
        <f>6.0247 * CHOOSE(CONTROL!$C$22, $C$13, 100%, $E$13)</f>
        <v>6.0247000000000002</v>
      </c>
      <c r="J48" s="64">
        <f>3.2609 * CHOOSE(CONTROL!$C$22, $C$13, 100%, $E$13)</f>
        <v>3.2608999999999999</v>
      </c>
      <c r="K48" s="64">
        <f>3.261 * CHOOSE(CONTROL!$C$22, $C$13, 100%, $E$13)</f>
        <v>3.2610000000000001</v>
      </c>
      <c r="L48" s="4"/>
      <c r="M48" s="4"/>
      <c r="N48" s="4"/>
    </row>
    <row r="49" spans="1:14" ht="15">
      <c r="A49" s="13">
        <v>43132</v>
      </c>
      <c r="B49" s="63">
        <f>2.8144 * CHOOSE(CONTROL!$C$22, $C$13, 100%, $E$13)</f>
        <v>2.8144</v>
      </c>
      <c r="C49" s="63">
        <f>2.8144 * CHOOSE(CONTROL!$C$22, $C$13, 100%, $E$13)</f>
        <v>2.8144</v>
      </c>
      <c r="D49" s="63">
        <f>2.8317 * CHOOSE(CONTROL!$C$22, $C$13, 100%, $E$13)</f>
        <v>2.8317000000000001</v>
      </c>
      <c r="E49" s="64">
        <f>3.2349 * CHOOSE(CONTROL!$C$22, $C$13, 100%, $E$13)</f>
        <v>3.2349000000000001</v>
      </c>
      <c r="F49" s="64">
        <f>3.2349 * CHOOSE(CONTROL!$C$22, $C$13, 100%, $E$13)</f>
        <v>3.2349000000000001</v>
      </c>
      <c r="G49" s="64">
        <f>3.2351 * CHOOSE(CONTROL!$C$22, $C$13, 100%, $E$13)</f>
        <v>3.2351000000000001</v>
      </c>
      <c r="H49" s="64">
        <f>6.0371* CHOOSE(CONTROL!$C$22, $C$13, 100%, $E$13)</f>
        <v>6.0370999999999997</v>
      </c>
      <c r="I49" s="64">
        <f>6.0373 * CHOOSE(CONTROL!$C$22, $C$13, 100%, $E$13)</f>
        <v>6.0373000000000001</v>
      </c>
      <c r="J49" s="64">
        <f>3.2349 * CHOOSE(CONTROL!$C$22, $C$13, 100%, $E$13)</f>
        <v>3.2349000000000001</v>
      </c>
      <c r="K49" s="64">
        <f>3.2351 * CHOOSE(CONTROL!$C$22, $C$13, 100%, $E$13)</f>
        <v>3.2351000000000001</v>
      </c>
      <c r="L49" s="4"/>
      <c r="M49" s="4"/>
      <c r="N49" s="4"/>
    </row>
    <row r="50" spans="1:14" ht="15">
      <c r="A50" s="13">
        <v>43160</v>
      </c>
      <c r="B50" s="63">
        <f>2.8113 * CHOOSE(CONTROL!$C$22, $C$13, 100%, $E$13)</f>
        <v>2.8113000000000001</v>
      </c>
      <c r="C50" s="63">
        <f>2.8113 * CHOOSE(CONTROL!$C$22, $C$13, 100%, $E$13)</f>
        <v>2.8113000000000001</v>
      </c>
      <c r="D50" s="63">
        <f>2.8287 * CHOOSE(CONTROL!$C$22, $C$13, 100%, $E$13)</f>
        <v>2.8287</v>
      </c>
      <c r="E50" s="64">
        <f>3.2516 * CHOOSE(CONTROL!$C$22, $C$13, 100%, $E$13)</f>
        <v>3.2515999999999998</v>
      </c>
      <c r="F50" s="64">
        <f>3.2516 * CHOOSE(CONTROL!$C$22, $C$13, 100%, $E$13)</f>
        <v>3.2515999999999998</v>
      </c>
      <c r="G50" s="64">
        <f>3.2518 * CHOOSE(CONTROL!$C$22, $C$13, 100%, $E$13)</f>
        <v>3.2517999999999998</v>
      </c>
      <c r="H50" s="64">
        <f>6.0497* CHOOSE(CONTROL!$C$22, $C$13, 100%, $E$13)</f>
        <v>6.0496999999999996</v>
      </c>
      <c r="I50" s="64">
        <f>6.0499 * CHOOSE(CONTROL!$C$22, $C$13, 100%, $E$13)</f>
        <v>6.0499000000000001</v>
      </c>
      <c r="J50" s="64">
        <f>3.2516 * CHOOSE(CONTROL!$C$22, $C$13, 100%, $E$13)</f>
        <v>3.2515999999999998</v>
      </c>
      <c r="K50" s="64">
        <f>3.2518 * CHOOSE(CONTROL!$C$22, $C$13, 100%, $E$13)</f>
        <v>3.2517999999999998</v>
      </c>
      <c r="L50" s="4"/>
      <c r="M50" s="4"/>
      <c r="N50" s="4"/>
    </row>
    <row r="51" spans="1:14" ht="15">
      <c r="A51" s="13">
        <v>43191</v>
      </c>
      <c r="B51" s="63">
        <f>2.8078 * CHOOSE(CONTROL!$C$22, $C$13, 100%, $E$13)</f>
        <v>2.8077999999999999</v>
      </c>
      <c r="C51" s="63">
        <f>2.8078 * CHOOSE(CONTROL!$C$22, $C$13, 100%, $E$13)</f>
        <v>2.8077999999999999</v>
      </c>
      <c r="D51" s="63">
        <f>2.8252 * CHOOSE(CONTROL!$C$22, $C$13, 100%, $E$13)</f>
        <v>2.8252000000000002</v>
      </c>
      <c r="E51" s="64">
        <f>3.2675 * CHOOSE(CONTROL!$C$22, $C$13, 100%, $E$13)</f>
        <v>3.2675000000000001</v>
      </c>
      <c r="F51" s="64">
        <f>3.2675 * CHOOSE(CONTROL!$C$22, $C$13, 100%, $E$13)</f>
        <v>3.2675000000000001</v>
      </c>
      <c r="G51" s="64">
        <f>3.2677 * CHOOSE(CONTROL!$C$22, $C$13, 100%, $E$13)</f>
        <v>3.2677</v>
      </c>
      <c r="H51" s="64">
        <f>6.0623* CHOOSE(CONTROL!$C$22, $C$13, 100%, $E$13)</f>
        <v>6.0622999999999996</v>
      </c>
      <c r="I51" s="64">
        <f>6.0625 * CHOOSE(CONTROL!$C$22, $C$13, 100%, $E$13)</f>
        <v>6.0625</v>
      </c>
      <c r="J51" s="64">
        <f>3.2675 * CHOOSE(CONTROL!$C$22, $C$13, 100%, $E$13)</f>
        <v>3.2675000000000001</v>
      </c>
      <c r="K51" s="64">
        <f>3.2677 * CHOOSE(CONTROL!$C$22, $C$13, 100%, $E$13)</f>
        <v>3.2677</v>
      </c>
      <c r="L51" s="4"/>
      <c r="M51" s="4"/>
      <c r="N51" s="4"/>
    </row>
    <row r="52" spans="1:14" ht="15">
      <c r="A52" s="13">
        <v>43221</v>
      </c>
      <c r="B52" s="63">
        <f>2.8078 * CHOOSE(CONTROL!$C$22, $C$13, 100%, $E$13)</f>
        <v>2.8077999999999999</v>
      </c>
      <c r="C52" s="63">
        <f>2.8078 * CHOOSE(CONTROL!$C$22, $C$13, 100%, $E$13)</f>
        <v>2.8077999999999999</v>
      </c>
      <c r="D52" s="63">
        <f>2.8425 * CHOOSE(CONTROL!$C$22, $C$13, 100%, $E$13)</f>
        <v>2.8424999999999998</v>
      </c>
      <c r="E52" s="64">
        <f>3.2751 * CHOOSE(CONTROL!$C$22, $C$13, 100%, $E$13)</f>
        <v>3.2751000000000001</v>
      </c>
      <c r="F52" s="64">
        <f>3.2751 * CHOOSE(CONTROL!$C$22, $C$13, 100%, $E$13)</f>
        <v>3.2751000000000001</v>
      </c>
      <c r="G52" s="64">
        <f>3.2772 * CHOOSE(CONTROL!$C$22, $C$13, 100%, $E$13)</f>
        <v>3.2772000000000001</v>
      </c>
      <c r="H52" s="64">
        <f>6.0749* CHOOSE(CONTROL!$C$22, $C$13, 100%, $E$13)</f>
        <v>6.0749000000000004</v>
      </c>
      <c r="I52" s="64">
        <f>6.0771 * CHOOSE(CONTROL!$C$22, $C$13, 100%, $E$13)</f>
        <v>6.0770999999999997</v>
      </c>
      <c r="J52" s="64">
        <f>3.2751 * CHOOSE(CONTROL!$C$22, $C$13, 100%, $E$13)</f>
        <v>3.2751000000000001</v>
      </c>
      <c r="K52" s="64">
        <f>3.2772 * CHOOSE(CONTROL!$C$22, $C$13, 100%, $E$13)</f>
        <v>3.2772000000000001</v>
      </c>
      <c r="L52" s="4"/>
      <c r="M52" s="4"/>
      <c r="N52" s="4"/>
    </row>
    <row r="53" spans="1:14" ht="15">
      <c r="A53" s="13">
        <v>43252</v>
      </c>
      <c r="B53" s="63">
        <f>2.8139 * CHOOSE(CONTROL!$C$22, $C$13, 100%, $E$13)</f>
        <v>2.8138999999999998</v>
      </c>
      <c r="C53" s="63">
        <f>2.8139 * CHOOSE(CONTROL!$C$22, $C$13, 100%, $E$13)</f>
        <v>2.8138999999999998</v>
      </c>
      <c r="D53" s="63">
        <f>2.8486 * CHOOSE(CONTROL!$C$22, $C$13, 100%, $E$13)</f>
        <v>2.8485999999999998</v>
      </c>
      <c r="E53" s="64">
        <f>3.2718 * CHOOSE(CONTROL!$C$22, $C$13, 100%, $E$13)</f>
        <v>3.2717999999999998</v>
      </c>
      <c r="F53" s="64">
        <f>3.2718 * CHOOSE(CONTROL!$C$22, $C$13, 100%, $E$13)</f>
        <v>3.2717999999999998</v>
      </c>
      <c r="G53" s="64">
        <f>3.2739 * CHOOSE(CONTROL!$C$22, $C$13, 100%, $E$13)</f>
        <v>3.2738999999999998</v>
      </c>
      <c r="H53" s="64">
        <f>6.0876* CHOOSE(CONTROL!$C$22, $C$13, 100%, $E$13)</f>
        <v>6.0876000000000001</v>
      </c>
      <c r="I53" s="64">
        <f>6.0897 * CHOOSE(CONTROL!$C$22, $C$13, 100%, $E$13)</f>
        <v>6.0896999999999997</v>
      </c>
      <c r="J53" s="64">
        <f>3.2718 * CHOOSE(CONTROL!$C$22, $C$13, 100%, $E$13)</f>
        <v>3.2717999999999998</v>
      </c>
      <c r="K53" s="64">
        <f>3.2739 * CHOOSE(CONTROL!$C$22, $C$13, 100%, $E$13)</f>
        <v>3.2738999999999998</v>
      </c>
      <c r="L53" s="4"/>
      <c r="M53" s="4"/>
      <c r="N53" s="4"/>
    </row>
    <row r="54" spans="1:14" ht="15">
      <c r="A54" s="13">
        <v>43282</v>
      </c>
      <c r="B54" s="63">
        <f>2.8974 * CHOOSE(CONTROL!$C$22, $C$13, 100%, $E$13)</f>
        <v>2.8974000000000002</v>
      </c>
      <c r="C54" s="63">
        <f>2.8974 * CHOOSE(CONTROL!$C$22, $C$13, 100%, $E$13)</f>
        <v>2.8974000000000002</v>
      </c>
      <c r="D54" s="63">
        <f>2.932 * CHOOSE(CONTROL!$C$22, $C$13, 100%, $E$13)</f>
        <v>2.9319999999999999</v>
      </c>
      <c r="E54" s="64">
        <f>3.459 * CHOOSE(CONTROL!$C$22, $C$13, 100%, $E$13)</f>
        <v>3.4590000000000001</v>
      </c>
      <c r="F54" s="64">
        <f>3.459 * CHOOSE(CONTROL!$C$22, $C$13, 100%, $E$13)</f>
        <v>3.4590000000000001</v>
      </c>
      <c r="G54" s="64">
        <f>3.4611 * CHOOSE(CONTROL!$C$22, $C$13, 100%, $E$13)</f>
        <v>3.4611000000000001</v>
      </c>
      <c r="H54" s="64">
        <f>6.1003* CHOOSE(CONTROL!$C$22, $C$13, 100%, $E$13)</f>
        <v>6.1002999999999998</v>
      </c>
      <c r="I54" s="64">
        <f>6.1024 * CHOOSE(CONTROL!$C$22, $C$13, 100%, $E$13)</f>
        <v>6.1024000000000003</v>
      </c>
      <c r="J54" s="64">
        <f>3.459 * CHOOSE(CONTROL!$C$22, $C$13, 100%, $E$13)</f>
        <v>3.4590000000000001</v>
      </c>
      <c r="K54" s="64">
        <f>3.4611 * CHOOSE(CONTROL!$C$22, $C$13, 100%, $E$13)</f>
        <v>3.4611000000000001</v>
      </c>
      <c r="L54" s="4"/>
      <c r="M54" s="4"/>
      <c r="N54" s="4"/>
    </row>
    <row r="55" spans="1:14" ht="15">
      <c r="A55" s="13">
        <v>43313</v>
      </c>
      <c r="B55" s="63">
        <f>2.904 * CHOOSE(CONTROL!$C$22, $C$13, 100%, $E$13)</f>
        <v>2.9039999999999999</v>
      </c>
      <c r="C55" s="63">
        <f>2.904 * CHOOSE(CONTROL!$C$22, $C$13, 100%, $E$13)</f>
        <v>2.9039999999999999</v>
      </c>
      <c r="D55" s="63">
        <f>2.9387 * CHOOSE(CONTROL!$C$22, $C$13, 100%, $E$13)</f>
        <v>2.9386999999999999</v>
      </c>
      <c r="E55" s="64">
        <f>3.4409 * CHOOSE(CONTROL!$C$22, $C$13, 100%, $E$13)</f>
        <v>3.4409000000000001</v>
      </c>
      <c r="F55" s="64">
        <f>3.4409 * CHOOSE(CONTROL!$C$22, $C$13, 100%, $E$13)</f>
        <v>3.4409000000000001</v>
      </c>
      <c r="G55" s="64">
        <f>3.4431 * CHOOSE(CONTROL!$C$22, $C$13, 100%, $E$13)</f>
        <v>3.4430999999999998</v>
      </c>
      <c r="H55" s="64">
        <f>6.113* CHOOSE(CONTROL!$C$22, $C$13, 100%, $E$13)</f>
        <v>6.1130000000000004</v>
      </c>
      <c r="I55" s="64">
        <f>6.1151 * CHOOSE(CONTROL!$C$22, $C$13, 100%, $E$13)</f>
        <v>6.1151</v>
      </c>
      <c r="J55" s="64">
        <f>3.4409 * CHOOSE(CONTROL!$C$22, $C$13, 100%, $E$13)</f>
        <v>3.4409000000000001</v>
      </c>
      <c r="K55" s="64">
        <f>3.4431 * CHOOSE(CONTROL!$C$22, $C$13, 100%, $E$13)</f>
        <v>3.4430999999999998</v>
      </c>
      <c r="L55" s="4"/>
      <c r="M55" s="4"/>
      <c r="N55" s="4"/>
    </row>
    <row r="56" spans="1:14" ht="15">
      <c r="A56" s="13">
        <v>43344</v>
      </c>
      <c r="B56" s="63">
        <f>2.901 * CHOOSE(CONTROL!$C$22, $C$13, 100%, $E$13)</f>
        <v>2.9009999999999998</v>
      </c>
      <c r="C56" s="63">
        <f>2.901 * CHOOSE(CONTROL!$C$22, $C$13, 100%, $E$13)</f>
        <v>2.9009999999999998</v>
      </c>
      <c r="D56" s="63">
        <f>2.9357 * CHOOSE(CONTROL!$C$22, $C$13, 100%, $E$13)</f>
        <v>2.9357000000000002</v>
      </c>
      <c r="E56" s="64">
        <f>3.4363 * CHOOSE(CONTROL!$C$22, $C$13, 100%, $E$13)</f>
        <v>3.4363000000000001</v>
      </c>
      <c r="F56" s="64">
        <f>3.4363 * CHOOSE(CONTROL!$C$22, $C$13, 100%, $E$13)</f>
        <v>3.4363000000000001</v>
      </c>
      <c r="G56" s="64">
        <f>3.4384 * CHOOSE(CONTROL!$C$22, $C$13, 100%, $E$13)</f>
        <v>3.4384000000000001</v>
      </c>
      <c r="H56" s="64">
        <f>6.1257* CHOOSE(CONTROL!$C$22, $C$13, 100%, $E$13)</f>
        <v>6.1257000000000001</v>
      </c>
      <c r="I56" s="64">
        <f>6.1279 * CHOOSE(CONTROL!$C$22, $C$13, 100%, $E$13)</f>
        <v>6.1279000000000003</v>
      </c>
      <c r="J56" s="64">
        <f>3.4363 * CHOOSE(CONTROL!$C$22, $C$13, 100%, $E$13)</f>
        <v>3.4363000000000001</v>
      </c>
      <c r="K56" s="64">
        <f>3.4384 * CHOOSE(CONTROL!$C$22, $C$13, 100%, $E$13)</f>
        <v>3.4384000000000001</v>
      </c>
      <c r="L56" s="4"/>
      <c r="M56" s="4"/>
      <c r="N56" s="4"/>
    </row>
    <row r="57" spans="1:14" ht="15">
      <c r="A57" s="13">
        <v>43374</v>
      </c>
      <c r="B57" s="63">
        <f>2.8921 * CHOOSE(CONTROL!$C$22, $C$13, 100%, $E$13)</f>
        <v>2.8921000000000001</v>
      </c>
      <c r="C57" s="63">
        <f>2.8921 * CHOOSE(CONTROL!$C$22, $C$13, 100%, $E$13)</f>
        <v>2.8921000000000001</v>
      </c>
      <c r="D57" s="63">
        <f>2.9094 * CHOOSE(CONTROL!$C$22, $C$13, 100%, $E$13)</f>
        <v>2.9094000000000002</v>
      </c>
      <c r="E57" s="64">
        <f>3.433 * CHOOSE(CONTROL!$C$22, $C$13, 100%, $E$13)</f>
        <v>3.4329999999999998</v>
      </c>
      <c r="F57" s="64">
        <f>3.433 * CHOOSE(CONTROL!$C$22, $C$13, 100%, $E$13)</f>
        <v>3.4329999999999998</v>
      </c>
      <c r="G57" s="64">
        <f>3.4331 * CHOOSE(CONTROL!$C$22, $C$13, 100%, $E$13)</f>
        <v>3.4331</v>
      </c>
      <c r="H57" s="64">
        <f>6.1385* CHOOSE(CONTROL!$C$22, $C$13, 100%, $E$13)</f>
        <v>6.1384999999999996</v>
      </c>
      <c r="I57" s="64">
        <f>6.1386 * CHOOSE(CONTROL!$C$22, $C$13, 100%, $E$13)</f>
        <v>6.1386000000000003</v>
      </c>
      <c r="J57" s="64">
        <f>3.433 * CHOOSE(CONTROL!$C$22, $C$13, 100%, $E$13)</f>
        <v>3.4329999999999998</v>
      </c>
      <c r="K57" s="64">
        <f>3.4331 * CHOOSE(CONTROL!$C$22, $C$13, 100%, $E$13)</f>
        <v>3.4331</v>
      </c>
      <c r="L57" s="4"/>
      <c r="M57" s="4"/>
      <c r="N57" s="4"/>
    </row>
    <row r="58" spans="1:14" ht="15">
      <c r="A58" s="13">
        <v>43405</v>
      </c>
      <c r="B58" s="63">
        <f>2.8951 * CHOOSE(CONTROL!$C$22, $C$13, 100%, $E$13)</f>
        <v>2.8950999999999998</v>
      </c>
      <c r="C58" s="63">
        <f>2.8951 * CHOOSE(CONTROL!$C$22, $C$13, 100%, $E$13)</f>
        <v>2.8950999999999998</v>
      </c>
      <c r="D58" s="63">
        <f>2.9125 * CHOOSE(CONTROL!$C$22, $C$13, 100%, $E$13)</f>
        <v>2.9125000000000001</v>
      </c>
      <c r="E58" s="64">
        <f>3.4401 * CHOOSE(CONTROL!$C$22, $C$13, 100%, $E$13)</f>
        <v>3.4401000000000002</v>
      </c>
      <c r="F58" s="64">
        <f>3.4401 * CHOOSE(CONTROL!$C$22, $C$13, 100%, $E$13)</f>
        <v>3.4401000000000002</v>
      </c>
      <c r="G58" s="64">
        <f>3.4403 * CHOOSE(CONTROL!$C$22, $C$13, 100%, $E$13)</f>
        <v>3.4403000000000001</v>
      </c>
      <c r="H58" s="64">
        <f>6.1513* CHOOSE(CONTROL!$C$22, $C$13, 100%, $E$13)</f>
        <v>6.1513</v>
      </c>
      <c r="I58" s="64">
        <f>6.1514 * CHOOSE(CONTROL!$C$22, $C$13, 100%, $E$13)</f>
        <v>6.1513999999999998</v>
      </c>
      <c r="J58" s="64">
        <f>3.4401 * CHOOSE(CONTROL!$C$22, $C$13, 100%, $E$13)</f>
        <v>3.4401000000000002</v>
      </c>
      <c r="K58" s="64">
        <f>3.4403 * CHOOSE(CONTROL!$C$22, $C$13, 100%, $E$13)</f>
        <v>3.4403000000000001</v>
      </c>
      <c r="L58" s="4"/>
      <c r="M58" s="4"/>
      <c r="N58" s="4"/>
    </row>
    <row r="59" spans="1:14" ht="15">
      <c r="A59" s="13">
        <v>43435</v>
      </c>
      <c r="B59" s="63">
        <f>2.8951 * CHOOSE(CONTROL!$C$22, $C$13, 100%, $E$13)</f>
        <v>2.8950999999999998</v>
      </c>
      <c r="C59" s="63">
        <f>2.8951 * CHOOSE(CONTROL!$C$22, $C$13, 100%, $E$13)</f>
        <v>2.8950999999999998</v>
      </c>
      <c r="D59" s="63">
        <f>2.9125 * CHOOSE(CONTROL!$C$22, $C$13, 100%, $E$13)</f>
        <v>2.9125000000000001</v>
      </c>
      <c r="E59" s="64">
        <f>3.4275 * CHOOSE(CONTROL!$C$22, $C$13, 100%, $E$13)</f>
        <v>3.4275000000000002</v>
      </c>
      <c r="F59" s="64">
        <f>3.4275 * CHOOSE(CONTROL!$C$22, $C$13, 100%, $E$13)</f>
        <v>3.4275000000000002</v>
      </c>
      <c r="G59" s="64">
        <f>3.4277 * CHOOSE(CONTROL!$C$22, $C$13, 100%, $E$13)</f>
        <v>3.4277000000000002</v>
      </c>
      <c r="H59" s="64">
        <f>6.1641* CHOOSE(CONTROL!$C$22, $C$13, 100%, $E$13)</f>
        <v>6.1641000000000004</v>
      </c>
      <c r="I59" s="64">
        <f>6.1643 * CHOOSE(CONTROL!$C$22, $C$13, 100%, $E$13)</f>
        <v>6.1642999999999999</v>
      </c>
      <c r="J59" s="64">
        <f>3.4275 * CHOOSE(CONTROL!$C$22, $C$13, 100%, $E$13)</f>
        <v>3.4275000000000002</v>
      </c>
      <c r="K59" s="64">
        <f>3.4277 * CHOOSE(CONTROL!$C$22, $C$13, 100%, $E$13)</f>
        <v>3.4277000000000002</v>
      </c>
      <c r="L59" s="4"/>
      <c r="M59" s="4"/>
      <c r="N59" s="4"/>
    </row>
    <row r="60" spans="1:14" ht="15">
      <c r="A60" s="13">
        <v>43466</v>
      </c>
      <c r="B60" s="63">
        <f>2.9246 * CHOOSE(CONTROL!$C$22, $C$13, 100%, $E$13)</f>
        <v>2.9245999999999999</v>
      </c>
      <c r="C60" s="63">
        <f>2.9246 * CHOOSE(CONTROL!$C$22, $C$13, 100%, $E$13)</f>
        <v>2.9245999999999999</v>
      </c>
      <c r="D60" s="63">
        <f>2.942 * CHOOSE(CONTROL!$C$22, $C$13, 100%, $E$13)</f>
        <v>2.9420000000000002</v>
      </c>
      <c r="E60" s="64">
        <f>3.4699 * CHOOSE(CONTROL!$C$22, $C$13, 100%, $E$13)</f>
        <v>3.4699</v>
      </c>
      <c r="F60" s="64">
        <f>3.4699 * CHOOSE(CONTROL!$C$22, $C$13, 100%, $E$13)</f>
        <v>3.4699</v>
      </c>
      <c r="G60" s="64">
        <f>3.4701 * CHOOSE(CONTROL!$C$22, $C$13, 100%, $E$13)</f>
        <v>3.4701</v>
      </c>
      <c r="H60" s="64">
        <f>6.1769* CHOOSE(CONTROL!$C$22, $C$13, 100%, $E$13)</f>
        <v>6.1768999999999998</v>
      </c>
      <c r="I60" s="64">
        <f>6.1771 * CHOOSE(CONTROL!$C$22, $C$13, 100%, $E$13)</f>
        <v>6.1771000000000003</v>
      </c>
      <c r="J60" s="64">
        <f>3.4699 * CHOOSE(CONTROL!$C$22, $C$13, 100%, $E$13)</f>
        <v>3.4699</v>
      </c>
      <c r="K60" s="64">
        <f>3.4701 * CHOOSE(CONTROL!$C$22, $C$13, 100%, $E$13)</f>
        <v>3.4701</v>
      </c>
      <c r="L60" s="4"/>
      <c r="M60" s="4"/>
      <c r="N60" s="4"/>
    </row>
    <row r="61" spans="1:14" ht="15">
      <c r="A61" s="13">
        <v>43497</v>
      </c>
      <c r="B61" s="63">
        <f>2.9216 * CHOOSE(CONTROL!$C$22, $C$13, 100%, $E$13)</f>
        <v>2.9216000000000002</v>
      </c>
      <c r="C61" s="63">
        <f>2.9216 * CHOOSE(CONTROL!$C$22, $C$13, 100%, $E$13)</f>
        <v>2.9216000000000002</v>
      </c>
      <c r="D61" s="63">
        <f>2.9389 * CHOOSE(CONTROL!$C$22, $C$13, 100%, $E$13)</f>
        <v>2.9388999999999998</v>
      </c>
      <c r="E61" s="64">
        <f>3.4392 * CHOOSE(CONTROL!$C$22, $C$13, 100%, $E$13)</f>
        <v>3.4392</v>
      </c>
      <c r="F61" s="64">
        <f>3.4392 * CHOOSE(CONTROL!$C$22, $C$13, 100%, $E$13)</f>
        <v>3.4392</v>
      </c>
      <c r="G61" s="64">
        <f>3.4394 * CHOOSE(CONTROL!$C$22, $C$13, 100%, $E$13)</f>
        <v>3.4394</v>
      </c>
      <c r="H61" s="64">
        <f>6.1898* CHOOSE(CONTROL!$C$22, $C$13, 100%, $E$13)</f>
        <v>6.1898</v>
      </c>
      <c r="I61" s="64">
        <f>6.19 * CHOOSE(CONTROL!$C$22, $C$13, 100%, $E$13)</f>
        <v>6.19</v>
      </c>
      <c r="J61" s="64">
        <f>3.4392 * CHOOSE(CONTROL!$C$22, $C$13, 100%, $E$13)</f>
        <v>3.4392</v>
      </c>
      <c r="K61" s="64">
        <f>3.4394 * CHOOSE(CONTROL!$C$22, $C$13, 100%, $E$13)</f>
        <v>3.4394</v>
      </c>
      <c r="L61" s="4"/>
      <c r="M61" s="4"/>
      <c r="N61" s="4"/>
    </row>
    <row r="62" spans="1:14" ht="15">
      <c r="A62" s="13">
        <v>43525</v>
      </c>
      <c r="B62" s="63">
        <f>2.9185 * CHOOSE(CONTROL!$C$22, $C$13, 100%, $E$13)</f>
        <v>2.9184999999999999</v>
      </c>
      <c r="C62" s="63">
        <f>2.9185 * CHOOSE(CONTROL!$C$22, $C$13, 100%, $E$13)</f>
        <v>2.9184999999999999</v>
      </c>
      <c r="D62" s="63">
        <f>2.9359 * CHOOSE(CONTROL!$C$22, $C$13, 100%, $E$13)</f>
        <v>2.9359000000000002</v>
      </c>
      <c r="E62" s="64">
        <f>3.4596 * CHOOSE(CONTROL!$C$22, $C$13, 100%, $E$13)</f>
        <v>3.4596</v>
      </c>
      <c r="F62" s="64">
        <f>3.4596 * CHOOSE(CONTROL!$C$22, $C$13, 100%, $E$13)</f>
        <v>3.4596</v>
      </c>
      <c r="G62" s="64">
        <f>3.4598 * CHOOSE(CONTROL!$C$22, $C$13, 100%, $E$13)</f>
        <v>3.4598</v>
      </c>
      <c r="H62" s="64">
        <f>6.2027* CHOOSE(CONTROL!$C$22, $C$13, 100%, $E$13)</f>
        <v>6.2027000000000001</v>
      </c>
      <c r="I62" s="64">
        <f>6.2029 * CHOOSE(CONTROL!$C$22, $C$13, 100%, $E$13)</f>
        <v>6.2028999999999996</v>
      </c>
      <c r="J62" s="64">
        <f>3.4596 * CHOOSE(CONTROL!$C$22, $C$13, 100%, $E$13)</f>
        <v>3.4596</v>
      </c>
      <c r="K62" s="64">
        <f>3.4598 * CHOOSE(CONTROL!$C$22, $C$13, 100%, $E$13)</f>
        <v>3.4598</v>
      </c>
      <c r="L62" s="4"/>
      <c r="M62" s="4"/>
      <c r="N62" s="4"/>
    </row>
    <row r="63" spans="1:14" ht="15">
      <c r="A63" s="13">
        <v>43556</v>
      </c>
      <c r="B63" s="63">
        <f>2.9152 * CHOOSE(CONTROL!$C$22, $C$13, 100%, $E$13)</f>
        <v>2.9152</v>
      </c>
      <c r="C63" s="63">
        <f>2.9152 * CHOOSE(CONTROL!$C$22, $C$13, 100%, $E$13)</f>
        <v>2.9152</v>
      </c>
      <c r="D63" s="63">
        <f>2.9325 * CHOOSE(CONTROL!$C$22, $C$13, 100%, $E$13)</f>
        <v>2.9325000000000001</v>
      </c>
      <c r="E63" s="64">
        <f>3.4796 * CHOOSE(CONTROL!$C$22, $C$13, 100%, $E$13)</f>
        <v>3.4796</v>
      </c>
      <c r="F63" s="64">
        <f>3.4796 * CHOOSE(CONTROL!$C$22, $C$13, 100%, $E$13)</f>
        <v>3.4796</v>
      </c>
      <c r="G63" s="64">
        <f>3.4798 * CHOOSE(CONTROL!$C$22, $C$13, 100%, $E$13)</f>
        <v>3.4798</v>
      </c>
      <c r="H63" s="64">
        <f>6.2156* CHOOSE(CONTROL!$C$22, $C$13, 100%, $E$13)</f>
        <v>6.2156000000000002</v>
      </c>
      <c r="I63" s="64">
        <f>6.2158 * CHOOSE(CONTROL!$C$22, $C$13, 100%, $E$13)</f>
        <v>6.2157999999999998</v>
      </c>
      <c r="J63" s="64">
        <f>3.4796 * CHOOSE(CONTROL!$C$22, $C$13, 100%, $E$13)</f>
        <v>3.4796</v>
      </c>
      <c r="K63" s="64">
        <f>3.4798 * CHOOSE(CONTROL!$C$22, $C$13, 100%, $E$13)</f>
        <v>3.4798</v>
      </c>
      <c r="L63" s="4"/>
      <c r="M63" s="4"/>
      <c r="N63" s="4"/>
    </row>
    <row r="64" spans="1:14" ht="15">
      <c r="A64" s="13">
        <v>43586</v>
      </c>
      <c r="B64" s="63">
        <f>2.9152 * CHOOSE(CONTROL!$C$22, $C$13, 100%, $E$13)</f>
        <v>2.9152</v>
      </c>
      <c r="C64" s="63">
        <f>2.9152 * CHOOSE(CONTROL!$C$22, $C$13, 100%, $E$13)</f>
        <v>2.9152</v>
      </c>
      <c r="D64" s="63">
        <f>2.9498 * CHOOSE(CONTROL!$C$22, $C$13, 100%, $E$13)</f>
        <v>2.9498000000000002</v>
      </c>
      <c r="E64" s="64">
        <f>3.4887 * CHOOSE(CONTROL!$C$22, $C$13, 100%, $E$13)</f>
        <v>3.4887000000000001</v>
      </c>
      <c r="F64" s="64">
        <f>3.4887 * CHOOSE(CONTROL!$C$22, $C$13, 100%, $E$13)</f>
        <v>3.4887000000000001</v>
      </c>
      <c r="G64" s="64">
        <f>3.4909 * CHOOSE(CONTROL!$C$22, $C$13, 100%, $E$13)</f>
        <v>3.4908999999999999</v>
      </c>
      <c r="H64" s="64">
        <f>6.2286* CHOOSE(CONTROL!$C$22, $C$13, 100%, $E$13)</f>
        <v>6.2286000000000001</v>
      </c>
      <c r="I64" s="64">
        <f>6.2307 * CHOOSE(CONTROL!$C$22, $C$13, 100%, $E$13)</f>
        <v>6.2306999999999997</v>
      </c>
      <c r="J64" s="64">
        <f>3.4887 * CHOOSE(CONTROL!$C$22, $C$13, 100%, $E$13)</f>
        <v>3.4887000000000001</v>
      </c>
      <c r="K64" s="64">
        <f>3.4909 * CHOOSE(CONTROL!$C$22, $C$13, 100%, $E$13)</f>
        <v>3.4908999999999999</v>
      </c>
      <c r="L64" s="4"/>
      <c r="M64" s="4"/>
      <c r="N64" s="4"/>
    </row>
    <row r="65" spans="1:14" ht="15">
      <c r="A65" s="13">
        <v>43617</v>
      </c>
      <c r="B65" s="63">
        <f>2.9213 * CHOOSE(CONTROL!$C$22, $C$13, 100%, $E$13)</f>
        <v>2.9213</v>
      </c>
      <c r="C65" s="63">
        <f>2.9213 * CHOOSE(CONTROL!$C$22, $C$13, 100%, $E$13)</f>
        <v>2.9213</v>
      </c>
      <c r="D65" s="63">
        <f>2.9559 * CHOOSE(CONTROL!$C$22, $C$13, 100%, $E$13)</f>
        <v>2.9559000000000002</v>
      </c>
      <c r="E65" s="64">
        <f>3.4839 * CHOOSE(CONTROL!$C$22, $C$13, 100%, $E$13)</f>
        <v>3.4839000000000002</v>
      </c>
      <c r="F65" s="64">
        <f>3.4839 * CHOOSE(CONTROL!$C$22, $C$13, 100%, $E$13)</f>
        <v>3.4839000000000002</v>
      </c>
      <c r="G65" s="64">
        <f>3.486 * CHOOSE(CONTROL!$C$22, $C$13, 100%, $E$13)</f>
        <v>3.4860000000000002</v>
      </c>
      <c r="H65" s="64">
        <f>6.2415* CHOOSE(CONTROL!$C$22, $C$13, 100%, $E$13)</f>
        <v>6.2415000000000003</v>
      </c>
      <c r="I65" s="64">
        <f>6.2437 * CHOOSE(CONTROL!$C$22, $C$13, 100%, $E$13)</f>
        <v>6.2436999999999996</v>
      </c>
      <c r="J65" s="64">
        <f>3.4839 * CHOOSE(CONTROL!$C$22, $C$13, 100%, $E$13)</f>
        <v>3.4839000000000002</v>
      </c>
      <c r="K65" s="64">
        <f>3.486 * CHOOSE(CONTROL!$C$22, $C$13, 100%, $E$13)</f>
        <v>3.4860000000000002</v>
      </c>
      <c r="L65" s="4"/>
      <c r="M65" s="4"/>
      <c r="N65" s="4"/>
    </row>
    <row r="66" spans="1:14" ht="15">
      <c r="A66" s="13">
        <v>43647</v>
      </c>
      <c r="B66" s="63">
        <f>2.9781 * CHOOSE(CONTROL!$C$22, $C$13, 100%, $E$13)</f>
        <v>2.9781</v>
      </c>
      <c r="C66" s="63">
        <f>2.9781 * CHOOSE(CONTROL!$C$22, $C$13, 100%, $E$13)</f>
        <v>2.9781</v>
      </c>
      <c r="D66" s="63">
        <f>3.0128 * CHOOSE(CONTROL!$C$22, $C$13, 100%, $E$13)</f>
        <v>3.0127999999999999</v>
      </c>
      <c r="E66" s="64">
        <f>3.4566 * CHOOSE(CONTROL!$C$22, $C$13, 100%, $E$13)</f>
        <v>3.4565999999999999</v>
      </c>
      <c r="F66" s="64">
        <f>3.4566 * CHOOSE(CONTROL!$C$22, $C$13, 100%, $E$13)</f>
        <v>3.4565999999999999</v>
      </c>
      <c r="G66" s="64">
        <f>3.4588 * CHOOSE(CONTROL!$C$22, $C$13, 100%, $E$13)</f>
        <v>3.4588000000000001</v>
      </c>
      <c r="H66" s="64">
        <f>6.2545* CHOOSE(CONTROL!$C$22, $C$13, 100%, $E$13)</f>
        <v>6.2545000000000002</v>
      </c>
      <c r="I66" s="64">
        <f>6.2567 * CHOOSE(CONTROL!$C$22, $C$13, 100%, $E$13)</f>
        <v>6.2567000000000004</v>
      </c>
      <c r="J66" s="64">
        <f>3.4566 * CHOOSE(CONTROL!$C$22, $C$13, 100%, $E$13)</f>
        <v>3.4565999999999999</v>
      </c>
      <c r="K66" s="64">
        <f>3.4588 * CHOOSE(CONTROL!$C$22, $C$13, 100%, $E$13)</f>
        <v>3.4588000000000001</v>
      </c>
      <c r="L66" s="4"/>
      <c r="M66" s="4"/>
      <c r="N66" s="4"/>
    </row>
    <row r="67" spans="1:14" ht="15">
      <c r="A67" s="13">
        <v>43678</v>
      </c>
      <c r="B67" s="63">
        <f>2.9848 * CHOOSE(CONTROL!$C$22, $C$13, 100%, $E$13)</f>
        <v>2.9847999999999999</v>
      </c>
      <c r="C67" s="63">
        <f>2.9848 * CHOOSE(CONTROL!$C$22, $C$13, 100%, $E$13)</f>
        <v>2.9847999999999999</v>
      </c>
      <c r="D67" s="63">
        <f>3.0195 * CHOOSE(CONTROL!$C$22, $C$13, 100%, $E$13)</f>
        <v>3.0194999999999999</v>
      </c>
      <c r="E67" s="64">
        <f>3.434 * CHOOSE(CONTROL!$C$22, $C$13, 100%, $E$13)</f>
        <v>3.4340000000000002</v>
      </c>
      <c r="F67" s="64">
        <f>3.434 * CHOOSE(CONTROL!$C$22, $C$13, 100%, $E$13)</f>
        <v>3.4340000000000002</v>
      </c>
      <c r="G67" s="64">
        <f>3.4361 * CHOOSE(CONTROL!$C$22, $C$13, 100%, $E$13)</f>
        <v>3.4361000000000002</v>
      </c>
      <c r="H67" s="64">
        <f>6.2676* CHOOSE(CONTROL!$C$22, $C$13, 100%, $E$13)</f>
        <v>6.2675999999999998</v>
      </c>
      <c r="I67" s="64">
        <f>6.2697 * CHOOSE(CONTROL!$C$22, $C$13, 100%, $E$13)</f>
        <v>6.2697000000000003</v>
      </c>
      <c r="J67" s="64">
        <f>3.434 * CHOOSE(CONTROL!$C$22, $C$13, 100%, $E$13)</f>
        <v>3.4340000000000002</v>
      </c>
      <c r="K67" s="64">
        <f>3.4361 * CHOOSE(CONTROL!$C$22, $C$13, 100%, $E$13)</f>
        <v>3.4361000000000002</v>
      </c>
      <c r="L67" s="4"/>
      <c r="M67" s="4"/>
      <c r="N67" s="4"/>
    </row>
    <row r="68" spans="1:14" ht="15">
      <c r="A68" s="13">
        <v>43709</v>
      </c>
      <c r="B68" s="63">
        <f>2.9818 * CHOOSE(CONTROL!$C$22, $C$13, 100%, $E$13)</f>
        <v>2.9817999999999998</v>
      </c>
      <c r="C68" s="63">
        <f>2.9818 * CHOOSE(CONTROL!$C$22, $C$13, 100%, $E$13)</f>
        <v>2.9817999999999998</v>
      </c>
      <c r="D68" s="63">
        <f>3.0164 * CHOOSE(CONTROL!$C$22, $C$13, 100%, $E$13)</f>
        <v>3.0164</v>
      </c>
      <c r="E68" s="64">
        <f>3.4288 * CHOOSE(CONTROL!$C$22, $C$13, 100%, $E$13)</f>
        <v>3.4287999999999998</v>
      </c>
      <c r="F68" s="64">
        <f>3.4288 * CHOOSE(CONTROL!$C$22, $C$13, 100%, $E$13)</f>
        <v>3.4287999999999998</v>
      </c>
      <c r="G68" s="64">
        <f>3.431 * CHOOSE(CONTROL!$C$22, $C$13, 100%, $E$13)</f>
        <v>3.431</v>
      </c>
      <c r="H68" s="64">
        <f>6.2806* CHOOSE(CONTROL!$C$22, $C$13, 100%, $E$13)</f>
        <v>6.2805999999999997</v>
      </c>
      <c r="I68" s="64">
        <f>6.2828 * CHOOSE(CONTROL!$C$22, $C$13, 100%, $E$13)</f>
        <v>6.2827999999999999</v>
      </c>
      <c r="J68" s="64">
        <f>3.4288 * CHOOSE(CONTROL!$C$22, $C$13, 100%, $E$13)</f>
        <v>3.4287999999999998</v>
      </c>
      <c r="K68" s="64">
        <f>3.431 * CHOOSE(CONTROL!$C$22, $C$13, 100%, $E$13)</f>
        <v>3.431</v>
      </c>
      <c r="L68" s="4"/>
      <c r="M68" s="4"/>
      <c r="N68" s="4"/>
    </row>
    <row r="69" spans="1:14" ht="15">
      <c r="A69" s="13">
        <v>43739</v>
      </c>
      <c r="B69" s="63">
        <f>2.9731 * CHOOSE(CONTROL!$C$22, $C$13, 100%, $E$13)</f>
        <v>2.9731000000000001</v>
      </c>
      <c r="C69" s="63">
        <f>2.9731 * CHOOSE(CONTROL!$C$22, $C$13, 100%, $E$13)</f>
        <v>2.9731000000000001</v>
      </c>
      <c r="D69" s="63">
        <f>2.9905 * CHOOSE(CONTROL!$C$22, $C$13, 100%, $E$13)</f>
        <v>2.9904999999999999</v>
      </c>
      <c r="E69" s="64">
        <f>3.4275 * CHOOSE(CONTROL!$C$22, $C$13, 100%, $E$13)</f>
        <v>3.4275000000000002</v>
      </c>
      <c r="F69" s="64">
        <f>3.4275 * CHOOSE(CONTROL!$C$22, $C$13, 100%, $E$13)</f>
        <v>3.4275000000000002</v>
      </c>
      <c r="G69" s="64">
        <f>3.4277 * CHOOSE(CONTROL!$C$22, $C$13, 100%, $E$13)</f>
        <v>3.4277000000000002</v>
      </c>
      <c r="H69" s="64">
        <f>6.2937* CHOOSE(CONTROL!$C$22, $C$13, 100%, $E$13)</f>
        <v>6.2937000000000003</v>
      </c>
      <c r="I69" s="64">
        <f>6.2939 * CHOOSE(CONTROL!$C$22, $C$13, 100%, $E$13)</f>
        <v>6.2938999999999998</v>
      </c>
      <c r="J69" s="64">
        <f>3.4275 * CHOOSE(CONTROL!$C$22, $C$13, 100%, $E$13)</f>
        <v>3.4275000000000002</v>
      </c>
      <c r="K69" s="64">
        <f>3.4277 * CHOOSE(CONTROL!$C$22, $C$13, 100%, $E$13)</f>
        <v>3.4277000000000002</v>
      </c>
      <c r="L69" s="4"/>
      <c r="M69" s="4"/>
      <c r="N69" s="4"/>
    </row>
    <row r="70" spans="1:14" ht="15">
      <c r="A70" s="13">
        <v>43770</v>
      </c>
      <c r="B70" s="63">
        <f>2.9762 * CHOOSE(CONTROL!$C$22, $C$13, 100%, $E$13)</f>
        <v>2.9762</v>
      </c>
      <c r="C70" s="63">
        <f>2.9762 * CHOOSE(CONTROL!$C$22, $C$13, 100%, $E$13)</f>
        <v>2.9762</v>
      </c>
      <c r="D70" s="63">
        <f>2.9935 * CHOOSE(CONTROL!$C$22, $C$13, 100%, $E$13)</f>
        <v>2.9935</v>
      </c>
      <c r="E70" s="64">
        <f>3.4357 * CHOOSE(CONTROL!$C$22, $C$13, 100%, $E$13)</f>
        <v>3.4357000000000002</v>
      </c>
      <c r="F70" s="64">
        <f>3.4357 * CHOOSE(CONTROL!$C$22, $C$13, 100%, $E$13)</f>
        <v>3.4357000000000002</v>
      </c>
      <c r="G70" s="64">
        <f>3.4359 * CHOOSE(CONTROL!$C$22, $C$13, 100%, $E$13)</f>
        <v>3.4359000000000002</v>
      </c>
      <c r="H70" s="64">
        <f>6.3068* CHOOSE(CONTROL!$C$22, $C$13, 100%, $E$13)</f>
        <v>6.3068</v>
      </c>
      <c r="I70" s="64">
        <f>6.307 * CHOOSE(CONTROL!$C$22, $C$13, 100%, $E$13)</f>
        <v>6.3070000000000004</v>
      </c>
      <c r="J70" s="64">
        <f>3.4357 * CHOOSE(CONTROL!$C$22, $C$13, 100%, $E$13)</f>
        <v>3.4357000000000002</v>
      </c>
      <c r="K70" s="64">
        <f>3.4359 * CHOOSE(CONTROL!$C$22, $C$13, 100%, $E$13)</f>
        <v>3.4359000000000002</v>
      </c>
      <c r="L70" s="4"/>
      <c r="M70" s="4"/>
      <c r="N70" s="4"/>
    </row>
    <row r="71" spans="1:14" ht="15">
      <c r="A71" s="13">
        <v>43800</v>
      </c>
      <c r="B71" s="63">
        <f>2.9762 * CHOOSE(CONTROL!$C$22, $C$13, 100%, $E$13)</f>
        <v>2.9762</v>
      </c>
      <c r="C71" s="63">
        <f>2.9762 * CHOOSE(CONTROL!$C$22, $C$13, 100%, $E$13)</f>
        <v>2.9762</v>
      </c>
      <c r="D71" s="63">
        <f>2.9935 * CHOOSE(CONTROL!$C$22, $C$13, 100%, $E$13)</f>
        <v>2.9935</v>
      </c>
      <c r="E71" s="64">
        <f>3.4206 * CHOOSE(CONTROL!$C$22, $C$13, 100%, $E$13)</f>
        <v>3.4205999999999999</v>
      </c>
      <c r="F71" s="64">
        <f>3.4206 * CHOOSE(CONTROL!$C$22, $C$13, 100%, $E$13)</f>
        <v>3.4205999999999999</v>
      </c>
      <c r="G71" s="64">
        <f>3.4207 * CHOOSE(CONTROL!$C$22, $C$13, 100%, $E$13)</f>
        <v>3.4207000000000001</v>
      </c>
      <c r="H71" s="64">
        <f>6.32* CHOOSE(CONTROL!$C$22, $C$13, 100%, $E$13)</f>
        <v>6.32</v>
      </c>
      <c r="I71" s="64">
        <f>6.3201 * CHOOSE(CONTROL!$C$22, $C$13, 100%, $E$13)</f>
        <v>6.3201000000000001</v>
      </c>
      <c r="J71" s="64">
        <f>3.4206 * CHOOSE(CONTROL!$C$22, $C$13, 100%, $E$13)</f>
        <v>3.4205999999999999</v>
      </c>
      <c r="K71" s="64">
        <f>3.4207 * CHOOSE(CONTROL!$C$22, $C$13, 100%, $E$13)</f>
        <v>3.4207000000000001</v>
      </c>
      <c r="L71" s="4"/>
      <c r="M71" s="4"/>
      <c r="N71" s="4"/>
    </row>
    <row r="72" spans="1:14" ht="15">
      <c r="A72" s="13">
        <v>43831</v>
      </c>
      <c r="B72" s="63">
        <f>3.0034 * CHOOSE(CONTROL!$C$22, $C$13, 100%, $E$13)</f>
        <v>3.0034000000000001</v>
      </c>
      <c r="C72" s="63">
        <f>3.0034 * CHOOSE(CONTROL!$C$22, $C$13, 100%, $E$13)</f>
        <v>3.0034000000000001</v>
      </c>
      <c r="D72" s="63">
        <f>3.0207 * CHOOSE(CONTROL!$C$22, $C$13, 100%, $E$13)</f>
        <v>3.0207000000000002</v>
      </c>
      <c r="E72" s="64">
        <f>3.5343 * CHOOSE(CONTROL!$C$22, $C$13, 100%, $E$13)</f>
        <v>3.5343</v>
      </c>
      <c r="F72" s="64">
        <f>3.5343 * CHOOSE(CONTROL!$C$22, $C$13, 100%, $E$13)</f>
        <v>3.5343</v>
      </c>
      <c r="G72" s="64">
        <f>3.5345 * CHOOSE(CONTROL!$C$22, $C$13, 100%, $E$13)</f>
        <v>3.5345</v>
      </c>
      <c r="H72" s="64">
        <f>6.3331* CHOOSE(CONTROL!$C$22, $C$13, 100%, $E$13)</f>
        <v>6.3331</v>
      </c>
      <c r="I72" s="64">
        <f>6.3333 * CHOOSE(CONTROL!$C$22, $C$13, 100%, $E$13)</f>
        <v>6.3333000000000004</v>
      </c>
      <c r="J72" s="64">
        <f>3.5343 * CHOOSE(CONTROL!$C$22, $C$13, 100%, $E$13)</f>
        <v>3.5343</v>
      </c>
      <c r="K72" s="64">
        <f>3.5345 * CHOOSE(CONTROL!$C$22, $C$13, 100%, $E$13)</f>
        <v>3.5345</v>
      </c>
      <c r="L72" s="4"/>
      <c r="M72" s="4"/>
      <c r="N72" s="4"/>
    </row>
    <row r="73" spans="1:14" ht="15">
      <c r="A73" s="13">
        <v>43862</v>
      </c>
      <c r="B73" s="63">
        <f>3.0003 * CHOOSE(CONTROL!$C$22, $C$13, 100%, $E$13)</f>
        <v>3.0003000000000002</v>
      </c>
      <c r="C73" s="63">
        <f>3.0003 * CHOOSE(CONTROL!$C$22, $C$13, 100%, $E$13)</f>
        <v>3.0003000000000002</v>
      </c>
      <c r="D73" s="63">
        <f>3.0177 * CHOOSE(CONTROL!$C$22, $C$13, 100%, $E$13)</f>
        <v>3.0177</v>
      </c>
      <c r="E73" s="64">
        <f>3.4967 * CHOOSE(CONTROL!$C$22, $C$13, 100%, $E$13)</f>
        <v>3.4967000000000001</v>
      </c>
      <c r="F73" s="64">
        <f>3.4967 * CHOOSE(CONTROL!$C$22, $C$13, 100%, $E$13)</f>
        <v>3.4967000000000001</v>
      </c>
      <c r="G73" s="64">
        <f>3.4969 * CHOOSE(CONTROL!$C$22, $C$13, 100%, $E$13)</f>
        <v>3.4969000000000001</v>
      </c>
      <c r="H73" s="64">
        <f>6.3463* CHOOSE(CONTROL!$C$22, $C$13, 100%, $E$13)</f>
        <v>6.3463000000000003</v>
      </c>
      <c r="I73" s="64">
        <f>6.3465 * CHOOSE(CONTROL!$C$22, $C$13, 100%, $E$13)</f>
        <v>6.3464999999999998</v>
      </c>
      <c r="J73" s="64">
        <f>3.4967 * CHOOSE(CONTROL!$C$22, $C$13, 100%, $E$13)</f>
        <v>3.4967000000000001</v>
      </c>
      <c r="K73" s="64">
        <f>3.4969 * CHOOSE(CONTROL!$C$22, $C$13, 100%, $E$13)</f>
        <v>3.4969000000000001</v>
      </c>
      <c r="L73" s="4"/>
      <c r="M73" s="4"/>
      <c r="N73" s="4"/>
    </row>
    <row r="74" spans="1:14" ht="15">
      <c r="A74" s="13">
        <v>43891</v>
      </c>
      <c r="B74" s="63">
        <f>2.9973 * CHOOSE(CONTROL!$C$22, $C$13, 100%, $E$13)</f>
        <v>2.9973000000000001</v>
      </c>
      <c r="C74" s="63">
        <f>2.9973 * CHOOSE(CONTROL!$C$22, $C$13, 100%, $E$13)</f>
        <v>2.9973000000000001</v>
      </c>
      <c r="D74" s="63">
        <f>3.0146 * CHOOSE(CONTROL!$C$22, $C$13, 100%, $E$13)</f>
        <v>3.0146000000000002</v>
      </c>
      <c r="E74" s="64">
        <f>3.5226 * CHOOSE(CONTROL!$C$22, $C$13, 100%, $E$13)</f>
        <v>3.5226000000000002</v>
      </c>
      <c r="F74" s="64">
        <f>3.5226 * CHOOSE(CONTROL!$C$22, $C$13, 100%, $E$13)</f>
        <v>3.5226000000000002</v>
      </c>
      <c r="G74" s="64">
        <f>3.5228 * CHOOSE(CONTROL!$C$22, $C$13, 100%, $E$13)</f>
        <v>3.5228000000000002</v>
      </c>
      <c r="H74" s="64">
        <f>6.3595* CHOOSE(CONTROL!$C$22, $C$13, 100%, $E$13)</f>
        <v>6.3594999999999997</v>
      </c>
      <c r="I74" s="64">
        <f>6.3597 * CHOOSE(CONTROL!$C$22, $C$13, 100%, $E$13)</f>
        <v>6.3597000000000001</v>
      </c>
      <c r="J74" s="64">
        <f>3.5226 * CHOOSE(CONTROL!$C$22, $C$13, 100%, $E$13)</f>
        <v>3.5226000000000002</v>
      </c>
      <c r="K74" s="64">
        <f>3.5228 * CHOOSE(CONTROL!$C$22, $C$13, 100%, $E$13)</f>
        <v>3.5228000000000002</v>
      </c>
      <c r="L74" s="4"/>
      <c r="M74" s="4"/>
      <c r="N74" s="4"/>
    </row>
    <row r="75" spans="1:14" ht="15">
      <c r="A75" s="13">
        <v>43922</v>
      </c>
      <c r="B75" s="63">
        <f>2.994 * CHOOSE(CONTROL!$C$22, $C$13, 100%, $E$13)</f>
        <v>2.9940000000000002</v>
      </c>
      <c r="C75" s="63">
        <f>2.994 * CHOOSE(CONTROL!$C$22, $C$13, 100%, $E$13)</f>
        <v>2.9940000000000002</v>
      </c>
      <c r="D75" s="63">
        <f>3.0113 * CHOOSE(CONTROL!$C$22, $C$13, 100%, $E$13)</f>
        <v>3.0112999999999999</v>
      </c>
      <c r="E75" s="64">
        <f>3.5484 * CHOOSE(CONTROL!$C$22, $C$13, 100%, $E$13)</f>
        <v>3.5484</v>
      </c>
      <c r="F75" s="64">
        <f>3.5484 * CHOOSE(CONTROL!$C$22, $C$13, 100%, $E$13)</f>
        <v>3.5484</v>
      </c>
      <c r="G75" s="64">
        <f>3.5486 * CHOOSE(CONTROL!$C$22, $C$13, 100%, $E$13)</f>
        <v>3.5486</v>
      </c>
      <c r="H75" s="64">
        <f>6.3728* CHOOSE(CONTROL!$C$22, $C$13, 100%, $E$13)</f>
        <v>6.3727999999999998</v>
      </c>
      <c r="I75" s="64">
        <f>6.373 * CHOOSE(CONTROL!$C$22, $C$13, 100%, $E$13)</f>
        <v>6.3730000000000002</v>
      </c>
      <c r="J75" s="64">
        <f>3.5484 * CHOOSE(CONTROL!$C$22, $C$13, 100%, $E$13)</f>
        <v>3.5484</v>
      </c>
      <c r="K75" s="64">
        <f>3.5486 * CHOOSE(CONTROL!$C$22, $C$13, 100%, $E$13)</f>
        <v>3.5486</v>
      </c>
      <c r="L75" s="4"/>
      <c r="M75" s="4"/>
      <c r="N75" s="4"/>
    </row>
    <row r="76" spans="1:14" ht="15">
      <c r="A76" s="13">
        <v>43952</v>
      </c>
      <c r="B76" s="63">
        <f>2.994 * CHOOSE(CONTROL!$C$22, $C$13, 100%, $E$13)</f>
        <v>2.9940000000000002</v>
      </c>
      <c r="C76" s="63">
        <f>2.994 * CHOOSE(CONTROL!$C$22, $C$13, 100%, $E$13)</f>
        <v>2.9940000000000002</v>
      </c>
      <c r="D76" s="63">
        <f>3.0287 * CHOOSE(CONTROL!$C$22, $C$13, 100%, $E$13)</f>
        <v>3.0287000000000002</v>
      </c>
      <c r="E76" s="64">
        <f>3.5597 * CHOOSE(CONTROL!$C$22, $C$13, 100%, $E$13)</f>
        <v>3.5596999999999999</v>
      </c>
      <c r="F76" s="64">
        <f>3.5597 * CHOOSE(CONTROL!$C$22, $C$13, 100%, $E$13)</f>
        <v>3.5596999999999999</v>
      </c>
      <c r="G76" s="64">
        <f>3.5618 * CHOOSE(CONTROL!$C$22, $C$13, 100%, $E$13)</f>
        <v>3.5617999999999999</v>
      </c>
      <c r="H76" s="64">
        <f>6.3861* CHOOSE(CONTROL!$C$22, $C$13, 100%, $E$13)</f>
        <v>6.3860999999999999</v>
      </c>
      <c r="I76" s="64">
        <f>6.3882 * CHOOSE(CONTROL!$C$22, $C$13, 100%, $E$13)</f>
        <v>6.3882000000000003</v>
      </c>
      <c r="J76" s="64">
        <f>3.5597 * CHOOSE(CONTROL!$C$22, $C$13, 100%, $E$13)</f>
        <v>3.5596999999999999</v>
      </c>
      <c r="K76" s="64">
        <f>3.5618 * CHOOSE(CONTROL!$C$22, $C$13, 100%, $E$13)</f>
        <v>3.5617999999999999</v>
      </c>
      <c r="L76" s="4"/>
      <c r="M76" s="4"/>
      <c r="N76" s="4"/>
    </row>
    <row r="77" spans="1:14" ht="15">
      <c r="A77" s="13">
        <v>43983</v>
      </c>
      <c r="B77" s="63">
        <f>3.0001 * CHOOSE(CONTROL!$C$22, $C$13, 100%, $E$13)</f>
        <v>3.0001000000000002</v>
      </c>
      <c r="C77" s="63">
        <f>3.0001 * CHOOSE(CONTROL!$C$22, $C$13, 100%, $E$13)</f>
        <v>3.0001000000000002</v>
      </c>
      <c r="D77" s="63">
        <f>3.0347 * CHOOSE(CONTROL!$C$22, $C$13, 100%, $E$13)</f>
        <v>3.0347</v>
      </c>
      <c r="E77" s="64">
        <f>3.5526 * CHOOSE(CONTROL!$C$22, $C$13, 100%, $E$13)</f>
        <v>3.5526</v>
      </c>
      <c r="F77" s="64">
        <f>3.5526 * CHOOSE(CONTROL!$C$22, $C$13, 100%, $E$13)</f>
        <v>3.5526</v>
      </c>
      <c r="G77" s="64">
        <f>3.5548 * CHOOSE(CONTROL!$C$22, $C$13, 100%, $E$13)</f>
        <v>3.5548000000000002</v>
      </c>
      <c r="H77" s="64">
        <f>6.3994* CHOOSE(CONTROL!$C$22, $C$13, 100%, $E$13)</f>
        <v>6.3994</v>
      </c>
      <c r="I77" s="64">
        <f>6.4015 * CHOOSE(CONTROL!$C$22, $C$13, 100%, $E$13)</f>
        <v>6.4015000000000004</v>
      </c>
      <c r="J77" s="64">
        <f>3.5526 * CHOOSE(CONTROL!$C$22, $C$13, 100%, $E$13)</f>
        <v>3.5526</v>
      </c>
      <c r="K77" s="64">
        <f>3.5548 * CHOOSE(CONTROL!$C$22, $C$13, 100%, $E$13)</f>
        <v>3.5548000000000002</v>
      </c>
      <c r="L77" s="4"/>
      <c r="M77" s="4"/>
      <c r="N77" s="4"/>
    </row>
    <row r="78" spans="1:14" ht="15">
      <c r="A78" s="13">
        <v>44013</v>
      </c>
      <c r="B78" s="63">
        <f>3.0509 * CHOOSE(CONTROL!$C$22, $C$13, 100%, $E$13)</f>
        <v>3.0508999999999999</v>
      </c>
      <c r="C78" s="63">
        <f>3.0509 * CHOOSE(CONTROL!$C$22, $C$13, 100%, $E$13)</f>
        <v>3.0508999999999999</v>
      </c>
      <c r="D78" s="63">
        <f>3.0856 * CHOOSE(CONTROL!$C$22, $C$13, 100%, $E$13)</f>
        <v>3.0855999999999999</v>
      </c>
      <c r="E78" s="64">
        <f>3.6456 * CHOOSE(CONTROL!$C$22, $C$13, 100%, $E$13)</f>
        <v>3.6456</v>
      </c>
      <c r="F78" s="64">
        <f>3.6456 * CHOOSE(CONTROL!$C$22, $C$13, 100%, $E$13)</f>
        <v>3.6456</v>
      </c>
      <c r="G78" s="64">
        <f>3.6478 * CHOOSE(CONTROL!$C$22, $C$13, 100%, $E$13)</f>
        <v>3.6478000000000002</v>
      </c>
      <c r="H78" s="64">
        <f>6.4127* CHOOSE(CONTROL!$C$22, $C$13, 100%, $E$13)</f>
        <v>6.4127000000000001</v>
      </c>
      <c r="I78" s="64">
        <f>6.4148 * CHOOSE(CONTROL!$C$22, $C$13, 100%, $E$13)</f>
        <v>6.4147999999999996</v>
      </c>
      <c r="J78" s="64">
        <f>3.6456 * CHOOSE(CONTROL!$C$22, $C$13, 100%, $E$13)</f>
        <v>3.6456</v>
      </c>
      <c r="K78" s="64">
        <f>3.6478 * CHOOSE(CONTROL!$C$22, $C$13, 100%, $E$13)</f>
        <v>3.6478000000000002</v>
      </c>
      <c r="L78" s="4"/>
      <c r="M78" s="4"/>
      <c r="N78" s="4"/>
    </row>
    <row r="79" spans="1:14" ht="15">
      <c r="A79" s="13">
        <v>44044</v>
      </c>
      <c r="B79" s="63">
        <f>3.0576 * CHOOSE(CONTROL!$C$22, $C$13, 100%, $E$13)</f>
        <v>3.0575999999999999</v>
      </c>
      <c r="C79" s="63">
        <f>3.0576 * CHOOSE(CONTROL!$C$22, $C$13, 100%, $E$13)</f>
        <v>3.0575999999999999</v>
      </c>
      <c r="D79" s="63">
        <f>3.0922 * CHOOSE(CONTROL!$C$22, $C$13, 100%, $E$13)</f>
        <v>3.0922000000000001</v>
      </c>
      <c r="E79" s="64">
        <f>3.6165 * CHOOSE(CONTROL!$C$22, $C$13, 100%, $E$13)</f>
        <v>3.6164999999999998</v>
      </c>
      <c r="F79" s="64">
        <f>3.6165 * CHOOSE(CONTROL!$C$22, $C$13, 100%, $E$13)</f>
        <v>3.6164999999999998</v>
      </c>
      <c r="G79" s="64">
        <f>3.6186 * CHOOSE(CONTROL!$C$22, $C$13, 100%, $E$13)</f>
        <v>3.6185999999999998</v>
      </c>
      <c r="H79" s="64">
        <f>6.4261* CHOOSE(CONTROL!$C$22, $C$13, 100%, $E$13)</f>
        <v>6.4260999999999999</v>
      </c>
      <c r="I79" s="64">
        <f>6.4282 * CHOOSE(CONTROL!$C$22, $C$13, 100%, $E$13)</f>
        <v>6.4282000000000004</v>
      </c>
      <c r="J79" s="64">
        <f>3.6165 * CHOOSE(CONTROL!$C$22, $C$13, 100%, $E$13)</f>
        <v>3.6164999999999998</v>
      </c>
      <c r="K79" s="64">
        <f>3.6186 * CHOOSE(CONTROL!$C$22, $C$13, 100%, $E$13)</f>
        <v>3.6185999999999998</v>
      </c>
      <c r="L79" s="4"/>
      <c r="M79" s="4"/>
      <c r="N79" s="4"/>
    </row>
    <row r="80" spans="1:14" ht="15">
      <c r="A80" s="13">
        <v>44075</v>
      </c>
      <c r="B80" s="63">
        <f>3.0545 * CHOOSE(CONTROL!$C$22, $C$13, 100%, $E$13)</f>
        <v>3.0545</v>
      </c>
      <c r="C80" s="63">
        <f>3.0545 * CHOOSE(CONTROL!$C$22, $C$13, 100%, $E$13)</f>
        <v>3.0545</v>
      </c>
      <c r="D80" s="63">
        <f>3.0892 * CHOOSE(CONTROL!$C$22, $C$13, 100%, $E$13)</f>
        <v>3.0891999999999999</v>
      </c>
      <c r="E80" s="64">
        <f>3.6106 * CHOOSE(CONTROL!$C$22, $C$13, 100%, $E$13)</f>
        <v>3.6105999999999998</v>
      </c>
      <c r="F80" s="64">
        <f>3.6106 * CHOOSE(CONTROL!$C$22, $C$13, 100%, $E$13)</f>
        <v>3.6105999999999998</v>
      </c>
      <c r="G80" s="64">
        <f>3.6128 * CHOOSE(CONTROL!$C$22, $C$13, 100%, $E$13)</f>
        <v>3.6128</v>
      </c>
      <c r="H80" s="64">
        <f>6.4394* CHOOSE(CONTROL!$C$22, $C$13, 100%, $E$13)</f>
        <v>6.4394</v>
      </c>
      <c r="I80" s="64">
        <f>6.4416 * CHOOSE(CONTROL!$C$22, $C$13, 100%, $E$13)</f>
        <v>6.4416000000000002</v>
      </c>
      <c r="J80" s="64">
        <f>3.6106 * CHOOSE(CONTROL!$C$22, $C$13, 100%, $E$13)</f>
        <v>3.6105999999999998</v>
      </c>
      <c r="K80" s="64">
        <f>3.6128 * CHOOSE(CONTROL!$C$22, $C$13, 100%, $E$13)</f>
        <v>3.6128</v>
      </c>
      <c r="L80" s="4"/>
      <c r="M80" s="4"/>
      <c r="N80" s="4"/>
    </row>
    <row r="81" spans="1:14" ht="15">
      <c r="A81" s="13">
        <v>44105</v>
      </c>
      <c r="B81" s="63">
        <f>3.0462 * CHOOSE(CONTROL!$C$22, $C$13, 100%, $E$13)</f>
        <v>3.0461999999999998</v>
      </c>
      <c r="C81" s="63">
        <f>3.0462 * CHOOSE(CONTROL!$C$22, $C$13, 100%, $E$13)</f>
        <v>3.0461999999999998</v>
      </c>
      <c r="D81" s="63">
        <f>3.0635 * CHOOSE(CONTROL!$C$22, $C$13, 100%, $E$13)</f>
        <v>3.0634999999999999</v>
      </c>
      <c r="E81" s="64">
        <f>3.6122 * CHOOSE(CONTROL!$C$22, $C$13, 100%, $E$13)</f>
        <v>3.6122000000000001</v>
      </c>
      <c r="F81" s="64">
        <f>3.6122 * CHOOSE(CONTROL!$C$22, $C$13, 100%, $E$13)</f>
        <v>3.6122000000000001</v>
      </c>
      <c r="G81" s="64">
        <f>3.6124 * CHOOSE(CONTROL!$C$22, $C$13, 100%, $E$13)</f>
        <v>3.6124000000000001</v>
      </c>
      <c r="H81" s="64">
        <f>6.4529* CHOOSE(CONTROL!$C$22, $C$13, 100%, $E$13)</f>
        <v>6.4528999999999996</v>
      </c>
      <c r="I81" s="64">
        <f>6.453 * CHOOSE(CONTROL!$C$22, $C$13, 100%, $E$13)</f>
        <v>6.4530000000000003</v>
      </c>
      <c r="J81" s="64">
        <f>3.6122 * CHOOSE(CONTROL!$C$22, $C$13, 100%, $E$13)</f>
        <v>3.6122000000000001</v>
      </c>
      <c r="K81" s="64">
        <f>3.6124 * CHOOSE(CONTROL!$C$22, $C$13, 100%, $E$13)</f>
        <v>3.6124000000000001</v>
      </c>
      <c r="L81" s="4"/>
      <c r="M81" s="4"/>
      <c r="N81" s="4"/>
    </row>
    <row r="82" spans="1:14" ht="15">
      <c r="A82" s="13">
        <v>44136</v>
      </c>
      <c r="B82" s="63">
        <f>3.0493 * CHOOSE(CONTROL!$C$22, $C$13, 100%, $E$13)</f>
        <v>3.0493000000000001</v>
      </c>
      <c r="C82" s="63">
        <f>3.0493 * CHOOSE(CONTROL!$C$22, $C$13, 100%, $E$13)</f>
        <v>3.0493000000000001</v>
      </c>
      <c r="D82" s="63">
        <f>3.0666 * CHOOSE(CONTROL!$C$22, $C$13, 100%, $E$13)</f>
        <v>3.0666000000000002</v>
      </c>
      <c r="E82" s="64">
        <f>3.6219 * CHOOSE(CONTROL!$C$22, $C$13, 100%, $E$13)</f>
        <v>3.6219000000000001</v>
      </c>
      <c r="F82" s="64">
        <f>3.6219 * CHOOSE(CONTROL!$C$22, $C$13, 100%, $E$13)</f>
        <v>3.6219000000000001</v>
      </c>
      <c r="G82" s="64">
        <f>3.622 * CHOOSE(CONTROL!$C$22, $C$13, 100%, $E$13)</f>
        <v>3.6219999999999999</v>
      </c>
      <c r="H82" s="64">
        <f>6.4663* CHOOSE(CONTROL!$C$22, $C$13, 100%, $E$13)</f>
        <v>6.4663000000000004</v>
      </c>
      <c r="I82" s="64">
        <f>6.4665 * CHOOSE(CONTROL!$C$22, $C$13, 100%, $E$13)</f>
        <v>6.4664999999999999</v>
      </c>
      <c r="J82" s="64">
        <f>3.6219 * CHOOSE(CONTROL!$C$22, $C$13, 100%, $E$13)</f>
        <v>3.6219000000000001</v>
      </c>
      <c r="K82" s="64">
        <f>3.622 * CHOOSE(CONTROL!$C$22, $C$13, 100%, $E$13)</f>
        <v>3.6219999999999999</v>
      </c>
      <c r="L82" s="4"/>
      <c r="M82" s="4"/>
      <c r="N82" s="4"/>
    </row>
    <row r="83" spans="1:14" ht="15">
      <c r="A83" s="13">
        <v>44166</v>
      </c>
      <c r="B83" s="63">
        <f>3.0493 * CHOOSE(CONTROL!$C$22, $C$13, 100%, $E$13)</f>
        <v>3.0493000000000001</v>
      </c>
      <c r="C83" s="63">
        <f>3.0493 * CHOOSE(CONTROL!$C$22, $C$13, 100%, $E$13)</f>
        <v>3.0493000000000001</v>
      </c>
      <c r="D83" s="63">
        <f>3.0666 * CHOOSE(CONTROL!$C$22, $C$13, 100%, $E$13)</f>
        <v>3.0666000000000002</v>
      </c>
      <c r="E83" s="64">
        <f>3.6031 * CHOOSE(CONTROL!$C$22, $C$13, 100%, $E$13)</f>
        <v>3.6031</v>
      </c>
      <c r="F83" s="64">
        <f>3.6031 * CHOOSE(CONTROL!$C$22, $C$13, 100%, $E$13)</f>
        <v>3.6031</v>
      </c>
      <c r="G83" s="64">
        <f>3.6033 * CHOOSE(CONTROL!$C$22, $C$13, 100%, $E$13)</f>
        <v>3.6032999999999999</v>
      </c>
      <c r="H83" s="64">
        <f>6.4798* CHOOSE(CONTROL!$C$22, $C$13, 100%, $E$13)</f>
        <v>6.4798</v>
      </c>
      <c r="I83" s="64">
        <f>6.48 * CHOOSE(CONTROL!$C$22, $C$13, 100%, $E$13)</f>
        <v>6.48</v>
      </c>
      <c r="J83" s="64">
        <f>3.6031 * CHOOSE(CONTROL!$C$22, $C$13, 100%, $E$13)</f>
        <v>3.6031</v>
      </c>
      <c r="K83" s="64">
        <f>3.6033 * CHOOSE(CONTROL!$C$22, $C$13, 100%, $E$13)</f>
        <v>3.6032999999999999</v>
      </c>
      <c r="L83" s="4"/>
      <c r="M83" s="4"/>
      <c r="N83" s="4"/>
    </row>
    <row r="84" spans="1:14" ht="15">
      <c r="A84" s="13">
        <v>44197</v>
      </c>
      <c r="B84" s="63">
        <f>3.0805 * CHOOSE(CONTROL!$C$22, $C$13, 100%, $E$13)</f>
        <v>3.0804999999999998</v>
      </c>
      <c r="C84" s="63">
        <f>3.0805 * CHOOSE(CONTROL!$C$22, $C$13, 100%, $E$13)</f>
        <v>3.0804999999999998</v>
      </c>
      <c r="D84" s="63">
        <f>3.0978 * CHOOSE(CONTROL!$C$22, $C$13, 100%, $E$13)</f>
        <v>3.0977999999999999</v>
      </c>
      <c r="E84" s="64">
        <f>3.649 * CHOOSE(CONTROL!$C$22, $C$13, 100%, $E$13)</f>
        <v>3.649</v>
      </c>
      <c r="F84" s="64">
        <f>3.649 * CHOOSE(CONTROL!$C$22, $C$13, 100%, $E$13)</f>
        <v>3.649</v>
      </c>
      <c r="G84" s="64">
        <f>3.6492 * CHOOSE(CONTROL!$C$22, $C$13, 100%, $E$13)</f>
        <v>3.6492</v>
      </c>
      <c r="H84" s="64">
        <f>6.4933* CHOOSE(CONTROL!$C$22, $C$13, 100%, $E$13)</f>
        <v>6.4932999999999996</v>
      </c>
      <c r="I84" s="64">
        <f>6.4935 * CHOOSE(CONTROL!$C$22, $C$13, 100%, $E$13)</f>
        <v>6.4935</v>
      </c>
      <c r="J84" s="64">
        <f>3.649 * CHOOSE(CONTROL!$C$22, $C$13, 100%, $E$13)</f>
        <v>3.649</v>
      </c>
      <c r="K84" s="64">
        <f>3.6492 * CHOOSE(CONTROL!$C$22, $C$13, 100%, $E$13)</f>
        <v>3.6492</v>
      </c>
      <c r="L84" s="4"/>
      <c r="M84" s="4"/>
      <c r="N84" s="4"/>
    </row>
    <row r="85" spans="1:14" ht="15">
      <c r="A85" s="13">
        <v>44228</v>
      </c>
      <c r="B85" s="63">
        <f>3.0775 * CHOOSE(CONTROL!$C$22, $C$13, 100%, $E$13)</f>
        <v>3.0775000000000001</v>
      </c>
      <c r="C85" s="63">
        <f>3.0775 * CHOOSE(CONTROL!$C$22, $C$13, 100%, $E$13)</f>
        <v>3.0775000000000001</v>
      </c>
      <c r="D85" s="63">
        <f>3.0948 * CHOOSE(CONTROL!$C$22, $C$13, 100%, $E$13)</f>
        <v>3.0948000000000002</v>
      </c>
      <c r="E85" s="64">
        <f>3.6087 * CHOOSE(CONTROL!$C$22, $C$13, 100%, $E$13)</f>
        <v>3.6086999999999998</v>
      </c>
      <c r="F85" s="64">
        <f>3.6087 * CHOOSE(CONTROL!$C$22, $C$13, 100%, $E$13)</f>
        <v>3.6086999999999998</v>
      </c>
      <c r="G85" s="64">
        <f>3.6088 * CHOOSE(CONTROL!$C$22, $C$13, 100%, $E$13)</f>
        <v>3.6088</v>
      </c>
      <c r="H85" s="64">
        <f>6.5068* CHOOSE(CONTROL!$C$22, $C$13, 100%, $E$13)</f>
        <v>6.5068000000000001</v>
      </c>
      <c r="I85" s="64">
        <f>6.507 * CHOOSE(CONTROL!$C$22, $C$13, 100%, $E$13)</f>
        <v>6.5069999999999997</v>
      </c>
      <c r="J85" s="64">
        <f>3.6087 * CHOOSE(CONTROL!$C$22, $C$13, 100%, $E$13)</f>
        <v>3.6086999999999998</v>
      </c>
      <c r="K85" s="64">
        <f>3.6088 * CHOOSE(CONTROL!$C$22, $C$13, 100%, $E$13)</f>
        <v>3.6088</v>
      </c>
      <c r="L85" s="4"/>
      <c r="M85" s="4"/>
      <c r="N85" s="4"/>
    </row>
    <row r="86" spans="1:14" ht="15">
      <c r="A86" s="13">
        <v>44256</v>
      </c>
      <c r="B86" s="63">
        <f>3.0744 * CHOOSE(CONTROL!$C$22, $C$13, 100%, $E$13)</f>
        <v>3.0743999999999998</v>
      </c>
      <c r="C86" s="63">
        <f>3.0744 * CHOOSE(CONTROL!$C$22, $C$13, 100%, $E$13)</f>
        <v>3.0743999999999998</v>
      </c>
      <c r="D86" s="63">
        <f>3.0918 * CHOOSE(CONTROL!$C$22, $C$13, 100%, $E$13)</f>
        <v>3.0918000000000001</v>
      </c>
      <c r="E86" s="64">
        <f>3.6367 * CHOOSE(CONTROL!$C$22, $C$13, 100%, $E$13)</f>
        <v>3.6366999999999998</v>
      </c>
      <c r="F86" s="64">
        <f>3.6367 * CHOOSE(CONTROL!$C$22, $C$13, 100%, $E$13)</f>
        <v>3.6366999999999998</v>
      </c>
      <c r="G86" s="64">
        <f>3.6369 * CHOOSE(CONTROL!$C$22, $C$13, 100%, $E$13)</f>
        <v>3.6368999999999998</v>
      </c>
      <c r="H86" s="64">
        <f>6.5204* CHOOSE(CONTROL!$C$22, $C$13, 100%, $E$13)</f>
        <v>6.5204000000000004</v>
      </c>
      <c r="I86" s="64">
        <f>6.5205 * CHOOSE(CONTROL!$C$22, $C$13, 100%, $E$13)</f>
        <v>6.5205000000000002</v>
      </c>
      <c r="J86" s="64">
        <f>3.6367 * CHOOSE(CONTROL!$C$22, $C$13, 100%, $E$13)</f>
        <v>3.6366999999999998</v>
      </c>
      <c r="K86" s="64">
        <f>3.6369 * CHOOSE(CONTROL!$C$22, $C$13, 100%, $E$13)</f>
        <v>3.6368999999999998</v>
      </c>
      <c r="L86" s="4"/>
      <c r="M86" s="4"/>
      <c r="N86" s="4"/>
    </row>
    <row r="87" spans="1:14" ht="15">
      <c r="A87" s="13">
        <v>44287</v>
      </c>
      <c r="B87" s="63">
        <f>3.0712 * CHOOSE(CONTROL!$C$22, $C$13, 100%, $E$13)</f>
        <v>3.0712000000000002</v>
      </c>
      <c r="C87" s="63">
        <f>3.0712 * CHOOSE(CONTROL!$C$22, $C$13, 100%, $E$13)</f>
        <v>3.0712000000000002</v>
      </c>
      <c r="D87" s="63">
        <f>3.0886 * CHOOSE(CONTROL!$C$22, $C$13, 100%, $E$13)</f>
        <v>3.0886</v>
      </c>
      <c r="E87" s="64">
        <f>3.6649 * CHOOSE(CONTROL!$C$22, $C$13, 100%, $E$13)</f>
        <v>3.6648999999999998</v>
      </c>
      <c r="F87" s="64">
        <f>3.6649 * CHOOSE(CONTROL!$C$22, $C$13, 100%, $E$13)</f>
        <v>3.6648999999999998</v>
      </c>
      <c r="G87" s="64">
        <f>3.665 * CHOOSE(CONTROL!$C$22, $C$13, 100%, $E$13)</f>
        <v>3.665</v>
      </c>
      <c r="H87" s="64">
        <f>6.5339* CHOOSE(CONTROL!$C$22, $C$13, 100%, $E$13)</f>
        <v>6.5339</v>
      </c>
      <c r="I87" s="64">
        <f>6.5341 * CHOOSE(CONTROL!$C$22, $C$13, 100%, $E$13)</f>
        <v>6.5340999999999996</v>
      </c>
      <c r="J87" s="64">
        <f>3.6649 * CHOOSE(CONTROL!$C$22, $C$13, 100%, $E$13)</f>
        <v>3.6648999999999998</v>
      </c>
      <c r="K87" s="64">
        <f>3.665 * CHOOSE(CONTROL!$C$22, $C$13, 100%, $E$13)</f>
        <v>3.665</v>
      </c>
      <c r="L87" s="4"/>
      <c r="M87" s="4"/>
      <c r="N87" s="4"/>
    </row>
    <row r="88" spans="1:14" ht="15">
      <c r="A88" s="13">
        <v>44317</v>
      </c>
      <c r="B88" s="63">
        <f>3.0712 * CHOOSE(CONTROL!$C$22, $C$13, 100%, $E$13)</f>
        <v>3.0712000000000002</v>
      </c>
      <c r="C88" s="63">
        <f>3.0712 * CHOOSE(CONTROL!$C$22, $C$13, 100%, $E$13)</f>
        <v>3.0712000000000002</v>
      </c>
      <c r="D88" s="63">
        <f>3.1059 * CHOOSE(CONTROL!$C$22, $C$13, 100%, $E$13)</f>
        <v>3.1059000000000001</v>
      </c>
      <c r="E88" s="64">
        <f>3.677 * CHOOSE(CONTROL!$C$22, $C$13, 100%, $E$13)</f>
        <v>3.677</v>
      </c>
      <c r="F88" s="64">
        <f>3.677 * CHOOSE(CONTROL!$C$22, $C$13, 100%, $E$13)</f>
        <v>3.677</v>
      </c>
      <c r="G88" s="64">
        <f>3.6792 * CHOOSE(CONTROL!$C$22, $C$13, 100%, $E$13)</f>
        <v>3.6791999999999998</v>
      </c>
      <c r="H88" s="64">
        <f>6.5476* CHOOSE(CONTROL!$C$22, $C$13, 100%, $E$13)</f>
        <v>6.5476000000000001</v>
      </c>
      <c r="I88" s="64">
        <f>6.5497 * CHOOSE(CONTROL!$C$22, $C$13, 100%, $E$13)</f>
        <v>6.5496999999999996</v>
      </c>
      <c r="J88" s="64">
        <f>3.677 * CHOOSE(CONTROL!$C$22, $C$13, 100%, $E$13)</f>
        <v>3.677</v>
      </c>
      <c r="K88" s="64">
        <f>3.6792 * CHOOSE(CONTROL!$C$22, $C$13, 100%, $E$13)</f>
        <v>3.6791999999999998</v>
      </c>
      <c r="L88" s="4"/>
      <c r="M88" s="4"/>
      <c r="N88" s="4"/>
    </row>
    <row r="89" spans="1:14" ht="15">
      <c r="A89" s="13">
        <v>44348</v>
      </c>
      <c r="B89" s="63">
        <f>3.0773 * CHOOSE(CONTROL!$C$22, $C$13, 100%, $E$13)</f>
        <v>3.0773000000000001</v>
      </c>
      <c r="C89" s="63">
        <f>3.0773 * CHOOSE(CONTROL!$C$22, $C$13, 100%, $E$13)</f>
        <v>3.0773000000000001</v>
      </c>
      <c r="D89" s="63">
        <f>3.112 * CHOOSE(CONTROL!$C$22, $C$13, 100%, $E$13)</f>
        <v>3.1120000000000001</v>
      </c>
      <c r="E89" s="64">
        <f>3.6691 * CHOOSE(CONTROL!$C$22, $C$13, 100%, $E$13)</f>
        <v>3.6690999999999998</v>
      </c>
      <c r="F89" s="64">
        <f>3.6691 * CHOOSE(CONTROL!$C$22, $C$13, 100%, $E$13)</f>
        <v>3.6690999999999998</v>
      </c>
      <c r="G89" s="64">
        <f>3.6713 * CHOOSE(CONTROL!$C$22, $C$13, 100%, $E$13)</f>
        <v>3.6713</v>
      </c>
      <c r="H89" s="64">
        <f>6.5612* CHOOSE(CONTROL!$C$22, $C$13, 100%, $E$13)</f>
        <v>6.5612000000000004</v>
      </c>
      <c r="I89" s="64">
        <f>6.5633 * CHOOSE(CONTROL!$C$22, $C$13, 100%, $E$13)</f>
        <v>6.5632999999999999</v>
      </c>
      <c r="J89" s="64">
        <f>3.6691 * CHOOSE(CONTROL!$C$22, $C$13, 100%, $E$13)</f>
        <v>3.6690999999999998</v>
      </c>
      <c r="K89" s="64">
        <f>3.6713 * CHOOSE(CONTROL!$C$22, $C$13, 100%, $E$13)</f>
        <v>3.6713</v>
      </c>
      <c r="L89" s="4"/>
      <c r="M89" s="4"/>
      <c r="N89" s="4"/>
    </row>
    <row r="90" spans="1:14" ht="15">
      <c r="A90" s="13">
        <v>44378</v>
      </c>
      <c r="B90" s="63">
        <f>3.137 * CHOOSE(CONTROL!$C$22, $C$13, 100%, $E$13)</f>
        <v>3.137</v>
      </c>
      <c r="C90" s="63">
        <f>3.137 * CHOOSE(CONTROL!$C$22, $C$13, 100%, $E$13)</f>
        <v>3.137</v>
      </c>
      <c r="D90" s="63">
        <f>3.1716 * CHOOSE(CONTROL!$C$22, $C$13, 100%, $E$13)</f>
        <v>3.1716000000000002</v>
      </c>
      <c r="E90" s="64">
        <f>3.6976 * CHOOSE(CONTROL!$C$22, $C$13, 100%, $E$13)</f>
        <v>3.6976</v>
      </c>
      <c r="F90" s="64">
        <f>3.6976 * CHOOSE(CONTROL!$C$22, $C$13, 100%, $E$13)</f>
        <v>3.6976</v>
      </c>
      <c r="G90" s="64">
        <f>3.6998 * CHOOSE(CONTROL!$C$22, $C$13, 100%, $E$13)</f>
        <v>3.6998000000000002</v>
      </c>
      <c r="H90" s="64">
        <f>6.5749* CHOOSE(CONTROL!$C$22, $C$13, 100%, $E$13)</f>
        <v>6.5749000000000004</v>
      </c>
      <c r="I90" s="64">
        <f>6.577 * CHOOSE(CONTROL!$C$22, $C$13, 100%, $E$13)</f>
        <v>6.577</v>
      </c>
      <c r="J90" s="64">
        <f>3.6976 * CHOOSE(CONTROL!$C$22, $C$13, 100%, $E$13)</f>
        <v>3.6976</v>
      </c>
      <c r="K90" s="64">
        <f>3.6998 * CHOOSE(CONTROL!$C$22, $C$13, 100%, $E$13)</f>
        <v>3.6998000000000002</v>
      </c>
      <c r="L90" s="4"/>
      <c r="M90" s="4"/>
      <c r="N90" s="4"/>
    </row>
    <row r="91" spans="1:14" ht="15">
      <c r="A91" s="13">
        <v>44409</v>
      </c>
      <c r="B91" s="63">
        <f>3.1436 * CHOOSE(CONTROL!$C$22, $C$13, 100%, $E$13)</f>
        <v>3.1436000000000002</v>
      </c>
      <c r="C91" s="63">
        <f>3.1436 * CHOOSE(CONTROL!$C$22, $C$13, 100%, $E$13)</f>
        <v>3.1436000000000002</v>
      </c>
      <c r="D91" s="63">
        <f>3.1783 * CHOOSE(CONTROL!$C$22, $C$13, 100%, $E$13)</f>
        <v>3.1783000000000001</v>
      </c>
      <c r="E91" s="64">
        <f>3.6658 * CHOOSE(CONTROL!$C$22, $C$13, 100%, $E$13)</f>
        <v>3.6657999999999999</v>
      </c>
      <c r="F91" s="64">
        <f>3.6658 * CHOOSE(CONTROL!$C$22, $C$13, 100%, $E$13)</f>
        <v>3.6657999999999999</v>
      </c>
      <c r="G91" s="64">
        <f>3.668 * CHOOSE(CONTROL!$C$22, $C$13, 100%, $E$13)</f>
        <v>3.6680000000000001</v>
      </c>
      <c r="H91" s="64">
        <f>6.5886* CHOOSE(CONTROL!$C$22, $C$13, 100%, $E$13)</f>
        <v>6.5885999999999996</v>
      </c>
      <c r="I91" s="64">
        <f>6.5907 * CHOOSE(CONTROL!$C$22, $C$13, 100%, $E$13)</f>
        <v>6.5907</v>
      </c>
      <c r="J91" s="64">
        <f>3.6658 * CHOOSE(CONTROL!$C$22, $C$13, 100%, $E$13)</f>
        <v>3.6657999999999999</v>
      </c>
      <c r="K91" s="64">
        <f>3.668 * CHOOSE(CONTROL!$C$22, $C$13, 100%, $E$13)</f>
        <v>3.6680000000000001</v>
      </c>
      <c r="L91" s="4"/>
      <c r="M91" s="4"/>
      <c r="N91" s="4"/>
    </row>
    <row r="92" spans="1:14" ht="15">
      <c r="A92" s="13">
        <v>44440</v>
      </c>
      <c r="B92" s="63">
        <f>3.1406 * CHOOSE(CONTROL!$C$22, $C$13, 100%, $E$13)</f>
        <v>3.1406000000000001</v>
      </c>
      <c r="C92" s="63">
        <f>3.1406 * CHOOSE(CONTROL!$C$22, $C$13, 100%, $E$13)</f>
        <v>3.1406000000000001</v>
      </c>
      <c r="D92" s="63">
        <f>3.1753 * CHOOSE(CONTROL!$C$22, $C$13, 100%, $E$13)</f>
        <v>3.1753</v>
      </c>
      <c r="E92" s="64">
        <f>3.6597 * CHOOSE(CONTROL!$C$22, $C$13, 100%, $E$13)</f>
        <v>3.6597</v>
      </c>
      <c r="F92" s="64">
        <f>3.6597 * CHOOSE(CONTROL!$C$22, $C$13, 100%, $E$13)</f>
        <v>3.6597</v>
      </c>
      <c r="G92" s="64">
        <f>3.6618 * CHOOSE(CONTROL!$C$22, $C$13, 100%, $E$13)</f>
        <v>3.6617999999999999</v>
      </c>
      <c r="H92" s="64">
        <f>6.6023* CHOOSE(CONTROL!$C$22, $C$13, 100%, $E$13)</f>
        <v>6.6022999999999996</v>
      </c>
      <c r="I92" s="64">
        <f>6.6044 * CHOOSE(CONTROL!$C$22, $C$13, 100%, $E$13)</f>
        <v>6.6044</v>
      </c>
      <c r="J92" s="64">
        <f>3.6597 * CHOOSE(CONTROL!$C$22, $C$13, 100%, $E$13)</f>
        <v>3.6597</v>
      </c>
      <c r="K92" s="64">
        <f>3.6618 * CHOOSE(CONTROL!$C$22, $C$13, 100%, $E$13)</f>
        <v>3.6617999999999999</v>
      </c>
      <c r="L92" s="4"/>
      <c r="M92" s="4"/>
      <c r="N92" s="4"/>
    </row>
    <row r="93" spans="1:14" ht="15">
      <c r="A93" s="13">
        <v>44470</v>
      </c>
      <c r="B93" s="63">
        <f>3.1326 * CHOOSE(CONTROL!$C$22, $C$13, 100%, $E$13)</f>
        <v>3.1326000000000001</v>
      </c>
      <c r="C93" s="63">
        <f>3.1326 * CHOOSE(CONTROL!$C$22, $C$13, 100%, $E$13)</f>
        <v>3.1326000000000001</v>
      </c>
      <c r="D93" s="63">
        <f>3.1499 * CHOOSE(CONTROL!$C$22, $C$13, 100%, $E$13)</f>
        <v>3.1499000000000001</v>
      </c>
      <c r="E93" s="64">
        <f>3.6625 * CHOOSE(CONTROL!$C$22, $C$13, 100%, $E$13)</f>
        <v>3.6625000000000001</v>
      </c>
      <c r="F93" s="64">
        <f>3.6625 * CHOOSE(CONTROL!$C$22, $C$13, 100%, $E$13)</f>
        <v>3.6625000000000001</v>
      </c>
      <c r="G93" s="64">
        <f>3.6626 * CHOOSE(CONTROL!$C$22, $C$13, 100%, $E$13)</f>
        <v>3.6625999999999999</v>
      </c>
      <c r="H93" s="64">
        <f>6.616* CHOOSE(CONTROL!$C$22, $C$13, 100%, $E$13)</f>
        <v>6.6159999999999997</v>
      </c>
      <c r="I93" s="64">
        <f>6.6162 * CHOOSE(CONTROL!$C$22, $C$13, 100%, $E$13)</f>
        <v>6.6162000000000001</v>
      </c>
      <c r="J93" s="64">
        <f>3.6625 * CHOOSE(CONTROL!$C$22, $C$13, 100%, $E$13)</f>
        <v>3.6625000000000001</v>
      </c>
      <c r="K93" s="64">
        <f>3.6626 * CHOOSE(CONTROL!$C$22, $C$13, 100%, $E$13)</f>
        <v>3.6625999999999999</v>
      </c>
      <c r="L93" s="4"/>
      <c r="M93" s="4"/>
      <c r="N93" s="4"/>
    </row>
    <row r="94" spans="1:14" ht="15">
      <c r="A94" s="13">
        <v>44501</v>
      </c>
      <c r="B94" s="63">
        <f>3.1356 * CHOOSE(CONTROL!$C$22, $C$13, 100%, $E$13)</f>
        <v>3.1356000000000002</v>
      </c>
      <c r="C94" s="63">
        <f>3.1356 * CHOOSE(CONTROL!$C$22, $C$13, 100%, $E$13)</f>
        <v>3.1356000000000002</v>
      </c>
      <c r="D94" s="63">
        <f>3.153 * CHOOSE(CONTROL!$C$22, $C$13, 100%, $E$13)</f>
        <v>3.153</v>
      </c>
      <c r="E94" s="64">
        <f>3.6727 * CHOOSE(CONTROL!$C$22, $C$13, 100%, $E$13)</f>
        <v>3.6726999999999999</v>
      </c>
      <c r="F94" s="64">
        <f>3.6727 * CHOOSE(CONTROL!$C$22, $C$13, 100%, $E$13)</f>
        <v>3.6726999999999999</v>
      </c>
      <c r="G94" s="64">
        <f>3.6728 * CHOOSE(CONTROL!$C$22, $C$13, 100%, $E$13)</f>
        <v>3.6728000000000001</v>
      </c>
      <c r="H94" s="64">
        <f>6.6298* CHOOSE(CONTROL!$C$22, $C$13, 100%, $E$13)</f>
        <v>6.6298000000000004</v>
      </c>
      <c r="I94" s="64">
        <f>6.63 * CHOOSE(CONTROL!$C$22, $C$13, 100%, $E$13)</f>
        <v>6.63</v>
      </c>
      <c r="J94" s="64">
        <f>3.6727 * CHOOSE(CONTROL!$C$22, $C$13, 100%, $E$13)</f>
        <v>3.6726999999999999</v>
      </c>
      <c r="K94" s="64">
        <f>3.6728 * CHOOSE(CONTROL!$C$22, $C$13, 100%, $E$13)</f>
        <v>3.6728000000000001</v>
      </c>
      <c r="L94" s="4"/>
      <c r="M94" s="4"/>
      <c r="N94" s="4"/>
    </row>
    <row r="95" spans="1:14" ht="15">
      <c r="A95" s="13">
        <v>44531</v>
      </c>
      <c r="B95" s="63">
        <f>3.1356 * CHOOSE(CONTROL!$C$22, $C$13, 100%, $E$13)</f>
        <v>3.1356000000000002</v>
      </c>
      <c r="C95" s="63">
        <f>3.1356 * CHOOSE(CONTROL!$C$22, $C$13, 100%, $E$13)</f>
        <v>3.1356000000000002</v>
      </c>
      <c r="D95" s="63">
        <f>3.153 * CHOOSE(CONTROL!$C$22, $C$13, 100%, $E$13)</f>
        <v>3.153</v>
      </c>
      <c r="E95" s="64">
        <f>3.6524 * CHOOSE(CONTROL!$C$22, $C$13, 100%, $E$13)</f>
        <v>3.6524000000000001</v>
      </c>
      <c r="F95" s="64">
        <f>3.6524 * CHOOSE(CONTROL!$C$22, $C$13, 100%, $E$13)</f>
        <v>3.6524000000000001</v>
      </c>
      <c r="G95" s="64">
        <f>3.6526 * CHOOSE(CONTROL!$C$22, $C$13, 100%, $E$13)</f>
        <v>3.6526000000000001</v>
      </c>
      <c r="H95" s="64">
        <f>6.6436* CHOOSE(CONTROL!$C$22, $C$13, 100%, $E$13)</f>
        <v>6.6436000000000002</v>
      </c>
      <c r="I95" s="64">
        <f>6.6438 * CHOOSE(CONTROL!$C$22, $C$13, 100%, $E$13)</f>
        <v>6.6437999999999997</v>
      </c>
      <c r="J95" s="64">
        <f>3.6524 * CHOOSE(CONTROL!$C$22, $C$13, 100%, $E$13)</f>
        <v>3.6524000000000001</v>
      </c>
      <c r="K95" s="64">
        <f>3.6526 * CHOOSE(CONTROL!$C$22, $C$13, 100%, $E$13)</f>
        <v>3.6526000000000001</v>
      </c>
      <c r="L95" s="4"/>
      <c r="M95" s="4"/>
      <c r="N95" s="4"/>
    </row>
    <row r="96" spans="1:14" ht="15">
      <c r="A96" s="13">
        <v>44562</v>
      </c>
      <c r="B96" s="63">
        <f>3.1653 * CHOOSE(CONTROL!$C$22, $C$13, 100%, $E$13)</f>
        <v>3.1652999999999998</v>
      </c>
      <c r="C96" s="63">
        <f>3.1653 * CHOOSE(CONTROL!$C$22, $C$13, 100%, $E$13)</f>
        <v>3.1652999999999998</v>
      </c>
      <c r="D96" s="63">
        <f>3.1827 * CHOOSE(CONTROL!$C$22, $C$13, 100%, $E$13)</f>
        <v>3.1827000000000001</v>
      </c>
      <c r="E96" s="64">
        <f>3.7076 * CHOOSE(CONTROL!$C$22, $C$13, 100%, $E$13)</f>
        <v>3.7075999999999998</v>
      </c>
      <c r="F96" s="64">
        <f>3.7076 * CHOOSE(CONTROL!$C$22, $C$13, 100%, $E$13)</f>
        <v>3.7075999999999998</v>
      </c>
      <c r="G96" s="64">
        <f>3.7078 * CHOOSE(CONTROL!$C$22, $C$13, 100%, $E$13)</f>
        <v>3.7078000000000002</v>
      </c>
      <c r="H96" s="64">
        <f>6.6575* CHOOSE(CONTROL!$C$22, $C$13, 100%, $E$13)</f>
        <v>6.6574999999999998</v>
      </c>
      <c r="I96" s="64">
        <f>6.6577 * CHOOSE(CONTROL!$C$22, $C$13, 100%, $E$13)</f>
        <v>6.6577000000000002</v>
      </c>
      <c r="J96" s="64">
        <f>3.7076 * CHOOSE(CONTROL!$C$22, $C$13, 100%, $E$13)</f>
        <v>3.7075999999999998</v>
      </c>
      <c r="K96" s="64">
        <f>3.7078 * CHOOSE(CONTROL!$C$22, $C$13, 100%, $E$13)</f>
        <v>3.7078000000000002</v>
      </c>
      <c r="L96" s="4"/>
      <c r="M96" s="4"/>
      <c r="N96" s="4"/>
    </row>
    <row r="97" spans="1:14" ht="15">
      <c r="A97" s="13">
        <v>44593</v>
      </c>
      <c r="B97" s="63">
        <f>3.1623 * CHOOSE(CONTROL!$C$22, $C$13, 100%, $E$13)</f>
        <v>3.1623000000000001</v>
      </c>
      <c r="C97" s="63">
        <f>3.1623 * CHOOSE(CONTROL!$C$22, $C$13, 100%, $E$13)</f>
        <v>3.1623000000000001</v>
      </c>
      <c r="D97" s="63">
        <f>3.1796 * CHOOSE(CONTROL!$C$22, $C$13, 100%, $E$13)</f>
        <v>3.1796000000000002</v>
      </c>
      <c r="E97" s="64">
        <f>3.6651 * CHOOSE(CONTROL!$C$22, $C$13, 100%, $E$13)</f>
        <v>3.6650999999999998</v>
      </c>
      <c r="F97" s="64">
        <f>3.6651 * CHOOSE(CONTROL!$C$22, $C$13, 100%, $E$13)</f>
        <v>3.6650999999999998</v>
      </c>
      <c r="G97" s="64">
        <f>3.6653 * CHOOSE(CONTROL!$C$22, $C$13, 100%, $E$13)</f>
        <v>3.6652999999999998</v>
      </c>
      <c r="H97" s="64">
        <f>6.6713* CHOOSE(CONTROL!$C$22, $C$13, 100%, $E$13)</f>
        <v>6.6712999999999996</v>
      </c>
      <c r="I97" s="64">
        <f>6.6715 * CHOOSE(CONTROL!$C$22, $C$13, 100%, $E$13)</f>
        <v>6.6715</v>
      </c>
      <c r="J97" s="64">
        <f>3.6651 * CHOOSE(CONTROL!$C$22, $C$13, 100%, $E$13)</f>
        <v>3.6650999999999998</v>
      </c>
      <c r="K97" s="64">
        <f>3.6653 * CHOOSE(CONTROL!$C$22, $C$13, 100%, $E$13)</f>
        <v>3.6652999999999998</v>
      </c>
      <c r="L97" s="4"/>
      <c r="M97" s="4"/>
      <c r="N97" s="4"/>
    </row>
    <row r="98" spans="1:14" ht="15">
      <c r="A98" s="13">
        <v>44621</v>
      </c>
      <c r="B98" s="63">
        <f>3.1593 * CHOOSE(CONTROL!$C$22, $C$13, 100%, $E$13)</f>
        <v>3.1593</v>
      </c>
      <c r="C98" s="63">
        <f>3.1593 * CHOOSE(CONTROL!$C$22, $C$13, 100%, $E$13)</f>
        <v>3.1593</v>
      </c>
      <c r="D98" s="63">
        <f>3.1766 * CHOOSE(CONTROL!$C$22, $C$13, 100%, $E$13)</f>
        <v>3.1766000000000001</v>
      </c>
      <c r="E98" s="64">
        <f>3.6948 * CHOOSE(CONTROL!$C$22, $C$13, 100%, $E$13)</f>
        <v>3.6947999999999999</v>
      </c>
      <c r="F98" s="64">
        <f>3.6948 * CHOOSE(CONTROL!$C$22, $C$13, 100%, $E$13)</f>
        <v>3.6947999999999999</v>
      </c>
      <c r="G98" s="64">
        <f>3.695 * CHOOSE(CONTROL!$C$22, $C$13, 100%, $E$13)</f>
        <v>3.6949999999999998</v>
      </c>
      <c r="H98" s="64">
        <f>6.6852* CHOOSE(CONTROL!$C$22, $C$13, 100%, $E$13)</f>
        <v>6.6852</v>
      </c>
      <c r="I98" s="64">
        <f>6.6854 * CHOOSE(CONTROL!$C$22, $C$13, 100%, $E$13)</f>
        <v>6.6853999999999996</v>
      </c>
      <c r="J98" s="64">
        <f>3.6948 * CHOOSE(CONTROL!$C$22, $C$13, 100%, $E$13)</f>
        <v>3.6947999999999999</v>
      </c>
      <c r="K98" s="64">
        <f>3.695 * CHOOSE(CONTROL!$C$22, $C$13, 100%, $E$13)</f>
        <v>3.6949999999999998</v>
      </c>
      <c r="L98" s="4"/>
      <c r="M98" s="4"/>
      <c r="N98" s="4"/>
    </row>
    <row r="99" spans="1:14" ht="15">
      <c r="A99" s="13">
        <v>44652</v>
      </c>
      <c r="B99" s="63">
        <f>3.1561 * CHOOSE(CONTROL!$C$22, $C$13, 100%, $E$13)</f>
        <v>3.1560999999999999</v>
      </c>
      <c r="C99" s="63">
        <f>3.1561 * CHOOSE(CONTROL!$C$22, $C$13, 100%, $E$13)</f>
        <v>3.1560999999999999</v>
      </c>
      <c r="D99" s="63">
        <f>3.1735 * CHOOSE(CONTROL!$C$22, $C$13, 100%, $E$13)</f>
        <v>3.1735000000000002</v>
      </c>
      <c r="E99" s="64">
        <f>3.7248 * CHOOSE(CONTROL!$C$22, $C$13, 100%, $E$13)</f>
        <v>3.7248000000000001</v>
      </c>
      <c r="F99" s="64">
        <f>3.7248 * CHOOSE(CONTROL!$C$22, $C$13, 100%, $E$13)</f>
        <v>3.7248000000000001</v>
      </c>
      <c r="G99" s="64">
        <f>3.7249 * CHOOSE(CONTROL!$C$22, $C$13, 100%, $E$13)</f>
        <v>3.7248999999999999</v>
      </c>
      <c r="H99" s="64">
        <f>6.6992* CHOOSE(CONTROL!$C$22, $C$13, 100%, $E$13)</f>
        <v>6.6992000000000003</v>
      </c>
      <c r="I99" s="64">
        <f>6.6994 * CHOOSE(CONTROL!$C$22, $C$13, 100%, $E$13)</f>
        <v>6.6993999999999998</v>
      </c>
      <c r="J99" s="64">
        <f>3.7248 * CHOOSE(CONTROL!$C$22, $C$13, 100%, $E$13)</f>
        <v>3.7248000000000001</v>
      </c>
      <c r="K99" s="64">
        <f>3.7249 * CHOOSE(CONTROL!$C$22, $C$13, 100%, $E$13)</f>
        <v>3.7248999999999999</v>
      </c>
      <c r="L99" s="4"/>
      <c r="M99" s="4"/>
      <c r="N99" s="4"/>
    </row>
    <row r="100" spans="1:14" ht="15">
      <c r="A100" s="13">
        <v>44682</v>
      </c>
      <c r="B100" s="63">
        <f>3.1561 * CHOOSE(CONTROL!$C$22, $C$13, 100%, $E$13)</f>
        <v>3.1560999999999999</v>
      </c>
      <c r="C100" s="63">
        <f>3.1561 * CHOOSE(CONTROL!$C$22, $C$13, 100%, $E$13)</f>
        <v>3.1560999999999999</v>
      </c>
      <c r="D100" s="63">
        <f>3.1908 * CHOOSE(CONTROL!$C$22, $C$13, 100%, $E$13)</f>
        <v>3.1907999999999999</v>
      </c>
      <c r="E100" s="64">
        <f>3.7376 * CHOOSE(CONTROL!$C$22, $C$13, 100%, $E$13)</f>
        <v>3.7376</v>
      </c>
      <c r="F100" s="64">
        <f>3.7376 * CHOOSE(CONTROL!$C$22, $C$13, 100%, $E$13)</f>
        <v>3.7376</v>
      </c>
      <c r="G100" s="64">
        <f>3.7397 * CHOOSE(CONTROL!$C$22, $C$13, 100%, $E$13)</f>
        <v>3.7397</v>
      </c>
      <c r="H100" s="64">
        <f>6.7131* CHOOSE(CONTROL!$C$22, $C$13, 100%, $E$13)</f>
        <v>6.7130999999999998</v>
      </c>
      <c r="I100" s="64">
        <f>6.7153 * CHOOSE(CONTROL!$C$22, $C$13, 100%, $E$13)</f>
        <v>6.7153</v>
      </c>
      <c r="J100" s="64">
        <f>3.7376 * CHOOSE(CONTROL!$C$22, $C$13, 100%, $E$13)</f>
        <v>3.7376</v>
      </c>
      <c r="K100" s="64">
        <f>3.7397 * CHOOSE(CONTROL!$C$22, $C$13, 100%, $E$13)</f>
        <v>3.7397</v>
      </c>
      <c r="L100" s="4"/>
      <c r="M100" s="4"/>
      <c r="N100" s="4"/>
    </row>
    <row r="101" spans="1:14" ht="15">
      <c r="A101" s="13">
        <v>44713</v>
      </c>
      <c r="B101" s="63">
        <f>3.1622 * CHOOSE(CONTROL!$C$22, $C$13, 100%, $E$13)</f>
        <v>3.1621999999999999</v>
      </c>
      <c r="C101" s="63">
        <f>3.1622 * CHOOSE(CONTROL!$C$22, $C$13, 100%, $E$13)</f>
        <v>3.1621999999999999</v>
      </c>
      <c r="D101" s="63">
        <f>3.1969 * CHOOSE(CONTROL!$C$22, $C$13, 100%, $E$13)</f>
        <v>3.1968999999999999</v>
      </c>
      <c r="E101" s="64">
        <f>3.729 * CHOOSE(CONTROL!$C$22, $C$13, 100%, $E$13)</f>
        <v>3.7290000000000001</v>
      </c>
      <c r="F101" s="64">
        <f>3.729 * CHOOSE(CONTROL!$C$22, $C$13, 100%, $E$13)</f>
        <v>3.7290000000000001</v>
      </c>
      <c r="G101" s="64">
        <f>3.7311 * CHOOSE(CONTROL!$C$22, $C$13, 100%, $E$13)</f>
        <v>3.7311000000000001</v>
      </c>
      <c r="H101" s="64">
        <f>6.7271* CHOOSE(CONTROL!$C$22, $C$13, 100%, $E$13)</f>
        <v>6.7271000000000001</v>
      </c>
      <c r="I101" s="64">
        <f>6.7293 * CHOOSE(CONTROL!$C$22, $C$13, 100%, $E$13)</f>
        <v>6.7293000000000003</v>
      </c>
      <c r="J101" s="64">
        <f>3.729 * CHOOSE(CONTROL!$C$22, $C$13, 100%, $E$13)</f>
        <v>3.7290000000000001</v>
      </c>
      <c r="K101" s="64">
        <f>3.7311 * CHOOSE(CONTROL!$C$22, $C$13, 100%, $E$13)</f>
        <v>3.7311000000000001</v>
      </c>
      <c r="L101" s="4"/>
      <c r="M101" s="4"/>
      <c r="N101" s="4"/>
    </row>
    <row r="102" spans="1:14" ht="15">
      <c r="A102" s="13">
        <v>44743</v>
      </c>
      <c r="B102" s="63">
        <f>3.2179 * CHOOSE(CONTROL!$C$22, $C$13, 100%, $E$13)</f>
        <v>3.2179000000000002</v>
      </c>
      <c r="C102" s="63">
        <f>3.2179 * CHOOSE(CONTROL!$C$22, $C$13, 100%, $E$13)</f>
        <v>3.2179000000000002</v>
      </c>
      <c r="D102" s="63">
        <f>3.2525 * CHOOSE(CONTROL!$C$22, $C$13, 100%, $E$13)</f>
        <v>3.2524999999999999</v>
      </c>
      <c r="E102" s="64">
        <f>3.796 * CHOOSE(CONTROL!$C$22, $C$13, 100%, $E$13)</f>
        <v>3.7959999999999998</v>
      </c>
      <c r="F102" s="64">
        <f>3.796 * CHOOSE(CONTROL!$C$22, $C$13, 100%, $E$13)</f>
        <v>3.7959999999999998</v>
      </c>
      <c r="G102" s="64">
        <f>3.7982 * CHOOSE(CONTROL!$C$22, $C$13, 100%, $E$13)</f>
        <v>3.7982</v>
      </c>
      <c r="H102" s="64">
        <f>6.7411* CHOOSE(CONTROL!$C$22, $C$13, 100%, $E$13)</f>
        <v>6.7411000000000003</v>
      </c>
      <c r="I102" s="64">
        <f>6.7433 * CHOOSE(CONTROL!$C$22, $C$13, 100%, $E$13)</f>
        <v>6.7432999999999996</v>
      </c>
      <c r="J102" s="64">
        <f>3.796 * CHOOSE(CONTROL!$C$22, $C$13, 100%, $E$13)</f>
        <v>3.7959999999999998</v>
      </c>
      <c r="K102" s="64">
        <f>3.7982 * CHOOSE(CONTROL!$C$22, $C$13, 100%, $E$13)</f>
        <v>3.7982</v>
      </c>
      <c r="L102" s="4"/>
      <c r="M102" s="4"/>
      <c r="N102" s="4"/>
    </row>
    <row r="103" spans="1:14" ht="15">
      <c r="A103" s="13">
        <v>44774</v>
      </c>
      <c r="B103" s="63">
        <f>3.2245 * CHOOSE(CONTROL!$C$22, $C$13, 100%, $E$13)</f>
        <v>3.2244999999999999</v>
      </c>
      <c r="C103" s="63">
        <f>3.2245 * CHOOSE(CONTROL!$C$22, $C$13, 100%, $E$13)</f>
        <v>3.2244999999999999</v>
      </c>
      <c r="D103" s="63">
        <f>3.2592 * CHOOSE(CONTROL!$C$22, $C$13, 100%, $E$13)</f>
        <v>3.2591999999999999</v>
      </c>
      <c r="E103" s="64">
        <f>3.7622 * CHOOSE(CONTROL!$C$22, $C$13, 100%, $E$13)</f>
        <v>3.7622</v>
      </c>
      <c r="F103" s="64">
        <f>3.7622 * CHOOSE(CONTROL!$C$22, $C$13, 100%, $E$13)</f>
        <v>3.7622</v>
      </c>
      <c r="G103" s="64">
        <f>3.7644 * CHOOSE(CONTROL!$C$22, $C$13, 100%, $E$13)</f>
        <v>3.7644000000000002</v>
      </c>
      <c r="H103" s="64">
        <f>6.7552* CHOOSE(CONTROL!$C$22, $C$13, 100%, $E$13)</f>
        <v>6.7552000000000003</v>
      </c>
      <c r="I103" s="64">
        <f>6.7573 * CHOOSE(CONTROL!$C$22, $C$13, 100%, $E$13)</f>
        <v>6.7572999999999999</v>
      </c>
      <c r="J103" s="64">
        <f>3.7622 * CHOOSE(CONTROL!$C$22, $C$13, 100%, $E$13)</f>
        <v>3.7622</v>
      </c>
      <c r="K103" s="64">
        <f>3.7644 * CHOOSE(CONTROL!$C$22, $C$13, 100%, $E$13)</f>
        <v>3.7644000000000002</v>
      </c>
      <c r="L103" s="4"/>
      <c r="M103" s="4"/>
      <c r="N103" s="4"/>
    </row>
    <row r="104" spans="1:14" ht="15">
      <c r="A104" s="13">
        <v>44805</v>
      </c>
      <c r="B104" s="63">
        <f>3.2215 * CHOOSE(CONTROL!$C$22, $C$13, 100%, $E$13)</f>
        <v>3.2214999999999998</v>
      </c>
      <c r="C104" s="63">
        <f>3.2215 * CHOOSE(CONTROL!$C$22, $C$13, 100%, $E$13)</f>
        <v>3.2214999999999998</v>
      </c>
      <c r="D104" s="63">
        <f>3.2562 * CHOOSE(CONTROL!$C$22, $C$13, 100%, $E$13)</f>
        <v>3.2562000000000002</v>
      </c>
      <c r="E104" s="64">
        <f>3.7558 * CHOOSE(CONTROL!$C$22, $C$13, 100%, $E$13)</f>
        <v>3.7557999999999998</v>
      </c>
      <c r="F104" s="64">
        <f>3.7558 * CHOOSE(CONTROL!$C$22, $C$13, 100%, $E$13)</f>
        <v>3.7557999999999998</v>
      </c>
      <c r="G104" s="64">
        <f>3.758 * CHOOSE(CONTROL!$C$22, $C$13, 100%, $E$13)</f>
        <v>3.758</v>
      </c>
      <c r="H104" s="64">
        <f>6.7692* CHOOSE(CONTROL!$C$22, $C$13, 100%, $E$13)</f>
        <v>6.7691999999999997</v>
      </c>
      <c r="I104" s="64">
        <f>6.7714 * CHOOSE(CONTROL!$C$22, $C$13, 100%, $E$13)</f>
        <v>6.7713999999999999</v>
      </c>
      <c r="J104" s="64">
        <f>3.7558 * CHOOSE(CONTROL!$C$22, $C$13, 100%, $E$13)</f>
        <v>3.7557999999999998</v>
      </c>
      <c r="K104" s="64">
        <f>3.758 * CHOOSE(CONTROL!$C$22, $C$13, 100%, $E$13)</f>
        <v>3.758</v>
      </c>
      <c r="L104" s="4"/>
      <c r="M104" s="4"/>
      <c r="N104" s="4"/>
    </row>
    <row r="105" spans="1:14" ht="15">
      <c r="A105" s="13">
        <v>44835</v>
      </c>
      <c r="B105" s="63">
        <f>3.2138 * CHOOSE(CONTROL!$C$22, $C$13, 100%, $E$13)</f>
        <v>3.2138</v>
      </c>
      <c r="C105" s="63">
        <f>3.2138 * CHOOSE(CONTROL!$C$22, $C$13, 100%, $E$13)</f>
        <v>3.2138</v>
      </c>
      <c r="D105" s="63">
        <f>3.2311 * CHOOSE(CONTROL!$C$22, $C$13, 100%, $E$13)</f>
        <v>3.2311000000000001</v>
      </c>
      <c r="E105" s="64">
        <f>3.7595 * CHOOSE(CONTROL!$C$22, $C$13, 100%, $E$13)</f>
        <v>3.7595000000000001</v>
      </c>
      <c r="F105" s="64">
        <f>3.7595 * CHOOSE(CONTROL!$C$22, $C$13, 100%, $E$13)</f>
        <v>3.7595000000000001</v>
      </c>
      <c r="G105" s="64">
        <f>3.7597 * CHOOSE(CONTROL!$C$22, $C$13, 100%, $E$13)</f>
        <v>3.7597</v>
      </c>
      <c r="H105" s="64">
        <f>6.7834* CHOOSE(CONTROL!$C$22, $C$13, 100%, $E$13)</f>
        <v>6.7834000000000003</v>
      </c>
      <c r="I105" s="64">
        <f>6.7835 * CHOOSE(CONTROL!$C$22, $C$13, 100%, $E$13)</f>
        <v>6.7835000000000001</v>
      </c>
      <c r="J105" s="64">
        <f>3.7595 * CHOOSE(CONTROL!$C$22, $C$13, 100%, $E$13)</f>
        <v>3.7595000000000001</v>
      </c>
      <c r="K105" s="64">
        <f>3.7597 * CHOOSE(CONTROL!$C$22, $C$13, 100%, $E$13)</f>
        <v>3.7597</v>
      </c>
      <c r="L105" s="4"/>
      <c r="M105" s="4"/>
      <c r="N105" s="4"/>
    </row>
    <row r="106" spans="1:14" ht="15">
      <c r="A106" s="13">
        <v>44866</v>
      </c>
      <c r="B106" s="63">
        <f>3.2169 * CHOOSE(CONTROL!$C$22, $C$13, 100%, $E$13)</f>
        <v>3.2168999999999999</v>
      </c>
      <c r="C106" s="63">
        <f>3.2169 * CHOOSE(CONTROL!$C$22, $C$13, 100%, $E$13)</f>
        <v>3.2168999999999999</v>
      </c>
      <c r="D106" s="63">
        <f>3.2342 * CHOOSE(CONTROL!$C$22, $C$13, 100%, $E$13)</f>
        <v>3.2342</v>
      </c>
      <c r="E106" s="64">
        <f>3.7702 * CHOOSE(CONTROL!$C$22, $C$13, 100%, $E$13)</f>
        <v>3.7702</v>
      </c>
      <c r="F106" s="64">
        <f>3.7702 * CHOOSE(CONTROL!$C$22, $C$13, 100%, $E$13)</f>
        <v>3.7702</v>
      </c>
      <c r="G106" s="64">
        <f>3.7703 * CHOOSE(CONTROL!$C$22, $C$13, 100%, $E$13)</f>
        <v>3.7703000000000002</v>
      </c>
      <c r="H106" s="64">
        <f>6.7975* CHOOSE(CONTROL!$C$22, $C$13, 100%, $E$13)</f>
        <v>6.7975000000000003</v>
      </c>
      <c r="I106" s="64">
        <f>6.7977 * CHOOSE(CONTROL!$C$22, $C$13, 100%, $E$13)</f>
        <v>6.7976999999999999</v>
      </c>
      <c r="J106" s="64">
        <f>3.7702 * CHOOSE(CONTROL!$C$22, $C$13, 100%, $E$13)</f>
        <v>3.7702</v>
      </c>
      <c r="K106" s="64">
        <f>3.7703 * CHOOSE(CONTROL!$C$22, $C$13, 100%, $E$13)</f>
        <v>3.7703000000000002</v>
      </c>
      <c r="L106" s="4"/>
      <c r="M106" s="4"/>
      <c r="N106" s="4"/>
    </row>
    <row r="107" spans="1:14" ht="15">
      <c r="A107" s="13">
        <v>44896</v>
      </c>
      <c r="B107" s="63">
        <f>3.2169 * CHOOSE(CONTROL!$C$22, $C$13, 100%, $E$13)</f>
        <v>3.2168999999999999</v>
      </c>
      <c r="C107" s="63">
        <f>3.2169 * CHOOSE(CONTROL!$C$22, $C$13, 100%, $E$13)</f>
        <v>3.2168999999999999</v>
      </c>
      <c r="D107" s="63">
        <f>3.2342 * CHOOSE(CONTROL!$C$22, $C$13, 100%, $E$13)</f>
        <v>3.2342</v>
      </c>
      <c r="E107" s="64">
        <f>3.7488 * CHOOSE(CONTROL!$C$22, $C$13, 100%, $E$13)</f>
        <v>3.7488000000000001</v>
      </c>
      <c r="F107" s="64">
        <f>3.7488 * CHOOSE(CONTROL!$C$22, $C$13, 100%, $E$13)</f>
        <v>3.7488000000000001</v>
      </c>
      <c r="G107" s="64">
        <f>3.749 * CHOOSE(CONTROL!$C$22, $C$13, 100%, $E$13)</f>
        <v>3.7490000000000001</v>
      </c>
      <c r="H107" s="64">
        <f>6.8116* CHOOSE(CONTROL!$C$22, $C$13, 100%, $E$13)</f>
        <v>6.8116000000000003</v>
      </c>
      <c r="I107" s="64">
        <f>6.8118 * CHOOSE(CONTROL!$C$22, $C$13, 100%, $E$13)</f>
        <v>6.8117999999999999</v>
      </c>
      <c r="J107" s="64">
        <f>3.7488 * CHOOSE(CONTROL!$C$22, $C$13, 100%, $E$13)</f>
        <v>3.7488000000000001</v>
      </c>
      <c r="K107" s="64">
        <f>3.749 * CHOOSE(CONTROL!$C$22, $C$13, 100%, $E$13)</f>
        <v>3.7490000000000001</v>
      </c>
      <c r="L107" s="4"/>
      <c r="M107" s="4"/>
      <c r="N107" s="4"/>
    </row>
    <row r="108" spans="1:14" ht="15">
      <c r="A108" s="13">
        <v>44927</v>
      </c>
      <c r="B108" s="63">
        <f>3.2478 * CHOOSE(CONTROL!$C$22, $C$13, 100%, $E$13)</f>
        <v>3.2477999999999998</v>
      </c>
      <c r="C108" s="63">
        <f>3.2478 * CHOOSE(CONTROL!$C$22, $C$13, 100%, $E$13)</f>
        <v>3.2477999999999998</v>
      </c>
      <c r="D108" s="63">
        <f>3.2652 * CHOOSE(CONTROL!$C$22, $C$13, 100%, $E$13)</f>
        <v>3.2652000000000001</v>
      </c>
      <c r="E108" s="64">
        <f>3.7975 * CHOOSE(CONTROL!$C$22, $C$13, 100%, $E$13)</f>
        <v>3.7974999999999999</v>
      </c>
      <c r="F108" s="64">
        <f>3.7975 * CHOOSE(CONTROL!$C$22, $C$13, 100%, $E$13)</f>
        <v>3.7974999999999999</v>
      </c>
      <c r="G108" s="64">
        <f>3.7977 * CHOOSE(CONTROL!$C$22, $C$13, 100%, $E$13)</f>
        <v>3.7976999999999999</v>
      </c>
      <c r="H108" s="64">
        <f>6.8258* CHOOSE(CONTROL!$C$22, $C$13, 100%, $E$13)</f>
        <v>6.8258000000000001</v>
      </c>
      <c r="I108" s="64">
        <f>6.826 * CHOOSE(CONTROL!$C$22, $C$13, 100%, $E$13)</f>
        <v>6.8259999999999996</v>
      </c>
      <c r="J108" s="64">
        <f>3.7975 * CHOOSE(CONTROL!$C$22, $C$13, 100%, $E$13)</f>
        <v>3.7974999999999999</v>
      </c>
      <c r="K108" s="64">
        <f>3.7977 * CHOOSE(CONTROL!$C$22, $C$13, 100%, $E$13)</f>
        <v>3.7976999999999999</v>
      </c>
      <c r="L108" s="4"/>
      <c r="M108" s="4"/>
      <c r="N108" s="4"/>
    </row>
    <row r="109" spans="1:14" ht="15">
      <c r="A109" s="13">
        <v>44958</v>
      </c>
      <c r="B109" s="63">
        <f>3.2448 * CHOOSE(CONTROL!$C$22, $C$13, 100%, $E$13)</f>
        <v>3.2448000000000001</v>
      </c>
      <c r="C109" s="63">
        <f>3.2448 * CHOOSE(CONTROL!$C$22, $C$13, 100%, $E$13)</f>
        <v>3.2448000000000001</v>
      </c>
      <c r="D109" s="63">
        <f>3.2621 * CHOOSE(CONTROL!$C$22, $C$13, 100%, $E$13)</f>
        <v>3.2621000000000002</v>
      </c>
      <c r="E109" s="64">
        <f>3.7528 * CHOOSE(CONTROL!$C$22, $C$13, 100%, $E$13)</f>
        <v>3.7528000000000001</v>
      </c>
      <c r="F109" s="64">
        <f>3.7528 * CHOOSE(CONTROL!$C$22, $C$13, 100%, $E$13)</f>
        <v>3.7528000000000001</v>
      </c>
      <c r="G109" s="64">
        <f>3.753 * CHOOSE(CONTROL!$C$22, $C$13, 100%, $E$13)</f>
        <v>3.7530000000000001</v>
      </c>
      <c r="H109" s="64">
        <f>6.8401* CHOOSE(CONTROL!$C$22, $C$13, 100%, $E$13)</f>
        <v>6.8400999999999996</v>
      </c>
      <c r="I109" s="64">
        <f>6.8402 * CHOOSE(CONTROL!$C$22, $C$13, 100%, $E$13)</f>
        <v>6.8402000000000003</v>
      </c>
      <c r="J109" s="64">
        <f>3.7528 * CHOOSE(CONTROL!$C$22, $C$13, 100%, $E$13)</f>
        <v>3.7528000000000001</v>
      </c>
      <c r="K109" s="64">
        <f>3.753 * CHOOSE(CONTROL!$C$22, $C$13, 100%, $E$13)</f>
        <v>3.7530000000000001</v>
      </c>
      <c r="L109" s="4"/>
      <c r="M109" s="4"/>
      <c r="N109" s="4"/>
    </row>
    <row r="110" spans="1:14" ht="15">
      <c r="A110" s="13">
        <v>44986</v>
      </c>
      <c r="B110" s="63">
        <f>3.2417 * CHOOSE(CONTROL!$C$22, $C$13, 100%, $E$13)</f>
        <v>3.2416999999999998</v>
      </c>
      <c r="C110" s="63">
        <f>3.2417 * CHOOSE(CONTROL!$C$22, $C$13, 100%, $E$13)</f>
        <v>3.2416999999999998</v>
      </c>
      <c r="D110" s="63">
        <f>3.2591 * CHOOSE(CONTROL!$C$22, $C$13, 100%, $E$13)</f>
        <v>3.2591000000000001</v>
      </c>
      <c r="E110" s="64">
        <f>3.7843 * CHOOSE(CONTROL!$C$22, $C$13, 100%, $E$13)</f>
        <v>3.7843</v>
      </c>
      <c r="F110" s="64">
        <f>3.7843 * CHOOSE(CONTROL!$C$22, $C$13, 100%, $E$13)</f>
        <v>3.7843</v>
      </c>
      <c r="G110" s="64">
        <f>3.7844 * CHOOSE(CONTROL!$C$22, $C$13, 100%, $E$13)</f>
        <v>3.7844000000000002</v>
      </c>
      <c r="H110" s="64">
        <f>6.8543* CHOOSE(CONTROL!$C$22, $C$13, 100%, $E$13)</f>
        <v>6.8543000000000003</v>
      </c>
      <c r="I110" s="64">
        <f>6.8545 * CHOOSE(CONTROL!$C$22, $C$13, 100%, $E$13)</f>
        <v>6.8544999999999998</v>
      </c>
      <c r="J110" s="64">
        <f>3.7843 * CHOOSE(CONTROL!$C$22, $C$13, 100%, $E$13)</f>
        <v>3.7843</v>
      </c>
      <c r="K110" s="64">
        <f>3.7844 * CHOOSE(CONTROL!$C$22, $C$13, 100%, $E$13)</f>
        <v>3.7844000000000002</v>
      </c>
      <c r="L110" s="4"/>
      <c r="M110" s="4"/>
      <c r="N110" s="4"/>
    </row>
    <row r="111" spans="1:14" ht="15">
      <c r="A111" s="13">
        <v>45017</v>
      </c>
      <c r="B111" s="63">
        <f>3.2387 * CHOOSE(CONTROL!$C$22, $C$13, 100%, $E$13)</f>
        <v>3.2387000000000001</v>
      </c>
      <c r="C111" s="63">
        <f>3.2387 * CHOOSE(CONTROL!$C$22, $C$13, 100%, $E$13)</f>
        <v>3.2387000000000001</v>
      </c>
      <c r="D111" s="63">
        <f>3.256 * CHOOSE(CONTROL!$C$22, $C$13, 100%, $E$13)</f>
        <v>3.2559999999999998</v>
      </c>
      <c r="E111" s="64">
        <f>3.816 * CHOOSE(CONTROL!$C$22, $C$13, 100%, $E$13)</f>
        <v>3.8159999999999998</v>
      </c>
      <c r="F111" s="64">
        <f>3.816 * CHOOSE(CONTROL!$C$22, $C$13, 100%, $E$13)</f>
        <v>3.8159999999999998</v>
      </c>
      <c r="G111" s="64">
        <f>3.8162 * CHOOSE(CONTROL!$C$22, $C$13, 100%, $E$13)</f>
        <v>3.8161999999999998</v>
      </c>
      <c r="H111" s="64">
        <f>6.8686* CHOOSE(CONTROL!$C$22, $C$13, 100%, $E$13)</f>
        <v>6.8685999999999998</v>
      </c>
      <c r="I111" s="64">
        <f>6.8688 * CHOOSE(CONTROL!$C$22, $C$13, 100%, $E$13)</f>
        <v>6.8688000000000002</v>
      </c>
      <c r="J111" s="64">
        <f>3.816 * CHOOSE(CONTROL!$C$22, $C$13, 100%, $E$13)</f>
        <v>3.8159999999999998</v>
      </c>
      <c r="K111" s="64">
        <f>3.8162 * CHOOSE(CONTROL!$C$22, $C$13, 100%, $E$13)</f>
        <v>3.8161999999999998</v>
      </c>
      <c r="L111" s="4"/>
      <c r="M111" s="4"/>
      <c r="N111" s="4"/>
    </row>
    <row r="112" spans="1:14" ht="15">
      <c r="A112" s="13">
        <v>45047</v>
      </c>
      <c r="B112" s="63">
        <f>3.2387 * CHOOSE(CONTROL!$C$22, $C$13, 100%, $E$13)</f>
        <v>3.2387000000000001</v>
      </c>
      <c r="C112" s="63">
        <f>3.2387 * CHOOSE(CONTROL!$C$22, $C$13, 100%, $E$13)</f>
        <v>3.2387000000000001</v>
      </c>
      <c r="D112" s="63">
        <f>3.2734 * CHOOSE(CONTROL!$C$22, $C$13, 100%, $E$13)</f>
        <v>3.2734000000000001</v>
      </c>
      <c r="E112" s="64">
        <f>3.8295 * CHOOSE(CONTROL!$C$22, $C$13, 100%, $E$13)</f>
        <v>3.8294999999999999</v>
      </c>
      <c r="F112" s="64">
        <f>3.8295 * CHOOSE(CONTROL!$C$22, $C$13, 100%, $E$13)</f>
        <v>3.8294999999999999</v>
      </c>
      <c r="G112" s="64">
        <f>3.8317 * CHOOSE(CONTROL!$C$22, $C$13, 100%, $E$13)</f>
        <v>3.8317000000000001</v>
      </c>
      <c r="H112" s="64">
        <f>6.8829* CHOOSE(CONTROL!$C$22, $C$13, 100%, $E$13)</f>
        <v>6.8829000000000002</v>
      </c>
      <c r="I112" s="64">
        <f>6.885 * CHOOSE(CONTROL!$C$22, $C$13, 100%, $E$13)</f>
        <v>6.8849999999999998</v>
      </c>
      <c r="J112" s="64">
        <f>3.8295 * CHOOSE(CONTROL!$C$22, $C$13, 100%, $E$13)</f>
        <v>3.8294999999999999</v>
      </c>
      <c r="K112" s="64">
        <f>3.8317 * CHOOSE(CONTROL!$C$22, $C$13, 100%, $E$13)</f>
        <v>3.8317000000000001</v>
      </c>
      <c r="L112" s="4"/>
      <c r="M112" s="4"/>
      <c r="N112" s="4"/>
    </row>
    <row r="113" spans="1:14" ht="15">
      <c r="A113" s="13">
        <v>45078</v>
      </c>
      <c r="B113" s="63">
        <f>3.2448 * CHOOSE(CONTROL!$C$22, $C$13, 100%, $E$13)</f>
        <v>3.2448000000000001</v>
      </c>
      <c r="C113" s="63">
        <f>3.2448 * CHOOSE(CONTROL!$C$22, $C$13, 100%, $E$13)</f>
        <v>3.2448000000000001</v>
      </c>
      <c r="D113" s="63">
        <f>3.2794 * CHOOSE(CONTROL!$C$22, $C$13, 100%, $E$13)</f>
        <v>3.2793999999999999</v>
      </c>
      <c r="E113" s="64">
        <f>3.8203 * CHOOSE(CONTROL!$C$22, $C$13, 100%, $E$13)</f>
        <v>3.8203</v>
      </c>
      <c r="F113" s="64">
        <f>3.8203 * CHOOSE(CONTROL!$C$22, $C$13, 100%, $E$13)</f>
        <v>3.8203</v>
      </c>
      <c r="G113" s="64">
        <f>3.8224 * CHOOSE(CONTROL!$C$22, $C$13, 100%, $E$13)</f>
        <v>3.8224</v>
      </c>
      <c r="H113" s="64">
        <f>6.8972* CHOOSE(CONTROL!$C$22, $C$13, 100%, $E$13)</f>
        <v>6.8971999999999998</v>
      </c>
      <c r="I113" s="64">
        <f>6.8994 * CHOOSE(CONTROL!$C$22, $C$13, 100%, $E$13)</f>
        <v>6.8994</v>
      </c>
      <c r="J113" s="64">
        <f>3.8203 * CHOOSE(CONTROL!$C$22, $C$13, 100%, $E$13)</f>
        <v>3.8203</v>
      </c>
      <c r="K113" s="64">
        <f>3.8224 * CHOOSE(CONTROL!$C$22, $C$13, 100%, $E$13)</f>
        <v>3.8224</v>
      </c>
      <c r="L113" s="4"/>
      <c r="M113" s="4"/>
      <c r="N113" s="4"/>
    </row>
    <row r="114" spans="1:14" ht="15">
      <c r="A114" s="13">
        <v>45108</v>
      </c>
      <c r="B114" s="63">
        <f>3.3031 * CHOOSE(CONTROL!$C$22, $C$13, 100%, $E$13)</f>
        <v>3.3031000000000001</v>
      </c>
      <c r="C114" s="63">
        <f>3.3031 * CHOOSE(CONTROL!$C$22, $C$13, 100%, $E$13)</f>
        <v>3.3031000000000001</v>
      </c>
      <c r="D114" s="63">
        <f>3.3377 * CHOOSE(CONTROL!$C$22, $C$13, 100%, $E$13)</f>
        <v>3.3376999999999999</v>
      </c>
      <c r="E114" s="64">
        <f>3.8691 * CHOOSE(CONTROL!$C$22, $C$13, 100%, $E$13)</f>
        <v>3.8691</v>
      </c>
      <c r="F114" s="64">
        <f>3.8691 * CHOOSE(CONTROL!$C$22, $C$13, 100%, $E$13)</f>
        <v>3.8691</v>
      </c>
      <c r="G114" s="64">
        <f>3.8712 * CHOOSE(CONTROL!$C$22, $C$13, 100%, $E$13)</f>
        <v>3.8712</v>
      </c>
      <c r="H114" s="64">
        <f>6.9116* CHOOSE(CONTROL!$C$22, $C$13, 100%, $E$13)</f>
        <v>6.9116</v>
      </c>
      <c r="I114" s="64">
        <f>6.9138 * CHOOSE(CONTROL!$C$22, $C$13, 100%, $E$13)</f>
        <v>6.9138000000000002</v>
      </c>
      <c r="J114" s="64">
        <f>3.8691 * CHOOSE(CONTROL!$C$22, $C$13, 100%, $E$13)</f>
        <v>3.8691</v>
      </c>
      <c r="K114" s="64">
        <f>3.8712 * CHOOSE(CONTROL!$C$22, $C$13, 100%, $E$13)</f>
        <v>3.8712</v>
      </c>
      <c r="L114" s="4"/>
      <c r="M114" s="4"/>
      <c r="N114" s="4"/>
    </row>
    <row r="115" spans="1:14" ht="15">
      <c r="A115" s="13">
        <v>45139</v>
      </c>
      <c r="B115" s="63">
        <f>3.3098 * CHOOSE(CONTROL!$C$22, $C$13, 100%, $E$13)</f>
        <v>3.3098000000000001</v>
      </c>
      <c r="C115" s="63">
        <f>3.3098 * CHOOSE(CONTROL!$C$22, $C$13, 100%, $E$13)</f>
        <v>3.3098000000000001</v>
      </c>
      <c r="D115" s="63">
        <f>3.3444 * CHOOSE(CONTROL!$C$22, $C$13, 100%, $E$13)</f>
        <v>3.3443999999999998</v>
      </c>
      <c r="E115" s="64">
        <f>3.8332 * CHOOSE(CONTROL!$C$22, $C$13, 100%, $E$13)</f>
        <v>3.8332000000000002</v>
      </c>
      <c r="F115" s="64">
        <f>3.8332 * CHOOSE(CONTROL!$C$22, $C$13, 100%, $E$13)</f>
        <v>3.8332000000000002</v>
      </c>
      <c r="G115" s="64">
        <f>3.8354 * CHOOSE(CONTROL!$C$22, $C$13, 100%, $E$13)</f>
        <v>3.8353999999999999</v>
      </c>
      <c r="H115" s="64">
        <f>6.926* CHOOSE(CONTROL!$C$22, $C$13, 100%, $E$13)</f>
        <v>6.9260000000000002</v>
      </c>
      <c r="I115" s="64">
        <f>6.9282 * CHOOSE(CONTROL!$C$22, $C$13, 100%, $E$13)</f>
        <v>6.9282000000000004</v>
      </c>
      <c r="J115" s="64">
        <f>3.8332 * CHOOSE(CONTROL!$C$22, $C$13, 100%, $E$13)</f>
        <v>3.8332000000000002</v>
      </c>
      <c r="K115" s="64">
        <f>3.8354 * CHOOSE(CONTROL!$C$22, $C$13, 100%, $E$13)</f>
        <v>3.8353999999999999</v>
      </c>
      <c r="L115" s="4"/>
      <c r="M115" s="4"/>
      <c r="N115" s="4"/>
    </row>
    <row r="116" spans="1:14" ht="15">
      <c r="A116" s="13">
        <v>45170</v>
      </c>
      <c r="B116" s="63">
        <f>3.3067 * CHOOSE(CONTROL!$C$22, $C$13, 100%, $E$13)</f>
        <v>3.3067000000000002</v>
      </c>
      <c r="C116" s="63">
        <f>3.3067 * CHOOSE(CONTROL!$C$22, $C$13, 100%, $E$13)</f>
        <v>3.3067000000000002</v>
      </c>
      <c r="D116" s="63">
        <f>3.3414 * CHOOSE(CONTROL!$C$22, $C$13, 100%, $E$13)</f>
        <v>3.3414000000000001</v>
      </c>
      <c r="E116" s="64">
        <f>3.8266 * CHOOSE(CONTROL!$C$22, $C$13, 100%, $E$13)</f>
        <v>3.8266</v>
      </c>
      <c r="F116" s="64">
        <f>3.8266 * CHOOSE(CONTROL!$C$22, $C$13, 100%, $E$13)</f>
        <v>3.8266</v>
      </c>
      <c r="G116" s="64">
        <f>3.8287 * CHOOSE(CONTROL!$C$22, $C$13, 100%, $E$13)</f>
        <v>3.8287</v>
      </c>
      <c r="H116" s="64">
        <f>6.9404* CHOOSE(CONTROL!$C$22, $C$13, 100%, $E$13)</f>
        <v>6.9404000000000003</v>
      </c>
      <c r="I116" s="64">
        <f>6.9426 * CHOOSE(CONTROL!$C$22, $C$13, 100%, $E$13)</f>
        <v>6.9425999999999997</v>
      </c>
      <c r="J116" s="64">
        <f>3.8266 * CHOOSE(CONTROL!$C$22, $C$13, 100%, $E$13)</f>
        <v>3.8266</v>
      </c>
      <c r="K116" s="64">
        <f>3.8287 * CHOOSE(CONTROL!$C$22, $C$13, 100%, $E$13)</f>
        <v>3.8287</v>
      </c>
      <c r="L116" s="4"/>
      <c r="M116" s="4"/>
      <c r="N116" s="4"/>
    </row>
    <row r="117" spans="1:14" ht="15">
      <c r="A117" s="13">
        <v>45200</v>
      </c>
      <c r="B117" s="63">
        <f>3.2994 * CHOOSE(CONTROL!$C$22, $C$13, 100%, $E$13)</f>
        <v>3.2993999999999999</v>
      </c>
      <c r="C117" s="63">
        <f>3.2994 * CHOOSE(CONTROL!$C$22, $C$13, 100%, $E$13)</f>
        <v>3.2993999999999999</v>
      </c>
      <c r="D117" s="63">
        <f>3.3167 * CHOOSE(CONTROL!$C$22, $C$13, 100%, $E$13)</f>
        <v>3.3167</v>
      </c>
      <c r="E117" s="64">
        <f>3.8312 * CHOOSE(CONTROL!$C$22, $C$13, 100%, $E$13)</f>
        <v>3.8311999999999999</v>
      </c>
      <c r="F117" s="64">
        <f>3.8312 * CHOOSE(CONTROL!$C$22, $C$13, 100%, $E$13)</f>
        <v>3.8311999999999999</v>
      </c>
      <c r="G117" s="64">
        <f>3.8314 * CHOOSE(CONTROL!$C$22, $C$13, 100%, $E$13)</f>
        <v>3.8313999999999999</v>
      </c>
      <c r="H117" s="64">
        <f>6.9549* CHOOSE(CONTROL!$C$22, $C$13, 100%, $E$13)</f>
        <v>6.9549000000000003</v>
      </c>
      <c r="I117" s="64">
        <f>6.9551 * CHOOSE(CONTROL!$C$22, $C$13, 100%, $E$13)</f>
        <v>6.9550999999999998</v>
      </c>
      <c r="J117" s="64">
        <f>3.8312 * CHOOSE(CONTROL!$C$22, $C$13, 100%, $E$13)</f>
        <v>3.8311999999999999</v>
      </c>
      <c r="K117" s="64">
        <f>3.8314 * CHOOSE(CONTROL!$C$22, $C$13, 100%, $E$13)</f>
        <v>3.8313999999999999</v>
      </c>
      <c r="L117" s="4"/>
      <c r="M117" s="4"/>
      <c r="N117" s="4"/>
    </row>
    <row r="118" spans="1:14" ht="15">
      <c r="A118" s="13">
        <v>45231</v>
      </c>
      <c r="B118" s="63">
        <f>3.3024 * CHOOSE(CONTROL!$C$22, $C$13, 100%, $E$13)</f>
        <v>3.3024</v>
      </c>
      <c r="C118" s="63">
        <f>3.3024 * CHOOSE(CONTROL!$C$22, $C$13, 100%, $E$13)</f>
        <v>3.3024</v>
      </c>
      <c r="D118" s="63">
        <f>3.3197 * CHOOSE(CONTROL!$C$22, $C$13, 100%, $E$13)</f>
        <v>3.3197000000000001</v>
      </c>
      <c r="E118" s="64">
        <f>3.8423 * CHOOSE(CONTROL!$C$22, $C$13, 100%, $E$13)</f>
        <v>3.8422999999999998</v>
      </c>
      <c r="F118" s="64">
        <f>3.8423 * CHOOSE(CONTROL!$C$22, $C$13, 100%, $E$13)</f>
        <v>3.8422999999999998</v>
      </c>
      <c r="G118" s="64">
        <f>3.8425 * CHOOSE(CONTROL!$C$22, $C$13, 100%, $E$13)</f>
        <v>3.8424999999999998</v>
      </c>
      <c r="H118" s="64">
        <f>6.9694* CHOOSE(CONTROL!$C$22, $C$13, 100%, $E$13)</f>
        <v>6.9694000000000003</v>
      </c>
      <c r="I118" s="64">
        <f>6.9696 * CHOOSE(CONTROL!$C$22, $C$13, 100%, $E$13)</f>
        <v>6.9695999999999998</v>
      </c>
      <c r="J118" s="64">
        <f>3.8423 * CHOOSE(CONTROL!$C$22, $C$13, 100%, $E$13)</f>
        <v>3.8422999999999998</v>
      </c>
      <c r="K118" s="64">
        <f>3.8425 * CHOOSE(CONTROL!$C$22, $C$13, 100%, $E$13)</f>
        <v>3.8424999999999998</v>
      </c>
      <c r="L118" s="4"/>
      <c r="M118" s="4"/>
      <c r="N118" s="4"/>
    </row>
    <row r="119" spans="1:14" ht="15">
      <c r="A119" s="13">
        <v>45261</v>
      </c>
      <c r="B119" s="63">
        <f>3.3024 * CHOOSE(CONTROL!$C$22, $C$13, 100%, $E$13)</f>
        <v>3.3024</v>
      </c>
      <c r="C119" s="63">
        <f>3.3024 * CHOOSE(CONTROL!$C$22, $C$13, 100%, $E$13)</f>
        <v>3.3024</v>
      </c>
      <c r="D119" s="63">
        <f>3.3197 * CHOOSE(CONTROL!$C$22, $C$13, 100%, $E$13)</f>
        <v>3.3197000000000001</v>
      </c>
      <c r="E119" s="64">
        <f>3.8198 * CHOOSE(CONTROL!$C$22, $C$13, 100%, $E$13)</f>
        <v>3.8197999999999999</v>
      </c>
      <c r="F119" s="64">
        <f>3.8198 * CHOOSE(CONTROL!$C$22, $C$13, 100%, $E$13)</f>
        <v>3.8197999999999999</v>
      </c>
      <c r="G119" s="64">
        <f>3.82 * CHOOSE(CONTROL!$C$22, $C$13, 100%, $E$13)</f>
        <v>3.82</v>
      </c>
      <c r="H119" s="64">
        <f>6.9839* CHOOSE(CONTROL!$C$22, $C$13, 100%, $E$13)</f>
        <v>6.9839000000000002</v>
      </c>
      <c r="I119" s="64">
        <f>6.9841 * CHOOSE(CONTROL!$C$22, $C$13, 100%, $E$13)</f>
        <v>6.9840999999999998</v>
      </c>
      <c r="J119" s="64">
        <f>3.8198 * CHOOSE(CONTROL!$C$22, $C$13, 100%, $E$13)</f>
        <v>3.8197999999999999</v>
      </c>
      <c r="K119" s="64">
        <f>3.82 * CHOOSE(CONTROL!$C$22, $C$13, 100%, $E$13)</f>
        <v>3.82</v>
      </c>
      <c r="L119" s="4"/>
      <c r="M119" s="4"/>
      <c r="N119" s="4"/>
    </row>
    <row r="120" spans="1:14" ht="15">
      <c r="A120" s="13">
        <v>45292</v>
      </c>
      <c r="B120" s="63">
        <f>3.3324 * CHOOSE(CONTROL!$C$22, $C$13, 100%, $E$13)</f>
        <v>3.3323999999999998</v>
      </c>
      <c r="C120" s="63">
        <f>3.3324 * CHOOSE(CONTROL!$C$22, $C$13, 100%, $E$13)</f>
        <v>3.3323999999999998</v>
      </c>
      <c r="D120" s="63">
        <f>3.3497 * CHOOSE(CONTROL!$C$22, $C$13, 100%, $E$13)</f>
        <v>3.3496999999999999</v>
      </c>
      <c r="E120" s="64">
        <f>3.8554 * CHOOSE(CONTROL!$C$22, $C$13, 100%, $E$13)</f>
        <v>3.8553999999999999</v>
      </c>
      <c r="F120" s="64">
        <f>3.8554 * CHOOSE(CONTROL!$C$22, $C$13, 100%, $E$13)</f>
        <v>3.8553999999999999</v>
      </c>
      <c r="G120" s="64">
        <f>3.8555 * CHOOSE(CONTROL!$C$22, $C$13, 100%, $E$13)</f>
        <v>3.8555000000000001</v>
      </c>
      <c r="H120" s="64">
        <f>6.9985* CHOOSE(CONTROL!$C$22, $C$13, 100%, $E$13)</f>
        <v>6.9984999999999999</v>
      </c>
      <c r="I120" s="64">
        <f>6.9986 * CHOOSE(CONTROL!$C$22, $C$13, 100%, $E$13)</f>
        <v>6.9985999999999997</v>
      </c>
      <c r="J120" s="64">
        <f>3.8554 * CHOOSE(CONTROL!$C$22, $C$13, 100%, $E$13)</f>
        <v>3.8553999999999999</v>
      </c>
      <c r="K120" s="64">
        <f>3.8555 * CHOOSE(CONTROL!$C$22, $C$13, 100%, $E$13)</f>
        <v>3.8555000000000001</v>
      </c>
      <c r="L120" s="4"/>
      <c r="M120" s="4"/>
      <c r="N120" s="4"/>
    </row>
    <row r="121" spans="1:14" ht="15">
      <c r="A121" s="13">
        <v>45323</v>
      </c>
      <c r="B121" s="63">
        <f>3.3294 * CHOOSE(CONTROL!$C$22, $C$13, 100%, $E$13)</f>
        <v>3.3294000000000001</v>
      </c>
      <c r="C121" s="63">
        <f>3.3294 * CHOOSE(CONTROL!$C$22, $C$13, 100%, $E$13)</f>
        <v>3.3294000000000001</v>
      </c>
      <c r="D121" s="63">
        <f>3.3467 * CHOOSE(CONTROL!$C$22, $C$13, 100%, $E$13)</f>
        <v>3.3466999999999998</v>
      </c>
      <c r="E121" s="64">
        <f>3.8103 * CHOOSE(CONTROL!$C$22, $C$13, 100%, $E$13)</f>
        <v>3.8102999999999998</v>
      </c>
      <c r="F121" s="64">
        <f>3.8103 * CHOOSE(CONTROL!$C$22, $C$13, 100%, $E$13)</f>
        <v>3.8102999999999998</v>
      </c>
      <c r="G121" s="64">
        <f>3.8105 * CHOOSE(CONTROL!$C$22, $C$13, 100%, $E$13)</f>
        <v>3.8105000000000002</v>
      </c>
      <c r="H121" s="64">
        <f>7.013* CHOOSE(CONTROL!$C$22, $C$13, 100%, $E$13)</f>
        <v>7.0129999999999999</v>
      </c>
      <c r="I121" s="64">
        <f>7.0132 * CHOOSE(CONTROL!$C$22, $C$13, 100%, $E$13)</f>
        <v>7.0132000000000003</v>
      </c>
      <c r="J121" s="64">
        <f>3.8103 * CHOOSE(CONTROL!$C$22, $C$13, 100%, $E$13)</f>
        <v>3.8102999999999998</v>
      </c>
      <c r="K121" s="64">
        <f>3.8105 * CHOOSE(CONTROL!$C$22, $C$13, 100%, $E$13)</f>
        <v>3.8105000000000002</v>
      </c>
      <c r="L121" s="4"/>
      <c r="M121" s="4"/>
      <c r="N121" s="4"/>
    </row>
    <row r="122" spans="1:14" ht="15">
      <c r="A122" s="13">
        <v>45352</v>
      </c>
      <c r="B122" s="63">
        <f>3.3263 * CHOOSE(CONTROL!$C$22, $C$13, 100%, $E$13)</f>
        <v>3.3262999999999998</v>
      </c>
      <c r="C122" s="63">
        <f>3.3263 * CHOOSE(CONTROL!$C$22, $C$13, 100%, $E$13)</f>
        <v>3.3262999999999998</v>
      </c>
      <c r="D122" s="63">
        <f>3.3437 * CHOOSE(CONTROL!$C$22, $C$13, 100%, $E$13)</f>
        <v>3.3437000000000001</v>
      </c>
      <c r="E122" s="64">
        <f>3.842 * CHOOSE(CONTROL!$C$22, $C$13, 100%, $E$13)</f>
        <v>3.8420000000000001</v>
      </c>
      <c r="F122" s="64">
        <f>3.842 * CHOOSE(CONTROL!$C$22, $C$13, 100%, $E$13)</f>
        <v>3.8420000000000001</v>
      </c>
      <c r="G122" s="64">
        <f>3.8422 * CHOOSE(CONTROL!$C$22, $C$13, 100%, $E$13)</f>
        <v>3.8422000000000001</v>
      </c>
      <c r="H122" s="64">
        <f>7.0276* CHOOSE(CONTROL!$C$22, $C$13, 100%, $E$13)</f>
        <v>7.0275999999999996</v>
      </c>
      <c r="I122" s="64">
        <f>7.0278 * CHOOSE(CONTROL!$C$22, $C$13, 100%, $E$13)</f>
        <v>7.0278</v>
      </c>
      <c r="J122" s="64">
        <f>3.842 * CHOOSE(CONTROL!$C$22, $C$13, 100%, $E$13)</f>
        <v>3.8420000000000001</v>
      </c>
      <c r="K122" s="64">
        <f>3.8422 * CHOOSE(CONTROL!$C$22, $C$13, 100%, $E$13)</f>
        <v>3.8422000000000001</v>
      </c>
      <c r="L122" s="4"/>
      <c r="M122" s="4"/>
      <c r="N122" s="4"/>
    </row>
    <row r="123" spans="1:14" ht="15">
      <c r="A123" s="13">
        <v>45383</v>
      </c>
      <c r="B123" s="63">
        <f>3.3234 * CHOOSE(CONTROL!$C$22, $C$13, 100%, $E$13)</f>
        <v>3.3233999999999999</v>
      </c>
      <c r="C123" s="63">
        <f>3.3234 * CHOOSE(CONTROL!$C$22, $C$13, 100%, $E$13)</f>
        <v>3.3233999999999999</v>
      </c>
      <c r="D123" s="63">
        <f>3.3407 * CHOOSE(CONTROL!$C$22, $C$13, 100%, $E$13)</f>
        <v>3.3407</v>
      </c>
      <c r="E123" s="64">
        <f>3.8741 * CHOOSE(CONTROL!$C$22, $C$13, 100%, $E$13)</f>
        <v>3.8740999999999999</v>
      </c>
      <c r="F123" s="64">
        <f>3.8741 * CHOOSE(CONTROL!$C$22, $C$13, 100%, $E$13)</f>
        <v>3.8740999999999999</v>
      </c>
      <c r="G123" s="64">
        <f>3.8743 * CHOOSE(CONTROL!$C$22, $C$13, 100%, $E$13)</f>
        <v>3.8742999999999999</v>
      </c>
      <c r="H123" s="64">
        <f>7.0423* CHOOSE(CONTROL!$C$22, $C$13, 100%, $E$13)</f>
        <v>7.0423</v>
      </c>
      <c r="I123" s="64">
        <f>7.0425 * CHOOSE(CONTROL!$C$22, $C$13, 100%, $E$13)</f>
        <v>7.0425000000000004</v>
      </c>
      <c r="J123" s="64">
        <f>3.8741 * CHOOSE(CONTROL!$C$22, $C$13, 100%, $E$13)</f>
        <v>3.8740999999999999</v>
      </c>
      <c r="K123" s="64">
        <f>3.8743 * CHOOSE(CONTROL!$C$22, $C$13, 100%, $E$13)</f>
        <v>3.8742999999999999</v>
      </c>
      <c r="L123" s="4"/>
      <c r="M123" s="4"/>
      <c r="N123" s="4"/>
    </row>
    <row r="124" spans="1:14" ht="15">
      <c r="A124" s="13">
        <v>45413</v>
      </c>
      <c r="B124" s="63">
        <f>3.3234 * CHOOSE(CONTROL!$C$22, $C$13, 100%, $E$13)</f>
        <v>3.3233999999999999</v>
      </c>
      <c r="C124" s="63">
        <f>3.3234 * CHOOSE(CONTROL!$C$22, $C$13, 100%, $E$13)</f>
        <v>3.3233999999999999</v>
      </c>
      <c r="D124" s="63">
        <f>3.358 * CHOOSE(CONTROL!$C$22, $C$13, 100%, $E$13)</f>
        <v>3.3580000000000001</v>
      </c>
      <c r="E124" s="64">
        <f>3.8877 * CHOOSE(CONTROL!$C$22, $C$13, 100%, $E$13)</f>
        <v>3.8877000000000002</v>
      </c>
      <c r="F124" s="64">
        <f>3.8877 * CHOOSE(CONTROL!$C$22, $C$13, 100%, $E$13)</f>
        <v>3.8877000000000002</v>
      </c>
      <c r="G124" s="64">
        <f>3.8899 * CHOOSE(CONTROL!$C$22, $C$13, 100%, $E$13)</f>
        <v>3.8898999999999999</v>
      </c>
      <c r="H124" s="64">
        <f>7.057* CHOOSE(CONTROL!$C$22, $C$13, 100%, $E$13)</f>
        <v>7.0570000000000004</v>
      </c>
      <c r="I124" s="64">
        <f>7.0591 * CHOOSE(CONTROL!$C$22, $C$13, 100%, $E$13)</f>
        <v>7.0590999999999999</v>
      </c>
      <c r="J124" s="64">
        <f>3.8877 * CHOOSE(CONTROL!$C$22, $C$13, 100%, $E$13)</f>
        <v>3.8877000000000002</v>
      </c>
      <c r="K124" s="64">
        <f>3.8899 * CHOOSE(CONTROL!$C$22, $C$13, 100%, $E$13)</f>
        <v>3.8898999999999999</v>
      </c>
      <c r="L124" s="4"/>
      <c r="M124" s="4"/>
      <c r="N124" s="4"/>
    </row>
    <row r="125" spans="1:14" ht="15">
      <c r="A125" s="13">
        <v>45444</v>
      </c>
      <c r="B125" s="63">
        <f>3.3294 * CHOOSE(CONTROL!$C$22, $C$13, 100%, $E$13)</f>
        <v>3.3294000000000001</v>
      </c>
      <c r="C125" s="63">
        <f>3.3294 * CHOOSE(CONTROL!$C$22, $C$13, 100%, $E$13)</f>
        <v>3.3294000000000001</v>
      </c>
      <c r="D125" s="63">
        <f>3.3641 * CHOOSE(CONTROL!$C$22, $C$13, 100%, $E$13)</f>
        <v>3.3641000000000001</v>
      </c>
      <c r="E125" s="64">
        <f>3.8784 * CHOOSE(CONTROL!$C$22, $C$13, 100%, $E$13)</f>
        <v>3.8784000000000001</v>
      </c>
      <c r="F125" s="64">
        <f>3.8784 * CHOOSE(CONTROL!$C$22, $C$13, 100%, $E$13)</f>
        <v>3.8784000000000001</v>
      </c>
      <c r="G125" s="64">
        <f>3.8805 * CHOOSE(CONTROL!$C$22, $C$13, 100%, $E$13)</f>
        <v>3.8805000000000001</v>
      </c>
      <c r="H125" s="64">
        <f>7.0717* CHOOSE(CONTROL!$C$22, $C$13, 100%, $E$13)</f>
        <v>7.0716999999999999</v>
      </c>
      <c r="I125" s="64">
        <f>7.0738 * CHOOSE(CONTROL!$C$22, $C$13, 100%, $E$13)</f>
        <v>7.0738000000000003</v>
      </c>
      <c r="J125" s="64">
        <f>3.8784 * CHOOSE(CONTROL!$C$22, $C$13, 100%, $E$13)</f>
        <v>3.8784000000000001</v>
      </c>
      <c r="K125" s="64">
        <f>3.8805 * CHOOSE(CONTROL!$C$22, $C$13, 100%, $E$13)</f>
        <v>3.8805000000000001</v>
      </c>
      <c r="L125" s="4"/>
      <c r="M125" s="4"/>
      <c r="N125" s="4"/>
    </row>
    <row r="126" spans="1:14" ht="15">
      <c r="A126" s="13">
        <v>45474</v>
      </c>
      <c r="B126" s="63">
        <f>3.3849 * CHOOSE(CONTROL!$C$22, $C$13, 100%, $E$13)</f>
        <v>3.3849</v>
      </c>
      <c r="C126" s="63">
        <f>3.3849 * CHOOSE(CONTROL!$C$22, $C$13, 100%, $E$13)</f>
        <v>3.3849</v>
      </c>
      <c r="D126" s="63">
        <f>3.4195 * CHOOSE(CONTROL!$C$22, $C$13, 100%, $E$13)</f>
        <v>3.4195000000000002</v>
      </c>
      <c r="E126" s="64">
        <f>3.9401 * CHOOSE(CONTROL!$C$22, $C$13, 100%, $E$13)</f>
        <v>3.9401000000000002</v>
      </c>
      <c r="F126" s="64">
        <f>3.9401 * CHOOSE(CONTROL!$C$22, $C$13, 100%, $E$13)</f>
        <v>3.9401000000000002</v>
      </c>
      <c r="G126" s="64">
        <f>3.9422 * CHOOSE(CONTROL!$C$22, $C$13, 100%, $E$13)</f>
        <v>3.9422000000000001</v>
      </c>
      <c r="H126" s="64">
        <f>7.0864* CHOOSE(CONTROL!$C$22, $C$13, 100%, $E$13)</f>
        <v>7.0864000000000003</v>
      </c>
      <c r="I126" s="64">
        <f>7.0885 * CHOOSE(CONTROL!$C$22, $C$13, 100%, $E$13)</f>
        <v>7.0884999999999998</v>
      </c>
      <c r="J126" s="64">
        <f>3.9401 * CHOOSE(CONTROL!$C$22, $C$13, 100%, $E$13)</f>
        <v>3.9401000000000002</v>
      </c>
      <c r="K126" s="64">
        <f>3.9422 * CHOOSE(CONTROL!$C$22, $C$13, 100%, $E$13)</f>
        <v>3.9422000000000001</v>
      </c>
      <c r="L126" s="4"/>
      <c r="M126" s="4"/>
      <c r="N126" s="4"/>
    </row>
    <row r="127" spans="1:14" ht="15">
      <c r="A127" s="13">
        <v>45505</v>
      </c>
      <c r="B127" s="63">
        <f>3.3915 * CHOOSE(CONTROL!$C$22, $C$13, 100%, $E$13)</f>
        <v>3.3915000000000002</v>
      </c>
      <c r="C127" s="63">
        <f>3.3915 * CHOOSE(CONTROL!$C$22, $C$13, 100%, $E$13)</f>
        <v>3.3915000000000002</v>
      </c>
      <c r="D127" s="63">
        <f>3.4262 * CHOOSE(CONTROL!$C$22, $C$13, 100%, $E$13)</f>
        <v>3.4262000000000001</v>
      </c>
      <c r="E127" s="64">
        <f>3.9039 * CHOOSE(CONTROL!$C$22, $C$13, 100%, $E$13)</f>
        <v>3.9039000000000001</v>
      </c>
      <c r="F127" s="64">
        <f>3.9039 * CHOOSE(CONTROL!$C$22, $C$13, 100%, $E$13)</f>
        <v>3.9039000000000001</v>
      </c>
      <c r="G127" s="64">
        <f>3.906 * CHOOSE(CONTROL!$C$22, $C$13, 100%, $E$13)</f>
        <v>3.9060000000000001</v>
      </c>
      <c r="H127" s="64">
        <f>7.1012* CHOOSE(CONTROL!$C$22, $C$13, 100%, $E$13)</f>
        <v>7.1012000000000004</v>
      </c>
      <c r="I127" s="64">
        <f>7.1033 * CHOOSE(CONTROL!$C$22, $C$13, 100%, $E$13)</f>
        <v>7.1032999999999999</v>
      </c>
      <c r="J127" s="64">
        <f>3.9039 * CHOOSE(CONTROL!$C$22, $C$13, 100%, $E$13)</f>
        <v>3.9039000000000001</v>
      </c>
      <c r="K127" s="64">
        <f>3.906 * CHOOSE(CONTROL!$C$22, $C$13, 100%, $E$13)</f>
        <v>3.9060000000000001</v>
      </c>
      <c r="L127" s="4"/>
      <c r="M127" s="4"/>
      <c r="N127" s="4"/>
    </row>
    <row r="128" spans="1:14" ht="15">
      <c r="A128" s="13">
        <v>45536</v>
      </c>
      <c r="B128" s="63">
        <f>3.3885 * CHOOSE(CONTROL!$C$22, $C$13, 100%, $E$13)</f>
        <v>3.3885000000000001</v>
      </c>
      <c r="C128" s="63">
        <f>3.3885 * CHOOSE(CONTROL!$C$22, $C$13, 100%, $E$13)</f>
        <v>3.3885000000000001</v>
      </c>
      <c r="D128" s="63">
        <f>3.4232 * CHOOSE(CONTROL!$C$22, $C$13, 100%, $E$13)</f>
        <v>3.4232</v>
      </c>
      <c r="E128" s="64">
        <f>3.8972 * CHOOSE(CONTROL!$C$22, $C$13, 100%, $E$13)</f>
        <v>3.8972000000000002</v>
      </c>
      <c r="F128" s="64">
        <f>3.8972 * CHOOSE(CONTROL!$C$22, $C$13, 100%, $E$13)</f>
        <v>3.8972000000000002</v>
      </c>
      <c r="G128" s="64">
        <f>3.8994 * CHOOSE(CONTROL!$C$22, $C$13, 100%, $E$13)</f>
        <v>3.8994</v>
      </c>
      <c r="H128" s="64">
        <f>7.1159* CHOOSE(CONTROL!$C$22, $C$13, 100%, $E$13)</f>
        <v>7.1158999999999999</v>
      </c>
      <c r="I128" s="64">
        <f>7.1181 * CHOOSE(CONTROL!$C$22, $C$13, 100%, $E$13)</f>
        <v>7.1181000000000001</v>
      </c>
      <c r="J128" s="64">
        <f>3.8972 * CHOOSE(CONTROL!$C$22, $C$13, 100%, $E$13)</f>
        <v>3.8972000000000002</v>
      </c>
      <c r="K128" s="64">
        <f>3.8994 * CHOOSE(CONTROL!$C$22, $C$13, 100%, $E$13)</f>
        <v>3.8994</v>
      </c>
      <c r="L128" s="4"/>
      <c r="M128" s="4"/>
      <c r="N128" s="4"/>
    </row>
    <row r="129" spans="1:14" ht="15">
      <c r="A129" s="13">
        <v>45566</v>
      </c>
      <c r="B129" s="63">
        <f>3.3815 * CHOOSE(CONTROL!$C$22, $C$13, 100%, $E$13)</f>
        <v>3.3815</v>
      </c>
      <c r="C129" s="63">
        <f>3.3815 * CHOOSE(CONTROL!$C$22, $C$13, 100%, $E$13)</f>
        <v>3.3815</v>
      </c>
      <c r="D129" s="63">
        <f>3.3988 * CHOOSE(CONTROL!$C$22, $C$13, 100%, $E$13)</f>
        <v>3.3988</v>
      </c>
      <c r="E129" s="64">
        <f>3.9019 * CHOOSE(CONTROL!$C$22, $C$13, 100%, $E$13)</f>
        <v>3.9018999999999999</v>
      </c>
      <c r="F129" s="64">
        <f>3.9019 * CHOOSE(CONTROL!$C$22, $C$13, 100%, $E$13)</f>
        <v>3.9018999999999999</v>
      </c>
      <c r="G129" s="64">
        <f>3.9021 * CHOOSE(CONTROL!$C$22, $C$13, 100%, $E$13)</f>
        <v>3.9020999999999999</v>
      </c>
      <c r="H129" s="64">
        <f>7.1308* CHOOSE(CONTROL!$C$22, $C$13, 100%, $E$13)</f>
        <v>7.1307999999999998</v>
      </c>
      <c r="I129" s="64">
        <f>7.1309 * CHOOSE(CONTROL!$C$22, $C$13, 100%, $E$13)</f>
        <v>7.1308999999999996</v>
      </c>
      <c r="J129" s="64">
        <f>3.9019 * CHOOSE(CONTROL!$C$22, $C$13, 100%, $E$13)</f>
        <v>3.9018999999999999</v>
      </c>
      <c r="K129" s="64">
        <f>3.9021 * CHOOSE(CONTROL!$C$22, $C$13, 100%, $E$13)</f>
        <v>3.9020999999999999</v>
      </c>
      <c r="L129" s="4"/>
      <c r="M129" s="4"/>
      <c r="N129" s="4"/>
    </row>
    <row r="130" spans="1:14" ht="15">
      <c r="A130" s="13">
        <v>45597</v>
      </c>
      <c r="B130" s="63">
        <f>3.3845 * CHOOSE(CONTROL!$C$22, $C$13, 100%, $E$13)</f>
        <v>3.3845000000000001</v>
      </c>
      <c r="C130" s="63">
        <f>3.3845 * CHOOSE(CONTROL!$C$22, $C$13, 100%, $E$13)</f>
        <v>3.3845000000000001</v>
      </c>
      <c r="D130" s="63">
        <f>3.4018 * CHOOSE(CONTROL!$C$22, $C$13, 100%, $E$13)</f>
        <v>3.4018000000000002</v>
      </c>
      <c r="E130" s="64">
        <f>3.9131 * CHOOSE(CONTROL!$C$22, $C$13, 100%, $E$13)</f>
        <v>3.9131</v>
      </c>
      <c r="F130" s="64">
        <f>3.9131 * CHOOSE(CONTROL!$C$22, $C$13, 100%, $E$13)</f>
        <v>3.9131</v>
      </c>
      <c r="G130" s="64">
        <f>3.9133 * CHOOSE(CONTROL!$C$22, $C$13, 100%, $E$13)</f>
        <v>3.9133</v>
      </c>
      <c r="H130" s="64">
        <f>7.1456* CHOOSE(CONTROL!$C$22, $C$13, 100%, $E$13)</f>
        <v>7.1456</v>
      </c>
      <c r="I130" s="64">
        <f>7.1458 * CHOOSE(CONTROL!$C$22, $C$13, 100%, $E$13)</f>
        <v>7.1458000000000004</v>
      </c>
      <c r="J130" s="64">
        <f>3.9131 * CHOOSE(CONTROL!$C$22, $C$13, 100%, $E$13)</f>
        <v>3.9131</v>
      </c>
      <c r="K130" s="64">
        <f>3.9133 * CHOOSE(CONTROL!$C$22, $C$13, 100%, $E$13)</f>
        <v>3.9133</v>
      </c>
      <c r="L130" s="4"/>
      <c r="M130" s="4"/>
      <c r="N130" s="4"/>
    </row>
    <row r="131" spans="1:14" ht="15">
      <c r="A131" s="13">
        <v>45627</v>
      </c>
      <c r="B131" s="63">
        <f>3.3845 * CHOOSE(CONTROL!$C$22, $C$13, 100%, $E$13)</f>
        <v>3.3845000000000001</v>
      </c>
      <c r="C131" s="63">
        <f>3.3845 * CHOOSE(CONTROL!$C$22, $C$13, 100%, $E$13)</f>
        <v>3.3845000000000001</v>
      </c>
      <c r="D131" s="63">
        <f>3.4018 * CHOOSE(CONTROL!$C$22, $C$13, 100%, $E$13)</f>
        <v>3.4018000000000002</v>
      </c>
      <c r="E131" s="64">
        <f>3.8904 * CHOOSE(CONTROL!$C$22, $C$13, 100%, $E$13)</f>
        <v>3.8904000000000001</v>
      </c>
      <c r="F131" s="64">
        <f>3.8904 * CHOOSE(CONTROL!$C$22, $C$13, 100%, $E$13)</f>
        <v>3.8904000000000001</v>
      </c>
      <c r="G131" s="64">
        <f>3.8906 * CHOOSE(CONTROL!$C$22, $C$13, 100%, $E$13)</f>
        <v>3.8906000000000001</v>
      </c>
      <c r="H131" s="64">
        <f>7.1605* CHOOSE(CONTROL!$C$22, $C$13, 100%, $E$13)</f>
        <v>7.1604999999999999</v>
      </c>
      <c r="I131" s="64">
        <f>7.1607 * CHOOSE(CONTROL!$C$22, $C$13, 100%, $E$13)</f>
        <v>7.1607000000000003</v>
      </c>
      <c r="J131" s="64">
        <f>3.8904 * CHOOSE(CONTROL!$C$22, $C$13, 100%, $E$13)</f>
        <v>3.8904000000000001</v>
      </c>
      <c r="K131" s="64">
        <f>3.8906 * CHOOSE(CONTROL!$C$22, $C$13, 100%, $E$13)</f>
        <v>3.8906000000000001</v>
      </c>
      <c r="L131" s="4"/>
      <c r="M131" s="4"/>
      <c r="N131" s="4"/>
    </row>
    <row r="132" spans="1:14" ht="15">
      <c r="A132" s="13">
        <v>45658</v>
      </c>
      <c r="B132" s="63">
        <f>3.4166 * CHOOSE(CONTROL!$C$22, $C$13, 100%, $E$13)</f>
        <v>3.4165999999999999</v>
      </c>
      <c r="C132" s="63">
        <f>3.4166 * CHOOSE(CONTROL!$C$22, $C$13, 100%, $E$13)</f>
        <v>3.4165999999999999</v>
      </c>
      <c r="D132" s="63">
        <f>3.4339 * CHOOSE(CONTROL!$C$22, $C$13, 100%, $E$13)</f>
        <v>3.4339</v>
      </c>
      <c r="E132" s="64">
        <f>3.9232 * CHOOSE(CONTROL!$C$22, $C$13, 100%, $E$13)</f>
        <v>3.9232</v>
      </c>
      <c r="F132" s="64">
        <f>3.9232 * CHOOSE(CONTROL!$C$22, $C$13, 100%, $E$13)</f>
        <v>3.9232</v>
      </c>
      <c r="G132" s="64">
        <f>3.9234 * CHOOSE(CONTROL!$C$22, $C$13, 100%, $E$13)</f>
        <v>3.9234</v>
      </c>
      <c r="H132" s="64">
        <f>7.1754* CHOOSE(CONTROL!$C$22, $C$13, 100%, $E$13)</f>
        <v>7.1753999999999998</v>
      </c>
      <c r="I132" s="64">
        <f>7.1756 * CHOOSE(CONTROL!$C$22, $C$13, 100%, $E$13)</f>
        <v>7.1756000000000002</v>
      </c>
      <c r="J132" s="64">
        <f>3.9232 * CHOOSE(CONTROL!$C$22, $C$13, 100%, $E$13)</f>
        <v>3.9232</v>
      </c>
      <c r="K132" s="64">
        <f>3.9234 * CHOOSE(CONTROL!$C$22, $C$13, 100%, $E$13)</f>
        <v>3.9234</v>
      </c>
      <c r="L132" s="4"/>
      <c r="M132" s="4"/>
      <c r="N132" s="4"/>
    </row>
    <row r="133" spans="1:14" ht="15">
      <c r="A133" s="13">
        <v>45689</v>
      </c>
      <c r="B133" s="63">
        <f>3.4136 * CHOOSE(CONTROL!$C$22, $C$13, 100%, $E$13)</f>
        <v>3.4136000000000002</v>
      </c>
      <c r="C133" s="63">
        <f>3.4136 * CHOOSE(CONTROL!$C$22, $C$13, 100%, $E$13)</f>
        <v>3.4136000000000002</v>
      </c>
      <c r="D133" s="63">
        <f>3.4309 * CHOOSE(CONTROL!$C$22, $C$13, 100%, $E$13)</f>
        <v>3.4308999999999998</v>
      </c>
      <c r="E133" s="64">
        <f>3.8779 * CHOOSE(CONTROL!$C$22, $C$13, 100%, $E$13)</f>
        <v>3.8778999999999999</v>
      </c>
      <c r="F133" s="64">
        <f>3.8779 * CHOOSE(CONTROL!$C$22, $C$13, 100%, $E$13)</f>
        <v>3.8778999999999999</v>
      </c>
      <c r="G133" s="64">
        <f>3.8781 * CHOOSE(CONTROL!$C$22, $C$13, 100%, $E$13)</f>
        <v>3.8780999999999999</v>
      </c>
      <c r="H133" s="64">
        <f>7.1904* CHOOSE(CONTROL!$C$22, $C$13, 100%, $E$13)</f>
        <v>7.1904000000000003</v>
      </c>
      <c r="I133" s="64">
        <f>7.1906 * CHOOSE(CONTROL!$C$22, $C$13, 100%, $E$13)</f>
        <v>7.1905999999999999</v>
      </c>
      <c r="J133" s="64">
        <f>3.8779 * CHOOSE(CONTROL!$C$22, $C$13, 100%, $E$13)</f>
        <v>3.8778999999999999</v>
      </c>
      <c r="K133" s="64">
        <f>3.8781 * CHOOSE(CONTROL!$C$22, $C$13, 100%, $E$13)</f>
        <v>3.8780999999999999</v>
      </c>
      <c r="L133" s="4"/>
      <c r="M133" s="4"/>
      <c r="N133" s="4"/>
    </row>
    <row r="134" spans="1:14" ht="15">
      <c r="A134" s="13">
        <v>45717</v>
      </c>
      <c r="B134" s="63">
        <f>3.4105 * CHOOSE(CONTROL!$C$22, $C$13, 100%, $E$13)</f>
        <v>3.4104999999999999</v>
      </c>
      <c r="C134" s="63">
        <f>3.4105 * CHOOSE(CONTROL!$C$22, $C$13, 100%, $E$13)</f>
        <v>3.4104999999999999</v>
      </c>
      <c r="D134" s="63">
        <f>3.4279 * CHOOSE(CONTROL!$C$22, $C$13, 100%, $E$13)</f>
        <v>3.4279000000000002</v>
      </c>
      <c r="E134" s="64">
        <f>3.9098 * CHOOSE(CONTROL!$C$22, $C$13, 100%, $E$13)</f>
        <v>3.9098000000000002</v>
      </c>
      <c r="F134" s="64">
        <f>3.9098 * CHOOSE(CONTROL!$C$22, $C$13, 100%, $E$13)</f>
        <v>3.9098000000000002</v>
      </c>
      <c r="G134" s="64">
        <f>3.91 * CHOOSE(CONTROL!$C$22, $C$13, 100%, $E$13)</f>
        <v>3.91</v>
      </c>
      <c r="H134" s="64">
        <f>7.2054* CHOOSE(CONTROL!$C$22, $C$13, 100%, $E$13)</f>
        <v>7.2054</v>
      </c>
      <c r="I134" s="64">
        <f>7.2055 * CHOOSE(CONTROL!$C$22, $C$13, 100%, $E$13)</f>
        <v>7.2054999999999998</v>
      </c>
      <c r="J134" s="64">
        <f>3.9098 * CHOOSE(CONTROL!$C$22, $C$13, 100%, $E$13)</f>
        <v>3.9098000000000002</v>
      </c>
      <c r="K134" s="64">
        <f>3.91 * CHOOSE(CONTROL!$C$22, $C$13, 100%, $E$13)</f>
        <v>3.91</v>
      </c>
      <c r="L134" s="4"/>
      <c r="M134" s="4"/>
      <c r="N134" s="4"/>
    </row>
    <row r="135" spans="1:14" ht="15">
      <c r="A135" s="13">
        <v>45748</v>
      </c>
      <c r="B135" s="63">
        <f>3.4077 * CHOOSE(CONTROL!$C$22, $C$13, 100%, $E$13)</f>
        <v>3.4077000000000002</v>
      </c>
      <c r="C135" s="63">
        <f>3.4077 * CHOOSE(CONTROL!$C$22, $C$13, 100%, $E$13)</f>
        <v>3.4077000000000002</v>
      </c>
      <c r="D135" s="63">
        <f>3.425 * CHOOSE(CONTROL!$C$22, $C$13, 100%, $E$13)</f>
        <v>3.4249999999999998</v>
      </c>
      <c r="E135" s="64">
        <f>3.9422 * CHOOSE(CONTROL!$C$22, $C$13, 100%, $E$13)</f>
        <v>3.9422000000000001</v>
      </c>
      <c r="F135" s="64">
        <f>3.9422 * CHOOSE(CONTROL!$C$22, $C$13, 100%, $E$13)</f>
        <v>3.9422000000000001</v>
      </c>
      <c r="G135" s="64">
        <f>3.9424 * CHOOSE(CONTROL!$C$22, $C$13, 100%, $E$13)</f>
        <v>3.9424000000000001</v>
      </c>
      <c r="H135" s="64">
        <f>7.2204* CHOOSE(CONTROL!$C$22, $C$13, 100%, $E$13)</f>
        <v>7.2203999999999997</v>
      </c>
      <c r="I135" s="64">
        <f>7.2205 * CHOOSE(CONTROL!$C$22, $C$13, 100%, $E$13)</f>
        <v>7.2205000000000004</v>
      </c>
      <c r="J135" s="64">
        <f>3.9422 * CHOOSE(CONTROL!$C$22, $C$13, 100%, $E$13)</f>
        <v>3.9422000000000001</v>
      </c>
      <c r="K135" s="64">
        <f>3.9424 * CHOOSE(CONTROL!$C$22, $C$13, 100%, $E$13)</f>
        <v>3.9424000000000001</v>
      </c>
      <c r="L135" s="4"/>
      <c r="M135" s="4"/>
      <c r="N135" s="4"/>
    </row>
    <row r="136" spans="1:14" ht="15">
      <c r="A136" s="13">
        <v>45778</v>
      </c>
      <c r="B136" s="63">
        <f>3.4077 * CHOOSE(CONTROL!$C$22, $C$13, 100%, $E$13)</f>
        <v>3.4077000000000002</v>
      </c>
      <c r="C136" s="63">
        <f>3.4077 * CHOOSE(CONTROL!$C$22, $C$13, 100%, $E$13)</f>
        <v>3.4077000000000002</v>
      </c>
      <c r="D136" s="63">
        <f>3.4423 * CHOOSE(CONTROL!$C$22, $C$13, 100%, $E$13)</f>
        <v>3.4422999999999999</v>
      </c>
      <c r="E136" s="64">
        <f>3.9559 * CHOOSE(CONTROL!$C$22, $C$13, 100%, $E$13)</f>
        <v>3.9559000000000002</v>
      </c>
      <c r="F136" s="64">
        <f>3.9559 * CHOOSE(CONTROL!$C$22, $C$13, 100%, $E$13)</f>
        <v>3.9559000000000002</v>
      </c>
      <c r="G136" s="64">
        <f>3.958 * CHOOSE(CONTROL!$C$22, $C$13, 100%, $E$13)</f>
        <v>3.9580000000000002</v>
      </c>
      <c r="H136" s="64">
        <f>7.2354* CHOOSE(CONTROL!$C$22, $C$13, 100%, $E$13)</f>
        <v>7.2354000000000003</v>
      </c>
      <c r="I136" s="64">
        <f>7.2376 * CHOOSE(CONTROL!$C$22, $C$13, 100%, $E$13)</f>
        <v>7.2375999999999996</v>
      </c>
      <c r="J136" s="64">
        <f>3.9559 * CHOOSE(CONTROL!$C$22, $C$13, 100%, $E$13)</f>
        <v>3.9559000000000002</v>
      </c>
      <c r="K136" s="64">
        <f>3.958 * CHOOSE(CONTROL!$C$22, $C$13, 100%, $E$13)</f>
        <v>3.9580000000000002</v>
      </c>
      <c r="L136" s="4"/>
      <c r="M136" s="4"/>
      <c r="N136" s="4"/>
    </row>
    <row r="137" spans="1:14" ht="15">
      <c r="A137" s="13">
        <v>45809</v>
      </c>
      <c r="B137" s="63">
        <f>3.4137 * CHOOSE(CONTROL!$C$22, $C$13, 100%, $E$13)</f>
        <v>3.4137</v>
      </c>
      <c r="C137" s="63">
        <f>3.4137 * CHOOSE(CONTROL!$C$22, $C$13, 100%, $E$13)</f>
        <v>3.4137</v>
      </c>
      <c r="D137" s="63">
        <f>3.4484 * CHOOSE(CONTROL!$C$22, $C$13, 100%, $E$13)</f>
        <v>3.4483999999999999</v>
      </c>
      <c r="E137" s="64">
        <f>3.9464 * CHOOSE(CONTROL!$C$22, $C$13, 100%, $E$13)</f>
        <v>3.9464000000000001</v>
      </c>
      <c r="F137" s="64">
        <f>3.9464 * CHOOSE(CONTROL!$C$22, $C$13, 100%, $E$13)</f>
        <v>3.9464000000000001</v>
      </c>
      <c r="G137" s="64">
        <f>3.9486 * CHOOSE(CONTROL!$C$22, $C$13, 100%, $E$13)</f>
        <v>3.9485999999999999</v>
      </c>
      <c r="H137" s="64">
        <f>7.2505* CHOOSE(CONTROL!$C$22, $C$13, 100%, $E$13)</f>
        <v>7.2504999999999997</v>
      </c>
      <c r="I137" s="64">
        <f>7.2526 * CHOOSE(CONTROL!$C$22, $C$13, 100%, $E$13)</f>
        <v>7.2526000000000002</v>
      </c>
      <c r="J137" s="64">
        <f>3.9464 * CHOOSE(CONTROL!$C$22, $C$13, 100%, $E$13)</f>
        <v>3.9464000000000001</v>
      </c>
      <c r="K137" s="64">
        <f>3.9486 * CHOOSE(CONTROL!$C$22, $C$13, 100%, $E$13)</f>
        <v>3.9485999999999999</v>
      </c>
      <c r="L137" s="4"/>
      <c r="M137" s="4"/>
      <c r="N137" s="4"/>
    </row>
    <row r="138" spans="1:14" ht="15">
      <c r="A138" s="13">
        <v>45839</v>
      </c>
      <c r="B138" s="63">
        <f>3.4735 * CHOOSE(CONTROL!$C$22, $C$13, 100%, $E$13)</f>
        <v>3.4735</v>
      </c>
      <c r="C138" s="63">
        <f>3.4735 * CHOOSE(CONTROL!$C$22, $C$13, 100%, $E$13)</f>
        <v>3.4735</v>
      </c>
      <c r="D138" s="63">
        <f>3.5082 * CHOOSE(CONTROL!$C$22, $C$13, 100%, $E$13)</f>
        <v>3.5082</v>
      </c>
      <c r="E138" s="64">
        <f>4.0021 * CHOOSE(CONTROL!$C$22, $C$13, 100%, $E$13)</f>
        <v>4.0021000000000004</v>
      </c>
      <c r="F138" s="64">
        <f>4.0021 * CHOOSE(CONTROL!$C$22, $C$13, 100%, $E$13)</f>
        <v>4.0021000000000004</v>
      </c>
      <c r="G138" s="64">
        <f>4.0043 * CHOOSE(CONTROL!$C$22, $C$13, 100%, $E$13)</f>
        <v>4.0042999999999997</v>
      </c>
      <c r="H138" s="64">
        <f>7.2656* CHOOSE(CONTROL!$C$22, $C$13, 100%, $E$13)</f>
        <v>7.2656000000000001</v>
      </c>
      <c r="I138" s="64">
        <f>7.2677 * CHOOSE(CONTROL!$C$22, $C$13, 100%, $E$13)</f>
        <v>7.2676999999999996</v>
      </c>
      <c r="J138" s="64">
        <f>4.0021 * CHOOSE(CONTROL!$C$22, $C$13, 100%, $E$13)</f>
        <v>4.0021000000000004</v>
      </c>
      <c r="K138" s="64">
        <f>4.0043 * CHOOSE(CONTROL!$C$22, $C$13, 100%, $E$13)</f>
        <v>4.0042999999999997</v>
      </c>
      <c r="L138" s="4"/>
      <c r="M138" s="4"/>
      <c r="N138" s="4"/>
    </row>
    <row r="139" spans="1:14" ht="15">
      <c r="A139" s="13">
        <v>45870</v>
      </c>
      <c r="B139" s="63">
        <f>3.4802 * CHOOSE(CONTROL!$C$22, $C$13, 100%, $E$13)</f>
        <v>3.4802</v>
      </c>
      <c r="C139" s="63">
        <f>3.4802 * CHOOSE(CONTROL!$C$22, $C$13, 100%, $E$13)</f>
        <v>3.4802</v>
      </c>
      <c r="D139" s="63">
        <f>3.5149 * CHOOSE(CONTROL!$C$22, $C$13, 100%, $E$13)</f>
        <v>3.5148999999999999</v>
      </c>
      <c r="E139" s="64">
        <f>3.9656 * CHOOSE(CONTROL!$C$22, $C$13, 100%, $E$13)</f>
        <v>3.9655999999999998</v>
      </c>
      <c r="F139" s="64">
        <f>3.9656 * CHOOSE(CONTROL!$C$22, $C$13, 100%, $E$13)</f>
        <v>3.9655999999999998</v>
      </c>
      <c r="G139" s="64">
        <f>3.9678 * CHOOSE(CONTROL!$C$22, $C$13, 100%, $E$13)</f>
        <v>3.9678</v>
      </c>
      <c r="H139" s="64">
        <f>7.2807* CHOOSE(CONTROL!$C$22, $C$13, 100%, $E$13)</f>
        <v>7.2807000000000004</v>
      </c>
      <c r="I139" s="64">
        <f>7.2829 * CHOOSE(CONTROL!$C$22, $C$13, 100%, $E$13)</f>
        <v>7.2828999999999997</v>
      </c>
      <c r="J139" s="64">
        <f>3.9656 * CHOOSE(CONTROL!$C$22, $C$13, 100%, $E$13)</f>
        <v>3.9655999999999998</v>
      </c>
      <c r="K139" s="64">
        <f>3.9678 * CHOOSE(CONTROL!$C$22, $C$13, 100%, $E$13)</f>
        <v>3.9678</v>
      </c>
      <c r="L139" s="4"/>
      <c r="M139" s="4"/>
      <c r="N139" s="4"/>
    </row>
    <row r="140" spans="1:14" ht="15">
      <c r="A140" s="13">
        <v>45901</v>
      </c>
      <c r="B140" s="63">
        <f>3.4772 * CHOOSE(CONTROL!$C$22, $C$13, 100%, $E$13)</f>
        <v>3.4771999999999998</v>
      </c>
      <c r="C140" s="63">
        <f>3.4772 * CHOOSE(CONTROL!$C$22, $C$13, 100%, $E$13)</f>
        <v>3.4771999999999998</v>
      </c>
      <c r="D140" s="63">
        <f>3.5118 * CHOOSE(CONTROL!$C$22, $C$13, 100%, $E$13)</f>
        <v>3.5118</v>
      </c>
      <c r="E140" s="64">
        <f>3.959 * CHOOSE(CONTROL!$C$22, $C$13, 100%, $E$13)</f>
        <v>3.9590000000000001</v>
      </c>
      <c r="F140" s="64">
        <f>3.959 * CHOOSE(CONTROL!$C$22, $C$13, 100%, $E$13)</f>
        <v>3.9590000000000001</v>
      </c>
      <c r="G140" s="64">
        <f>3.9611 * CHOOSE(CONTROL!$C$22, $C$13, 100%, $E$13)</f>
        <v>3.9611000000000001</v>
      </c>
      <c r="H140" s="64">
        <f>7.2959* CHOOSE(CONTROL!$C$22, $C$13, 100%, $E$13)</f>
        <v>7.2958999999999996</v>
      </c>
      <c r="I140" s="64">
        <f>7.298 * CHOOSE(CONTROL!$C$22, $C$13, 100%, $E$13)</f>
        <v>7.298</v>
      </c>
      <c r="J140" s="64">
        <f>3.959 * CHOOSE(CONTROL!$C$22, $C$13, 100%, $E$13)</f>
        <v>3.9590000000000001</v>
      </c>
      <c r="K140" s="64">
        <f>3.9611 * CHOOSE(CONTROL!$C$22, $C$13, 100%, $E$13)</f>
        <v>3.9611000000000001</v>
      </c>
      <c r="L140" s="4"/>
      <c r="M140" s="4"/>
      <c r="N140" s="4"/>
    </row>
    <row r="141" spans="1:14" ht="15">
      <c r="A141" s="13">
        <v>45931</v>
      </c>
      <c r="B141" s="63">
        <f>3.4705 * CHOOSE(CONTROL!$C$22, $C$13, 100%, $E$13)</f>
        <v>3.4704999999999999</v>
      </c>
      <c r="C141" s="63">
        <f>3.4705 * CHOOSE(CONTROL!$C$22, $C$13, 100%, $E$13)</f>
        <v>3.4704999999999999</v>
      </c>
      <c r="D141" s="63">
        <f>3.4878 * CHOOSE(CONTROL!$C$22, $C$13, 100%, $E$13)</f>
        <v>3.4878</v>
      </c>
      <c r="E141" s="64">
        <f>3.9638 * CHOOSE(CONTROL!$C$22, $C$13, 100%, $E$13)</f>
        <v>3.9638</v>
      </c>
      <c r="F141" s="64">
        <f>3.9638 * CHOOSE(CONTROL!$C$22, $C$13, 100%, $E$13)</f>
        <v>3.9638</v>
      </c>
      <c r="G141" s="64">
        <f>3.964 * CHOOSE(CONTROL!$C$22, $C$13, 100%, $E$13)</f>
        <v>3.964</v>
      </c>
      <c r="H141" s="64">
        <f>7.3111* CHOOSE(CONTROL!$C$22, $C$13, 100%, $E$13)</f>
        <v>7.3110999999999997</v>
      </c>
      <c r="I141" s="64">
        <f>7.3113 * CHOOSE(CONTROL!$C$22, $C$13, 100%, $E$13)</f>
        <v>7.3113000000000001</v>
      </c>
      <c r="J141" s="64">
        <f>3.9638 * CHOOSE(CONTROL!$C$22, $C$13, 100%, $E$13)</f>
        <v>3.9638</v>
      </c>
      <c r="K141" s="64">
        <f>3.964 * CHOOSE(CONTROL!$C$22, $C$13, 100%, $E$13)</f>
        <v>3.964</v>
      </c>
      <c r="L141" s="4"/>
      <c r="M141" s="4"/>
      <c r="N141" s="4"/>
    </row>
    <row r="142" spans="1:14" ht="15">
      <c r="A142" s="13">
        <v>45962</v>
      </c>
      <c r="B142" s="63">
        <f>3.4735 * CHOOSE(CONTROL!$C$22, $C$13, 100%, $E$13)</f>
        <v>3.4735</v>
      </c>
      <c r="C142" s="63">
        <f>3.4735 * CHOOSE(CONTROL!$C$22, $C$13, 100%, $E$13)</f>
        <v>3.4735</v>
      </c>
      <c r="D142" s="63">
        <f>3.4909 * CHOOSE(CONTROL!$C$22, $C$13, 100%, $E$13)</f>
        <v>3.4908999999999999</v>
      </c>
      <c r="E142" s="64">
        <f>3.9751 * CHOOSE(CONTROL!$C$22, $C$13, 100%, $E$13)</f>
        <v>3.9750999999999999</v>
      </c>
      <c r="F142" s="64">
        <f>3.9751 * CHOOSE(CONTROL!$C$22, $C$13, 100%, $E$13)</f>
        <v>3.9750999999999999</v>
      </c>
      <c r="G142" s="64">
        <f>3.9753 * CHOOSE(CONTROL!$C$22, $C$13, 100%, $E$13)</f>
        <v>3.9752999999999998</v>
      </c>
      <c r="H142" s="64">
        <f>7.3263* CHOOSE(CONTROL!$C$22, $C$13, 100%, $E$13)</f>
        <v>7.3262999999999998</v>
      </c>
      <c r="I142" s="64">
        <f>7.3265 * CHOOSE(CONTROL!$C$22, $C$13, 100%, $E$13)</f>
        <v>7.3265000000000002</v>
      </c>
      <c r="J142" s="64">
        <f>3.9751 * CHOOSE(CONTROL!$C$22, $C$13, 100%, $E$13)</f>
        <v>3.9750999999999999</v>
      </c>
      <c r="K142" s="64">
        <f>3.9753 * CHOOSE(CONTROL!$C$22, $C$13, 100%, $E$13)</f>
        <v>3.9752999999999998</v>
      </c>
    </row>
    <row r="143" spans="1:14" ht="15">
      <c r="A143" s="13">
        <v>45992</v>
      </c>
      <c r="B143" s="63">
        <f>3.4735 * CHOOSE(CONTROL!$C$22, $C$13, 100%, $E$13)</f>
        <v>3.4735</v>
      </c>
      <c r="C143" s="63">
        <f>3.4735 * CHOOSE(CONTROL!$C$22, $C$13, 100%, $E$13)</f>
        <v>3.4735</v>
      </c>
      <c r="D143" s="63">
        <f>3.4909 * CHOOSE(CONTROL!$C$22, $C$13, 100%, $E$13)</f>
        <v>3.4908999999999999</v>
      </c>
      <c r="E143" s="64">
        <f>3.9522 * CHOOSE(CONTROL!$C$22, $C$13, 100%, $E$13)</f>
        <v>3.9521999999999999</v>
      </c>
      <c r="F143" s="64">
        <f>3.9522 * CHOOSE(CONTROL!$C$22, $C$13, 100%, $E$13)</f>
        <v>3.9521999999999999</v>
      </c>
      <c r="G143" s="64">
        <f>3.9524 * CHOOSE(CONTROL!$C$22, $C$13, 100%, $E$13)</f>
        <v>3.9523999999999999</v>
      </c>
      <c r="H143" s="64">
        <f>7.3416* CHOOSE(CONTROL!$C$22, $C$13, 100%, $E$13)</f>
        <v>7.3415999999999997</v>
      </c>
      <c r="I143" s="64">
        <f>7.3418 * CHOOSE(CONTROL!$C$22, $C$13, 100%, $E$13)</f>
        <v>7.3418000000000001</v>
      </c>
      <c r="J143" s="64">
        <f>3.9522 * CHOOSE(CONTROL!$C$22, $C$13, 100%, $E$13)</f>
        <v>3.9521999999999999</v>
      </c>
      <c r="K143" s="64">
        <f>3.9524 * CHOOSE(CONTROL!$C$22, $C$13, 100%, $E$13)</f>
        <v>3.9523999999999999</v>
      </c>
    </row>
    <row r="144" spans="1:14" ht="15">
      <c r="A144" s="13">
        <v>46023</v>
      </c>
      <c r="B144" s="63">
        <f>3.4998 * CHOOSE(CONTROL!$C$22, $C$13, 100%, $E$13)</f>
        <v>3.4998</v>
      </c>
      <c r="C144" s="63">
        <f>3.4998 * CHOOSE(CONTROL!$C$22, $C$13, 100%, $E$13)</f>
        <v>3.4998</v>
      </c>
      <c r="D144" s="63">
        <f>3.5171 * CHOOSE(CONTROL!$C$22, $C$13, 100%, $E$13)</f>
        <v>3.5171000000000001</v>
      </c>
      <c r="E144" s="64">
        <f>3.9948 * CHOOSE(CONTROL!$C$22, $C$13, 100%, $E$13)</f>
        <v>3.9948000000000001</v>
      </c>
      <c r="F144" s="64">
        <f>3.9948 * CHOOSE(CONTROL!$C$22, $C$13, 100%, $E$13)</f>
        <v>3.9948000000000001</v>
      </c>
      <c r="G144" s="64">
        <f>3.995 * CHOOSE(CONTROL!$C$22, $C$13, 100%, $E$13)</f>
        <v>3.9950000000000001</v>
      </c>
      <c r="H144" s="64">
        <f>7.3569* CHOOSE(CONTROL!$C$22, $C$13, 100%, $E$13)</f>
        <v>7.3569000000000004</v>
      </c>
      <c r="I144" s="64">
        <f>7.3571 * CHOOSE(CONTROL!$C$22, $C$13, 100%, $E$13)</f>
        <v>7.3571</v>
      </c>
      <c r="J144" s="64">
        <f>3.9948 * CHOOSE(CONTROL!$C$22, $C$13, 100%, $E$13)</f>
        <v>3.9948000000000001</v>
      </c>
      <c r="K144" s="64">
        <f>3.995 * CHOOSE(CONTROL!$C$22, $C$13, 100%, $E$13)</f>
        <v>3.9950000000000001</v>
      </c>
    </row>
    <row r="145" spans="1:11" ht="15">
      <c r="A145" s="13">
        <v>46054</v>
      </c>
      <c r="B145" s="63">
        <f>3.4968 * CHOOSE(CONTROL!$C$22, $C$13, 100%, $E$13)</f>
        <v>3.4967999999999999</v>
      </c>
      <c r="C145" s="63">
        <f>3.4968 * CHOOSE(CONTROL!$C$22, $C$13, 100%, $E$13)</f>
        <v>3.4967999999999999</v>
      </c>
      <c r="D145" s="63">
        <f>3.5141 * CHOOSE(CONTROL!$C$22, $C$13, 100%, $E$13)</f>
        <v>3.5141</v>
      </c>
      <c r="E145" s="64">
        <f>3.9484 * CHOOSE(CONTROL!$C$22, $C$13, 100%, $E$13)</f>
        <v>3.9483999999999999</v>
      </c>
      <c r="F145" s="64">
        <f>3.9484 * CHOOSE(CONTROL!$C$22, $C$13, 100%, $E$13)</f>
        <v>3.9483999999999999</v>
      </c>
      <c r="G145" s="64">
        <f>3.9486 * CHOOSE(CONTROL!$C$22, $C$13, 100%, $E$13)</f>
        <v>3.9485999999999999</v>
      </c>
      <c r="H145" s="64">
        <f>7.3722* CHOOSE(CONTROL!$C$22, $C$13, 100%, $E$13)</f>
        <v>7.3722000000000003</v>
      </c>
      <c r="I145" s="64">
        <f>7.3724 * CHOOSE(CONTROL!$C$22, $C$13, 100%, $E$13)</f>
        <v>7.3723999999999998</v>
      </c>
      <c r="J145" s="64">
        <f>3.9484 * CHOOSE(CONTROL!$C$22, $C$13, 100%, $E$13)</f>
        <v>3.9483999999999999</v>
      </c>
      <c r="K145" s="64">
        <f>3.9486 * CHOOSE(CONTROL!$C$22, $C$13, 100%, $E$13)</f>
        <v>3.9485999999999999</v>
      </c>
    </row>
    <row r="146" spans="1:11" ht="15">
      <c r="A146" s="13">
        <v>46082</v>
      </c>
      <c r="B146" s="63">
        <f>3.4937 * CHOOSE(CONTROL!$C$22, $C$13, 100%, $E$13)</f>
        <v>3.4937</v>
      </c>
      <c r="C146" s="63">
        <f>3.4937 * CHOOSE(CONTROL!$C$22, $C$13, 100%, $E$13)</f>
        <v>3.4937</v>
      </c>
      <c r="D146" s="63">
        <f>3.5111 * CHOOSE(CONTROL!$C$22, $C$13, 100%, $E$13)</f>
        <v>3.5110999999999999</v>
      </c>
      <c r="E146" s="64">
        <f>3.9812 * CHOOSE(CONTROL!$C$22, $C$13, 100%, $E$13)</f>
        <v>3.9811999999999999</v>
      </c>
      <c r="F146" s="64">
        <f>3.9812 * CHOOSE(CONTROL!$C$22, $C$13, 100%, $E$13)</f>
        <v>3.9811999999999999</v>
      </c>
      <c r="G146" s="64">
        <f>3.9814 * CHOOSE(CONTROL!$C$22, $C$13, 100%, $E$13)</f>
        <v>3.9813999999999998</v>
      </c>
      <c r="H146" s="64">
        <f>7.3876* CHOOSE(CONTROL!$C$22, $C$13, 100%, $E$13)</f>
        <v>7.3875999999999999</v>
      </c>
      <c r="I146" s="64">
        <f>7.3877 * CHOOSE(CONTROL!$C$22, $C$13, 100%, $E$13)</f>
        <v>7.3876999999999997</v>
      </c>
      <c r="J146" s="64">
        <f>3.9812 * CHOOSE(CONTROL!$C$22, $C$13, 100%, $E$13)</f>
        <v>3.9811999999999999</v>
      </c>
      <c r="K146" s="64">
        <f>3.9814 * CHOOSE(CONTROL!$C$22, $C$13, 100%, $E$13)</f>
        <v>3.9813999999999998</v>
      </c>
    </row>
    <row r="147" spans="1:11" ht="15">
      <c r="A147" s="13">
        <v>46113</v>
      </c>
      <c r="B147" s="63">
        <f>3.491 * CHOOSE(CONTROL!$C$22, $C$13, 100%, $E$13)</f>
        <v>3.4910000000000001</v>
      </c>
      <c r="C147" s="63">
        <f>3.491 * CHOOSE(CONTROL!$C$22, $C$13, 100%, $E$13)</f>
        <v>3.4910000000000001</v>
      </c>
      <c r="D147" s="63">
        <f>3.5083 * CHOOSE(CONTROL!$C$22, $C$13, 100%, $E$13)</f>
        <v>3.5083000000000002</v>
      </c>
      <c r="E147" s="64">
        <f>4.0145 * CHOOSE(CONTROL!$C$22, $C$13, 100%, $E$13)</f>
        <v>4.0145</v>
      </c>
      <c r="F147" s="64">
        <f>4.0145 * CHOOSE(CONTROL!$C$22, $C$13, 100%, $E$13)</f>
        <v>4.0145</v>
      </c>
      <c r="G147" s="64">
        <f>4.0147 * CHOOSE(CONTROL!$C$22, $C$13, 100%, $E$13)</f>
        <v>4.0147000000000004</v>
      </c>
      <c r="H147" s="64">
        <f>7.403* CHOOSE(CONTROL!$C$22, $C$13, 100%, $E$13)</f>
        <v>7.4029999999999996</v>
      </c>
      <c r="I147" s="64">
        <f>7.4031 * CHOOSE(CONTROL!$C$22, $C$13, 100%, $E$13)</f>
        <v>7.4031000000000002</v>
      </c>
      <c r="J147" s="64">
        <f>4.0145 * CHOOSE(CONTROL!$C$22, $C$13, 100%, $E$13)</f>
        <v>4.0145</v>
      </c>
      <c r="K147" s="64">
        <f>4.0147 * CHOOSE(CONTROL!$C$22, $C$13, 100%, $E$13)</f>
        <v>4.0147000000000004</v>
      </c>
    </row>
    <row r="148" spans="1:11" ht="15">
      <c r="A148" s="13">
        <v>46143</v>
      </c>
      <c r="B148" s="63">
        <f>3.491 * CHOOSE(CONTROL!$C$22, $C$13, 100%, $E$13)</f>
        <v>3.4910000000000001</v>
      </c>
      <c r="C148" s="63">
        <f>3.491 * CHOOSE(CONTROL!$C$22, $C$13, 100%, $E$13)</f>
        <v>3.4910000000000001</v>
      </c>
      <c r="D148" s="63">
        <f>3.5256 * CHOOSE(CONTROL!$C$22, $C$13, 100%, $E$13)</f>
        <v>3.5255999999999998</v>
      </c>
      <c r="E148" s="64">
        <f>4.0285 * CHOOSE(CONTROL!$C$22, $C$13, 100%, $E$13)</f>
        <v>4.0285000000000002</v>
      </c>
      <c r="F148" s="64">
        <f>4.0285 * CHOOSE(CONTROL!$C$22, $C$13, 100%, $E$13)</f>
        <v>4.0285000000000002</v>
      </c>
      <c r="G148" s="64">
        <f>4.0307 * CHOOSE(CONTROL!$C$22, $C$13, 100%, $E$13)</f>
        <v>4.0307000000000004</v>
      </c>
      <c r="H148" s="64">
        <f>7.4184* CHOOSE(CONTROL!$C$22, $C$13, 100%, $E$13)</f>
        <v>7.4184000000000001</v>
      </c>
      <c r="I148" s="64">
        <f>7.4205 * CHOOSE(CONTROL!$C$22, $C$13, 100%, $E$13)</f>
        <v>7.4204999999999997</v>
      </c>
      <c r="J148" s="64">
        <f>4.0285 * CHOOSE(CONTROL!$C$22, $C$13, 100%, $E$13)</f>
        <v>4.0285000000000002</v>
      </c>
      <c r="K148" s="64">
        <f>4.0307 * CHOOSE(CONTROL!$C$22, $C$13, 100%, $E$13)</f>
        <v>4.0307000000000004</v>
      </c>
    </row>
    <row r="149" spans="1:11" ht="15">
      <c r="A149" s="13">
        <v>46174</v>
      </c>
      <c r="B149" s="63">
        <f>3.497 * CHOOSE(CONTROL!$C$22, $C$13, 100%, $E$13)</f>
        <v>3.4969999999999999</v>
      </c>
      <c r="C149" s="63">
        <f>3.497 * CHOOSE(CONTROL!$C$22, $C$13, 100%, $E$13)</f>
        <v>3.4969999999999999</v>
      </c>
      <c r="D149" s="63">
        <f>3.5317 * CHOOSE(CONTROL!$C$22, $C$13, 100%, $E$13)</f>
        <v>3.5316999999999998</v>
      </c>
      <c r="E149" s="64">
        <f>4.0187 * CHOOSE(CONTROL!$C$22, $C$13, 100%, $E$13)</f>
        <v>4.0186999999999999</v>
      </c>
      <c r="F149" s="64">
        <f>4.0187 * CHOOSE(CONTROL!$C$22, $C$13, 100%, $E$13)</f>
        <v>4.0186999999999999</v>
      </c>
      <c r="G149" s="64">
        <f>4.0209 * CHOOSE(CONTROL!$C$22, $C$13, 100%, $E$13)</f>
        <v>4.0209000000000001</v>
      </c>
      <c r="H149" s="64">
        <f>7.4338* CHOOSE(CONTROL!$C$22, $C$13, 100%, $E$13)</f>
        <v>7.4337999999999997</v>
      </c>
      <c r="I149" s="64">
        <f>7.436 * CHOOSE(CONTROL!$C$22, $C$13, 100%, $E$13)</f>
        <v>7.4359999999999999</v>
      </c>
      <c r="J149" s="64">
        <f>4.0187 * CHOOSE(CONTROL!$C$22, $C$13, 100%, $E$13)</f>
        <v>4.0186999999999999</v>
      </c>
      <c r="K149" s="64">
        <f>4.0209 * CHOOSE(CONTROL!$C$22, $C$13, 100%, $E$13)</f>
        <v>4.0209000000000001</v>
      </c>
    </row>
    <row r="150" spans="1:11" ht="15">
      <c r="A150" s="13">
        <v>46204</v>
      </c>
      <c r="B150" s="63">
        <f>3.5437 * CHOOSE(CONTROL!$C$22, $C$13, 100%, $E$13)</f>
        <v>3.5436999999999999</v>
      </c>
      <c r="C150" s="63">
        <f>3.5437 * CHOOSE(CONTROL!$C$22, $C$13, 100%, $E$13)</f>
        <v>3.5436999999999999</v>
      </c>
      <c r="D150" s="63">
        <f>3.5783 * CHOOSE(CONTROL!$C$22, $C$13, 100%, $E$13)</f>
        <v>3.5783</v>
      </c>
      <c r="E150" s="64">
        <f>4.0789 * CHOOSE(CONTROL!$C$22, $C$13, 100%, $E$13)</f>
        <v>4.0789</v>
      </c>
      <c r="F150" s="64">
        <f>4.0789 * CHOOSE(CONTROL!$C$22, $C$13, 100%, $E$13)</f>
        <v>4.0789</v>
      </c>
      <c r="G150" s="64">
        <f>4.0811 * CHOOSE(CONTROL!$C$22, $C$13, 100%, $E$13)</f>
        <v>4.0811000000000002</v>
      </c>
      <c r="H150" s="64">
        <f>7.4493* CHOOSE(CONTROL!$C$22, $C$13, 100%, $E$13)</f>
        <v>7.4493</v>
      </c>
      <c r="I150" s="64">
        <f>7.4515 * CHOOSE(CONTROL!$C$22, $C$13, 100%, $E$13)</f>
        <v>7.4515000000000002</v>
      </c>
      <c r="J150" s="64">
        <f>4.0789 * CHOOSE(CONTROL!$C$22, $C$13, 100%, $E$13)</f>
        <v>4.0789</v>
      </c>
      <c r="K150" s="64">
        <f>4.0811 * CHOOSE(CONTROL!$C$22, $C$13, 100%, $E$13)</f>
        <v>4.0811000000000002</v>
      </c>
    </row>
    <row r="151" spans="1:11" ht="15">
      <c r="A151" s="13">
        <v>46235</v>
      </c>
      <c r="B151" s="63">
        <f>3.5504 * CHOOSE(CONTROL!$C$22, $C$13, 100%, $E$13)</f>
        <v>3.5503999999999998</v>
      </c>
      <c r="C151" s="63">
        <f>3.5504 * CHOOSE(CONTROL!$C$22, $C$13, 100%, $E$13)</f>
        <v>3.5503999999999998</v>
      </c>
      <c r="D151" s="63">
        <f>3.585 * CHOOSE(CONTROL!$C$22, $C$13, 100%, $E$13)</f>
        <v>3.585</v>
      </c>
      <c r="E151" s="64">
        <f>4.0414 * CHOOSE(CONTROL!$C$22, $C$13, 100%, $E$13)</f>
        <v>4.0414000000000003</v>
      </c>
      <c r="F151" s="64">
        <f>4.0414 * CHOOSE(CONTROL!$C$22, $C$13, 100%, $E$13)</f>
        <v>4.0414000000000003</v>
      </c>
      <c r="G151" s="64">
        <f>4.0436 * CHOOSE(CONTROL!$C$22, $C$13, 100%, $E$13)</f>
        <v>4.0435999999999996</v>
      </c>
      <c r="H151" s="64">
        <f>7.4648* CHOOSE(CONTROL!$C$22, $C$13, 100%, $E$13)</f>
        <v>7.4648000000000003</v>
      </c>
      <c r="I151" s="64">
        <f>7.467 * CHOOSE(CONTROL!$C$22, $C$13, 100%, $E$13)</f>
        <v>7.4669999999999996</v>
      </c>
      <c r="J151" s="64">
        <f>4.0414 * CHOOSE(CONTROL!$C$22, $C$13, 100%, $E$13)</f>
        <v>4.0414000000000003</v>
      </c>
      <c r="K151" s="64">
        <f>4.0436 * CHOOSE(CONTROL!$C$22, $C$13, 100%, $E$13)</f>
        <v>4.0435999999999996</v>
      </c>
    </row>
    <row r="152" spans="1:11" ht="15">
      <c r="A152" s="13">
        <v>46266</v>
      </c>
      <c r="B152" s="63">
        <f>3.5473 * CHOOSE(CONTROL!$C$22, $C$13, 100%, $E$13)</f>
        <v>3.5472999999999999</v>
      </c>
      <c r="C152" s="63">
        <f>3.5473 * CHOOSE(CONTROL!$C$22, $C$13, 100%, $E$13)</f>
        <v>3.5472999999999999</v>
      </c>
      <c r="D152" s="63">
        <f>3.582 * CHOOSE(CONTROL!$C$22, $C$13, 100%, $E$13)</f>
        <v>3.5819999999999999</v>
      </c>
      <c r="E152" s="64">
        <f>4.0346 * CHOOSE(CONTROL!$C$22, $C$13, 100%, $E$13)</f>
        <v>4.0346000000000002</v>
      </c>
      <c r="F152" s="64">
        <f>4.0346 * CHOOSE(CONTROL!$C$22, $C$13, 100%, $E$13)</f>
        <v>4.0346000000000002</v>
      </c>
      <c r="G152" s="64">
        <f>4.0367 * CHOOSE(CONTROL!$C$22, $C$13, 100%, $E$13)</f>
        <v>4.0366999999999997</v>
      </c>
      <c r="H152" s="64">
        <f>7.4804* CHOOSE(CONTROL!$C$22, $C$13, 100%, $E$13)</f>
        <v>7.4804000000000004</v>
      </c>
      <c r="I152" s="64">
        <f>7.4825 * CHOOSE(CONTROL!$C$22, $C$13, 100%, $E$13)</f>
        <v>7.4824999999999999</v>
      </c>
      <c r="J152" s="64">
        <f>4.0346 * CHOOSE(CONTROL!$C$22, $C$13, 100%, $E$13)</f>
        <v>4.0346000000000002</v>
      </c>
      <c r="K152" s="64">
        <f>4.0367 * CHOOSE(CONTROL!$C$22, $C$13, 100%, $E$13)</f>
        <v>4.0366999999999997</v>
      </c>
    </row>
    <row r="153" spans="1:11" ht="15">
      <c r="A153" s="13">
        <v>46296</v>
      </c>
      <c r="B153" s="63">
        <f>3.541 * CHOOSE(CONTROL!$C$22, $C$13, 100%, $E$13)</f>
        <v>3.5409999999999999</v>
      </c>
      <c r="C153" s="63">
        <f>3.541 * CHOOSE(CONTROL!$C$22, $C$13, 100%, $E$13)</f>
        <v>3.5409999999999999</v>
      </c>
      <c r="D153" s="63">
        <f>3.5583 * CHOOSE(CONTROL!$C$22, $C$13, 100%, $E$13)</f>
        <v>3.5583</v>
      </c>
      <c r="E153" s="64">
        <f>4.0399 * CHOOSE(CONTROL!$C$22, $C$13, 100%, $E$13)</f>
        <v>4.0399000000000003</v>
      </c>
      <c r="F153" s="64">
        <f>4.0399 * CHOOSE(CONTROL!$C$22, $C$13, 100%, $E$13)</f>
        <v>4.0399000000000003</v>
      </c>
      <c r="G153" s="64">
        <f>4.0401 * CHOOSE(CONTROL!$C$22, $C$13, 100%, $E$13)</f>
        <v>4.0400999999999998</v>
      </c>
      <c r="H153" s="64">
        <f>7.496* CHOOSE(CONTROL!$C$22, $C$13, 100%, $E$13)</f>
        <v>7.4960000000000004</v>
      </c>
      <c r="I153" s="64">
        <f>7.4962 * CHOOSE(CONTROL!$C$22, $C$13, 100%, $E$13)</f>
        <v>7.4962</v>
      </c>
      <c r="J153" s="64">
        <f>4.0399 * CHOOSE(CONTROL!$C$22, $C$13, 100%, $E$13)</f>
        <v>4.0399000000000003</v>
      </c>
      <c r="K153" s="64">
        <f>4.0401 * CHOOSE(CONTROL!$C$22, $C$13, 100%, $E$13)</f>
        <v>4.0400999999999998</v>
      </c>
    </row>
    <row r="154" spans="1:11" ht="15">
      <c r="A154" s="13">
        <v>46327</v>
      </c>
      <c r="B154" s="63">
        <f>3.544 * CHOOSE(CONTROL!$C$22, $C$13, 100%, $E$13)</f>
        <v>3.544</v>
      </c>
      <c r="C154" s="63">
        <f>3.544 * CHOOSE(CONTROL!$C$22, $C$13, 100%, $E$13)</f>
        <v>3.544</v>
      </c>
      <c r="D154" s="63">
        <f>3.5613 * CHOOSE(CONTROL!$C$22, $C$13, 100%, $E$13)</f>
        <v>3.5613000000000001</v>
      </c>
      <c r="E154" s="64">
        <f>4.0514 * CHOOSE(CONTROL!$C$22, $C$13, 100%, $E$13)</f>
        <v>4.0514000000000001</v>
      </c>
      <c r="F154" s="64">
        <f>4.0514 * CHOOSE(CONTROL!$C$22, $C$13, 100%, $E$13)</f>
        <v>4.0514000000000001</v>
      </c>
      <c r="G154" s="64">
        <f>4.0516 * CHOOSE(CONTROL!$C$22, $C$13, 100%, $E$13)</f>
        <v>4.0515999999999996</v>
      </c>
      <c r="H154" s="64">
        <f>7.5116* CHOOSE(CONTROL!$C$22, $C$13, 100%, $E$13)</f>
        <v>7.5115999999999996</v>
      </c>
      <c r="I154" s="64">
        <f>7.5118 * CHOOSE(CONTROL!$C$22, $C$13, 100%, $E$13)</f>
        <v>7.5118</v>
      </c>
      <c r="J154" s="64">
        <f>4.0514 * CHOOSE(CONTROL!$C$22, $C$13, 100%, $E$13)</f>
        <v>4.0514000000000001</v>
      </c>
      <c r="K154" s="64">
        <f>4.0516 * CHOOSE(CONTROL!$C$22, $C$13, 100%, $E$13)</f>
        <v>4.0515999999999996</v>
      </c>
    </row>
    <row r="155" spans="1:11" ht="15">
      <c r="A155" s="13">
        <v>46357</v>
      </c>
      <c r="B155" s="63">
        <f>3.544 * CHOOSE(CONTROL!$C$22, $C$13, 100%, $E$13)</f>
        <v>3.544</v>
      </c>
      <c r="C155" s="63">
        <f>3.544 * CHOOSE(CONTROL!$C$22, $C$13, 100%, $E$13)</f>
        <v>3.544</v>
      </c>
      <c r="D155" s="63">
        <f>3.5613 * CHOOSE(CONTROL!$C$22, $C$13, 100%, $E$13)</f>
        <v>3.5613000000000001</v>
      </c>
      <c r="E155" s="64">
        <f>4.028 * CHOOSE(CONTROL!$C$22, $C$13, 100%, $E$13)</f>
        <v>4.0279999999999996</v>
      </c>
      <c r="F155" s="64">
        <f>4.028 * CHOOSE(CONTROL!$C$22, $C$13, 100%, $E$13)</f>
        <v>4.0279999999999996</v>
      </c>
      <c r="G155" s="64">
        <f>4.0282 * CHOOSE(CONTROL!$C$22, $C$13, 100%, $E$13)</f>
        <v>4.0282</v>
      </c>
      <c r="H155" s="64">
        <f>7.5273* CHOOSE(CONTROL!$C$22, $C$13, 100%, $E$13)</f>
        <v>7.5273000000000003</v>
      </c>
      <c r="I155" s="64">
        <f>7.5274 * CHOOSE(CONTROL!$C$22, $C$13, 100%, $E$13)</f>
        <v>7.5274000000000001</v>
      </c>
      <c r="J155" s="64">
        <f>4.028 * CHOOSE(CONTROL!$C$22, $C$13, 100%, $E$13)</f>
        <v>4.0279999999999996</v>
      </c>
      <c r="K155" s="64">
        <f>4.0282 * CHOOSE(CONTROL!$C$22, $C$13, 100%, $E$13)</f>
        <v>4.0282</v>
      </c>
    </row>
    <row r="156" spans="1:11" ht="15">
      <c r="A156" s="13">
        <v>46388</v>
      </c>
      <c r="B156" s="63">
        <f>3.5723 * CHOOSE(CONTROL!$C$22, $C$13, 100%, $E$13)</f>
        <v>3.5722999999999998</v>
      </c>
      <c r="C156" s="63">
        <f>3.5723 * CHOOSE(CONTROL!$C$22, $C$13, 100%, $E$13)</f>
        <v>3.5722999999999998</v>
      </c>
      <c r="D156" s="63">
        <f>3.5896 * CHOOSE(CONTROL!$C$22, $C$13, 100%, $E$13)</f>
        <v>3.5895999999999999</v>
      </c>
      <c r="E156" s="64">
        <f>4.0707 * CHOOSE(CONTROL!$C$22, $C$13, 100%, $E$13)</f>
        <v>4.0707000000000004</v>
      </c>
      <c r="F156" s="64">
        <f>4.0707 * CHOOSE(CONTROL!$C$22, $C$13, 100%, $E$13)</f>
        <v>4.0707000000000004</v>
      </c>
      <c r="G156" s="64">
        <f>4.0708 * CHOOSE(CONTROL!$C$22, $C$13, 100%, $E$13)</f>
        <v>4.0708000000000002</v>
      </c>
      <c r="H156" s="64">
        <f>7.5429* CHOOSE(CONTROL!$C$22, $C$13, 100%, $E$13)</f>
        <v>7.5429000000000004</v>
      </c>
      <c r="I156" s="64">
        <f>7.5431 * CHOOSE(CONTROL!$C$22, $C$13, 100%, $E$13)</f>
        <v>7.5430999999999999</v>
      </c>
      <c r="J156" s="64">
        <f>4.0707 * CHOOSE(CONTROL!$C$22, $C$13, 100%, $E$13)</f>
        <v>4.0707000000000004</v>
      </c>
      <c r="K156" s="64">
        <f>4.0708 * CHOOSE(CONTROL!$C$22, $C$13, 100%, $E$13)</f>
        <v>4.0708000000000002</v>
      </c>
    </row>
    <row r="157" spans="1:11" ht="15">
      <c r="A157" s="13">
        <v>46419</v>
      </c>
      <c r="B157" s="63">
        <f>3.5693 * CHOOSE(CONTROL!$C$22, $C$13, 100%, $E$13)</f>
        <v>3.5693000000000001</v>
      </c>
      <c r="C157" s="63">
        <f>3.5693 * CHOOSE(CONTROL!$C$22, $C$13, 100%, $E$13)</f>
        <v>3.5693000000000001</v>
      </c>
      <c r="D157" s="63">
        <f>3.5866 * CHOOSE(CONTROL!$C$22, $C$13, 100%, $E$13)</f>
        <v>3.5865999999999998</v>
      </c>
      <c r="E157" s="64">
        <f>4.0231 * CHOOSE(CONTROL!$C$22, $C$13, 100%, $E$13)</f>
        <v>4.0231000000000003</v>
      </c>
      <c r="F157" s="64">
        <f>4.0231 * CHOOSE(CONTROL!$C$22, $C$13, 100%, $E$13)</f>
        <v>4.0231000000000003</v>
      </c>
      <c r="G157" s="64">
        <f>4.0233 * CHOOSE(CONTROL!$C$22, $C$13, 100%, $E$13)</f>
        <v>4.0232999999999999</v>
      </c>
      <c r="H157" s="64">
        <f>7.5586* CHOOSE(CONTROL!$C$22, $C$13, 100%, $E$13)</f>
        <v>7.5586000000000002</v>
      </c>
      <c r="I157" s="64">
        <f>7.5588 * CHOOSE(CONTROL!$C$22, $C$13, 100%, $E$13)</f>
        <v>7.5587999999999997</v>
      </c>
      <c r="J157" s="64">
        <f>4.0231 * CHOOSE(CONTROL!$C$22, $C$13, 100%, $E$13)</f>
        <v>4.0231000000000003</v>
      </c>
      <c r="K157" s="64">
        <f>4.0233 * CHOOSE(CONTROL!$C$22, $C$13, 100%, $E$13)</f>
        <v>4.0232999999999999</v>
      </c>
    </row>
    <row r="158" spans="1:11" ht="15">
      <c r="A158" s="13">
        <v>46447</v>
      </c>
      <c r="B158" s="63">
        <f>3.5662 * CHOOSE(CONTROL!$C$22, $C$13, 100%, $E$13)</f>
        <v>3.5661999999999998</v>
      </c>
      <c r="C158" s="63">
        <f>3.5662 * CHOOSE(CONTROL!$C$22, $C$13, 100%, $E$13)</f>
        <v>3.5661999999999998</v>
      </c>
      <c r="D158" s="63">
        <f>3.5836 * CHOOSE(CONTROL!$C$22, $C$13, 100%, $E$13)</f>
        <v>3.5836000000000001</v>
      </c>
      <c r="E158" s="64">
        <f>4.0568 * CHOOSE(CONTROL!$C$22, $C$13, 100%, $E$13)</f>
        <v>4.0568</v>
      </c>
      <c r="F158" s="64">
        <f>4.0568 * CHOOSE(CONTROL!$C$22, $C$13, 100%, $E$13)</f>
        <v>4.0568</v>
      </c>
      <c r="G158" s="64">
        <f>4.057 * CHOOSE(CONTROL!$C$22, $C$13, 100%, $E$13)</f>
        <v>4.0570000000000004</v>
      </c>
      <c r="H158" s="64">
        <f>7.5744* CHOOSE(CONTROL!$C$22, $C$13, 100%, $E$13)</f>
        <v>7.5743999999999998</v>
      </c>
      <c r="I158" s="64">
        <f>7.5746 * CHOOSE(CONTROL!$C$22, $C$13, 100%, $E$13)</f>
        <v>7.5746000000000002</v>
      </c>
      <c r="J158" s="64">
        <f>4.0568 * CHOOSE(CONTROL!$C$22, $C$13, 100%, $E$13)</f>
        <v>4.0568</v>
      </c>
      <c r="K158" s="64">
        <f>4.057 * CHOOSE(CONTROL!$C$22, $C$13, 100%, $E$13)</f>
        <v>4.0570000000000004</v>
      </c>
    </row>
    <row r="159" spans="1:11" ht="15">
      <c r="A159" s="13">
        <v>46478</v>
      </c>
      <c r="B159" s="63">
        <f>3.5635 * CHOOSE(CONTROL!$C$22, $C$13, 100%, $E$13)</f>
        <v>3.5634999999999999</v>
      </c>
      <c r="C159" s="63">
        <f>3.5635 * CHOOSE(CONTROL!$C$22, $C$13, 100%, $E$13)</f>
        <v>3.5634999999999999</v>
      </c>
      <c r="D159" s="63">
        <f>3.5809 * CHOOSE(CONTROL!$C$22, $C$13, 100%, $E$13)</f>
        <v>3.5809000000000002</v>
      </c>
      <c r="E159" s="64">
        <f>4.091 * CHOOSE(CONTROL!$C$22, $C$13, 100%, $E$13)</f>
        <v>4.0910000000000002</v>
      </c>
      <c r="F159" s="64">
        <f>4.091 * CHOOSE(CONTROL!$C$22, $C$13, 100%, $E$13)</f>
        <v>4.0910000000000002</v>
      </c>
      <c r="G159" s="64">
        <f>4.0912 * CHOOSE(CONTROL!$C$22, $C$13, 100%, $E$13)</f>
        <v>4.0911999999999997</v>
      </c>
      <c r="H159" s="64">
        <f>7.5902* CHOOSE(CONTROL!$C$22, $C$13, 100%, $E$13)</f>
        <v>7.5902000000000003</v>
      </c>
      <c r="I159" s="64">
        <f>7.5904 * CHOOSE(CONTROL!$C$22, $C$13, 100%, $E$13)</f>
        <v>7.5903999999999998</v>
      </c>
      <c r="J159" s="64">
        <f>4.091 * CHOOSE(CONTROL!$C$22, $C$13, 100%, $E$13)</f>
        <v>4.0910000000000002</v>
      </c>
      <c r="K159" s="64">
        <f>4.0912 * CHOOSE(CONTROL!$C$22, $C$13, 100%, $E$13)</f>
        <v>4.0911999999999997</v>
      </c>
    </row>
    <row r="160" spans="1:11" ht="15">
      <c r="A160" s="13">
        <v>46508</v>
      </c>
      <c r="B160" s="63">
        <f>3.5635 * CHOOSE(CONTROL!$C$22, $C$13, 100%, $E$13)</f>
        <v>3.5634999999999999</v>
      </c>
      <c r="C160" s="63">
        <f>3.5635 * CHOOSE(CONTROL!$C$22, $C$13, 100%, $E$13)</f>
        <v>3.5634999999999999</v>
      </c>
      <c r="D160" s="63">
        <f>3.5982 * CHOOSE(CONTROL!$C$22, $C$13, 100%, $E$13)</f>
        <v>3.5981999999999998</v>
      </c>
      <c r="E160" s="64">
        <f>4.1054 * CHOOSE(CONTROL!$C$22, $C$13, 100%, $E$13)</f>
        <v>4.1054000000000004</v>
      </c>
      <c r="F160" s="64">
        <f>4.1054 * CHOOSE(CONTROL!$C$22, $C$13, 100%, $E$13)</f>
        <v>4.1054000000000004</v>
      </c>
      <c r="G160" s="64">
        <f>4.1076 * CHOOSE(CONTROL!$C$22, $C$13, 100%, $E$13)</f>
        <v>4.1075999999999997</v>
      </c>
      <c r="H160" s="64">
        <f>7.606* CHOOSE(CONTROL!$C$22, $C$13, 100%, $E$13)</f>
        <v>7.6059999999999999</v>
      </c>
      <c r="I160" s="64">
        <f>7.6081 * CHOOSE(CONTROL!$C$22, $C$13, 100%, $E$13)</f>
        <v>7.6081000000000003</v>
      </c>
      <c r="J160" s="64">
        <f>4.1054 * CHOOSE(CONTROL!$C$22, $C$13, 100%, $E$13)</f>
        <v>4.1054000000000004</v>
      </c>
      <c r="K160" s="64">
        <f>4.1076 * CHOOSE(CONTROL!$C$22, $C$13, 100%, $E$13)</f>
        <v>4.1075999999999997</v>
      </c>
    </row>
    <row r="161" spans="1:11" ht="15">
      <c r="A161" s="13">
        <v>46539</v>
      </c>
      <c r="B161" s="63">
        <f>3.5696 * CHOOSE(CONTROL!$C$22, $C$13, 100%, $E$13)</f>
        <v>3.5695999999999999</v>
      </c>
      <c r="C161" s="63">
        <f>3.5696 * CHOOSE(CONTROL!$C$22, $C$13, 100%, $E$13)</f>
        <v>3.5695999999999999</v>
      </c>
      <c r="D161" s="63">
        <f>3.6043 * CHOOSE(CONTROL!$C$22, $C$13, 100%, $E$13)</f>
        <v>3.6042999999999998</v>
      </c>
      <c r="E161" s="64">
        <f>4.0953 * CHOOSE(CONTROL!$C$22, $C$13, 100%, $E$13)</f>
        <v>4.0952999999999999</v>
      </c>
      <c r="F161" s="64">
        <f>4.0953 * CHOOSE(CONTROL!$C$22, $C$13, 100%, $E$13)</f>
        <v>4.0952999999999999</v>
      </c>
      <c r="G161" s="64">
        <f>4.0974 * CHOOSE(CONTROL!$C$22, $C$13, 100%, $E$13)</f>
        <v>4.0974000000000004</v>
      </c>
      <c r="H161" s="64">
        <f>7.6218* CHOOSE(CONTROL!$C$22, $C$13, 100%, $E$13)</f>
        <v>7.6218000000000004</v>
      </c>
      <c r="I161" s="64">
        <f>7.624 * CHOOSE(CONTROL!$C$22, $C$13, 100%, $E$13)</f>
        <v>7.6239999999999997</v>
      </c>
      <c r="J161" s="64">
        <f>4.0953 * CHOOSE(CONTROL!$C$22, $C$13, 100%, $E$13)</f>
        <v>4.0952999999999999</v>
      </c>
      <c r="K161" s="64">
        <f>4.0974 * CHOOSE(CONTROL!$C$22, $C$13, 100%, $E$13)</f>
        <v>4.0974000000000004</v>
      </c>
    </row>
    <row r="162" spans="1:11" ht="15">
      <c r="A162" s="13">
        <v>46569</v>
      </c>
      <c r="B162" s="63">
        <f>3.6201 * CHOOSE(CONTROL!$C$22, $C$13, 100%, $E$13)</f>
        <v>3.6200999999999999</v>
      </c>
      <c r="C162" s="63">
        <f>3.6201 * CHOOSE(CONTROL!$C$22, $C$13, 100%, $E$13)</f>
        <v>3.6200999999999999</v>
      </c>
      <c r="D162" s="63">
        <f>3.6547 * CHOOSE(CONTROL!$C$22, $C$13, 100%, $E$13)</f>
        <v>3.6547000000000001</v>
      </c>
      <c r="E162" s="64">
        <f>4.1543 * CHOOSE(CONTROL!$C$22, $C$13, 100%, $E$13)</f>
        <v>4.1543000000000001</v>
      </c>
      <c r="F162" s="64">
        <f>4.1543 * CHOOSE(CONTROL!$C$22, $C$13, 100%, $E$13)</f>
        <v>4.1543000000000001</v>
      </c>
      <c r="G162" s="64">
        <f>4.1564 * CHOOSE(CONTROL!$C$22, $C$13, 100%, $E$13)</f>
        <v>4.1563999999999997</v>
      </c>
      <c r="H162" s="64">
        <f>7.6377* CHOOSE(CONTROL!$C$22, $C$13, 100%, $E$13)</f>
        <v>7.6376999999999997</v>
      </c>
      <c r="I162" s="64">
        <f>7.6399 * CHOOSE(CONTROL!$C$22, $C$13, 100%, $E$13)</f>
        <v>7.6398999999999999</v>
      </c>
      <c r="J162" s="64">
        <f>4.1543 * CHOOSE(CONTROL!$C$22, $C$13, 100%, $E$13)</f>
        <v>4.1543000000000001</v>
      </c>
      <c r="K162" s="64">
        <f>4.1564 * CHOOSE(CONTROL!$C$22, $C$13, 100%, $E$13)</f>
        <v>4.1563999999999997</v>
      </c>
    </row>
    <row r="163" spans="1:11" ht="15">
      <c r="A163" s="13">
        <v>46600</v>
      </c>
      <c r="B163" s="63">
        <f>3.6268 * CHOOSE(CONTROL!$C$22, $C$13, 100%, $E$13)</f>
        <v>3.6267999999999998</v>
      </c>
      <c r="C163" s="63">
        <f>3.6268 * CHOOSE(CONTROL!$C$22, $C$13, 100%, $E$13)</f>
        <v>3.6267999999999998</v>
      </c>
      <c r="D163" s="63">
        <f>3.6614 * CHOOSE(CONTROL!$C$22, $C$13, 100%, $E$13)</f>
        <v>3.6614</v>
      </c>
      <c r="E163" s="64">
        <f>4.1157 * CHOOSE(CONTROL!$C$22, $C$13, 100%, $E$13)</f>
        <v>4.1157000000000004</v>
      </c>
      <c r="F163" s="64">
        <f>4.1157 * CHOOSE(CONTROL!$C$22, $C$13, 100%, $E$13)</f>
        <v>4.1157000000000004</v>
      </c>
      <c r="G163" s="64">
        <f>4.1178 * CHOOSE(CONTROL!$C$22, $C$13, 100%, $E$13)</f>
        <v>4.1177999999999999</v>
      </c>
      <c r="H163" s="64">
        <f>7.6536* CHOOSE(CONTROL!$C$22, $C$13, 100%, $E$13)</f>
        <v>7.6536</v>
      </c>
      <c r="I163" s="64">
        <f>7.6558 * CHOOSE(CONTROL!$C$22, $C$13, 100%, $E$13)</f>
        <v>7.6558000000000002</v>
      </c>
      <c r="J163" s="64">
        <f>4.1157 * CHOOSE(CONTROL!$C$22, $C$13, 100%, $E$13)</f>
        <v>4.1157000000000004</v>
      </c>
      <c r="K163" s="64">
        <f>4.1178 * CHOOSE(CONTROL!$C$22, $C$13, 100%, $E$13)</f>
        <v>4.1177999999999999</v>
      </c>
    </row>
    <row r="164" spans="1:11" ht="15">
      <c r="A164" s="13">
        <v>46631</v>
      </c>
      <c r="B164" s="63">
        <f>3.6237 * CHOOSE(CONTROL!$C$22, $C$13, 100%, $E$13)</f>
        <v>3.6236999999999999</v>
      </c>
      <c r="C164" s="63">
        <f>3.6237 * CHOOSE(CONTROL!$C$22, $C$13, 100%, $E$13)</f>
        <v>3.6236999999999999</v>
      </c>
      <c r="D164" s="63">
        <f>3.6584 * CHOOSE(CONTROL!$C$22, $C$13, 100%, $E$13)</f>
        <v>3.6583999999999999</v>
      </c>
      <c r="E164" s="64">
        <f>4.1088 * CHOOSE(CONTROL!$C$22, $C$13, 100%, $E$13)</f>
        <v>4.1087999999999996</v>
      </c>
      <c r="F164" s="64">
        <f>4.1088 * CHOOSE(CONTROL!$C$22, $C$13, 100%, $E$13)</f>
        <v>4.1087999999999996</v>
      </c>
      <c r="G164" s="64">
        <f>4.1109 * CHOOSE(CONTROL!$C$22, $C$13, 100%, $E$13)</f>
        <v>4.1109</v>
      </c>
      <c r="H164" s="64">
        <f>7.6696* CHOOSE(CONTROL!$C$22, $C$13, 100%, $E$13)</f>
        <v>7.6696</v>
      </c>
      <c r="I164" s="64">
        <f>7.6717 * CHOOSE(CONTROL!$C$22, $C$13, 100%, $E$13)</f>
        <v>7.6717000000000004</v>
      </c>
      <c r="J164" s="64">
        <f>4.1088 * CHOOSE(CONTROL!$C$22, $C$13, 100%, $E$13)</f>
        <v>4.1087999999999996</v>
      </c>
      <c r="K164" s="64">
        <f>4.1109 * CHOOSE(CONTROL!$C$22, $C$13, 100%, $E$13)</f>
        <v>4.1109</v>
      </c>
    </row>
    <row r="165" spans="1:11" ht="15">
      <c r="A165" s="13">
        <v>46661</v>
      </c>
      <c r="B165" s="63">
        <f>3.6177 * CHOOSE(CONTROL!$C$22, $C$13, 100%, $E$13)</f>
        <v>3.6177000000000001</v>
      </c>
      <c r="C165" s="63">
        <f>3.6177 * CHOOSE(CONTROL!$C$22, $C$13, 100%, $E$13)</f>
        <v>3.6177000000000001</v>
      </c>
      <c r="D165" s="63">
        <f>3.635 * CHOOSE(CONTROL!$C$22, $C$13, 100%, $E$13)</f>
        <v>3.6349999999999998</v>
      </c>
      <c r="E165" s="64">
        <f>4.1146 * CHOOSE(CONTROL!$C$22, $C$13, 100%, $E$13)</f>
        <v>4.1146000000000003</v>
      </c>
      <c r="F165" s="64">
        <f>4.1146 * CHOOSE(CONTROL!$C$22, $C$13, 100%, $E$13)</f>
        <v>4.1146000000000003</v>
      </c>
      <c r="G165" s="64">
        <f>4.1148 * CHOOSE(CONTROL!$C$22, $C$13, 100%, $E$13)</f>
        <v>4.1147999999999998</v>
      </c>
      <c r="H165" s="64">
        <f>7.6855* CHOOSE(CONTROL!$C$22, $C$13, 100%, $E$13)</f>
        <v>7.6855000000000002</v>
      </c>
      <c r="I165" s="64">
        <f>7.6857 * CHOOSE(CONTROL!$C$22, $C$13, 100%, $E$13)</f>
        <v>7.6856999999999998</v>
      </c>
      <c r="J165" s="64">
        <f>4.1146 * CHOOSE(CONTROL!$C$22, $C$13, 100%, $E$13)</f>
        <v>4.1146000000000003</v>
      </c>
      <c r="K165" s="64">
        <f>4.1148 * CHOOSE(CONTROL!$C$22, $C$13, 100%, $E$13)</f>
        <v>4.1147999999999998</v>
      </c>
    </row>
    <row r="166" spans="1:11" ht="15">
      <c r="A166" s="13">
        <v>46692</v>
      </c>
      <c r="B166" s="63">
        <f>3.6207 * CHOOSE(CONTROL!$C$22, $C$13, 100%, $E$13)</f>
        <v>3.6206999999999998</v>
      </c>
      <c r="C166" s="63">
        <f>3.6207 * CHOOSE(CONTROL!$C$22, $C$13, 100%, $E$13)</f>
        <v>3.6206999999999998</v>
      </c>
      <c r="D166" s="63">
        <f>3.6381 * CHOOSE(CONTROL!$C$22, $C$13, 100%, $E$13)</f>
        <v>3.6381000000000001</v>
      </c>
      <c r="E166" s="64">
        <f>4.1263 * CHOOSE(CONTROL!$C$22, $C$13, 100%, $E$13)</f>
        <v>4.1262999999999996</v>
      </c>
      <c r="F166" s="64">
        <f>4.1263 * CHOOSE(CONTROL!$C$22, $C$13, 100%, $E$13)</f>
        <v>4.1262999999999996</v>
      </c>
      <c r="G166" s="64">
        <f>4.1265 * CHOOSE(CONTROL!$C$22, $C$13, 100%, $E$13)</f>
        <v>4.1265000000000001</v>
      </c>
      <c r="H166" s="64">
        <f>7.7016* CHOOSE(CONTROL!$C$22, $C$13, 100%, $E$13)</f>
        <v>7.7016</v>
      </c>
      <c r="I166" s="64">
        <f>7.7017 * CHOOSE(CONTROL!$C$22, $C$13, 100%, $E$13)</f>
        <v>7.7016999999999998</v>
      </c>
      <c r="J166" s="64">
        <f>4.1263 * CHOOSE(CONTROL!$C$22, $C$13, 100%, $E$13)</f>
        <v>4.1262999999999996</v>
      </c>
      <c r="K166" s="64">
        <f>4.1265 * CHOOSE(CONTROL!$C$22, $C$13, 100%, $E$13)</f>
        <v>4.1265000000000001</v>
      </c>
    </row>
    <row r="167" spans="1:11" ht="15">
      <c r="A167" s="13">
        <v>46722</v>
      </c>
      <c r="B167" s="63">
        <f>3.6207 * CHOOSE(CONTROL!$C$22, $C$13, 100%, $E$13)</f>
        <v>3.6206999999999998</v>
      </c>
      <c r="C167" s="63">
        <f>3.6207 * CHOOSE(CONTROL!$C$22, $C$13, 100%, $E$13)</f>
        <v>3.6206999999999998</v>
      </c>
      <c r="D167" s="63">
        <f>3.6381 * CHOOSE(CONTROL!$C$22, $C$13, 100%, $E$13)</f>
        <v>3.6381000000000001</v>
      </c>
      <c r="E167" s="64">
        <f>4.1023 * CHOOSE(CONTROL!$C$22, $C$13, 100%, $E$13)</f>
        <v>4.1022999999999996</v>
      </c>
      <c r="F167" s="64">
        <f>4.1023 * CHOOSE(CONTROL!$C$22, $C$13, 100%, $E$13)</f>
        <v>4.1022999999999996</v>
      </c>
      <c r="G167" s="64">
        <f>4.1024 * CHOOSE(CONTROL!$C$22, $C$13, 100%, $E$13)</f>
        <v>4.1024000000000003</v>
      </c>
      <c r="H167" s="64">
        <f>7.7176* CHOOSE(CONTROL!$C$22, $C$13, 100%, $E$13)</f>
        <v>7.7176</v>
      </c>
      <c r="I167" s="64">
        <f>7.7178 * CHOOSE(CONTROL!$C$22, $C$13, 100%, $E$13)</f>
        <v>7.7178000000000004</v>
      </c>
      <c r="J167" s="64">
        <f>4.1023 * CHOOSE(CONTROL!$C$22, $C$13, 100%, $E$13)</f>
        <v>4.1022999999999996</v>
      </c>
      <c r="K167" s="64">
        <f>4.1024 * CHOOSE(CONTROL!$C$22, $C$13, 100%, $E$13)</f>
        <v>4.1024000000000003</v>
      </c>
    </row>
    <row r="168" spans="1:11" ht="15">
      <c r="A168" s="13">
        <v>46753</v>
      </c>
      <c r="B168" s="63">
        <f>3.656 * CHOOSE(CONTROL!$C$22, $C$13, 100%, $E$13)</f>
        <v>3.6560000000000001</v>
      </c>
      <c r="C168" s="63">
        <f>3.656 * CHOOSE(CONTROL!$C$22, $C$13, 100%, $E$13)</f>
        <v>3.6560000000000001</v>
      </c>
      <c r="D168" s="63">
        <f>3.6733 * CHOOSE(CONTROL!$C$22, $C$13, 100%, $E$13)</f>
        <v>3.6732999999999998</v>
      </c>
      <c r="E168" s="64">
        <f>4.1535 * CHOOSE(CONTROL!$C$22, $C$13, 100%, $E$13)</f>
        <v>4.1535000000000002</v>
      </c>
      <c r="F168" s="64">
        <f>4.1535 * CHOOSE(CONTROL!$C$22, $C$13, 100%, $E$13)</f>
        <v>4.1535000000000002</v>
      </c>
      <c r="G168" s="64">
        <f>4.1537 * CHOOSE(CONTROL!$C$22, $C$13, 100%, $E$13)</f>
        <v>4.1536999999999997</v>
      </c>
      <c r="H168" s="64">
        <f>7.7337* CHOOSE(CONTROL!$C$22, $C$13, 100%, $E$13)</f>
        <v>7.7336999999999998</v>
      </c>
      <c r="I168" s="64">
        <f>7.7339 * CHOOSE(CONTROL!$C$22, $C$13, 100%, $E$13)</f>
        <v>7.7339000000000002</v>
      </c>
      <c r="J168" s="64">
        <f>4.1535 * CHOOSE(CONTROL!$C$22, $C$13, 100%, $E$13)</f>
        <v>4.1535000000000002</v>
      </c>
      <c r="K168" s="64">
        <f>4.1537 * CHOOSE(CONTROL!$C$22, $C$13, 100%, $E$13)</f>
        <v>4.1536999999999997</v>
      </c>
    </row>
    <row r="169" spans="1:11" ht="15">
      <c r="A169" s="13">
        <v>46784</v>
      </c>
      <c r="B169" s="63">
        <f>3.6529 * CHOOSE(CONTROL!$C$22, $C$13, 100%, $E$13)</f>
        <v>3.6528999999999998</v>
      </c>
      <c r="C169" s="63">
        <f>3.6529 * CHOOSE(CONTROL!$C$22, $C$13, 100%, $E$13)</f>
        <v>3.6528999999999998</v>
      </c>
      <c r="D169" s="63">
        <f>3.6703 * CHOOSE(CONTROL!$C$22, $C$13, 100%, $E$13)</f>
        <v>3.6703000000000001</v>
      </c>
      <c r="E169" s="64">
        <f>4.1048 * CHOOSE(CONTROL!$C$22, $C$13, 100%, $E$13)</f>
        <v>4.1048</v>
      </c>
      <c r="F169" s="64">
        <f>4.1048 * CHOOSE(CONTROL!$C$22, $C$13, 100%, $E$13)</f>
        <v>4.1048</v>
      </c>
      <c r="G169" s="64">
        <f>4.105 * CHOOSE(CONTROL!$C$22, $C$13, 100%, $E$13)</f>
        <v>4.1050000000000004</v>
      </c>
      <c r="H169" s="64">
        <f>7.7498* CHOOSE(CONTROL!$C$22, $C$13, 100%, $E$13)</f>
        <v>7.7497999999999996</v>
      </c>
      <c r="I169" s="64">
        <f>7.75 * CHOOSE(CONTROL!$C$22, $C$13, 100%, $E$13)</f>
        <v>7.75</v>
      </c>
      <c r="J169" s="64">
        <f>4.1048 * CHOOSE(CONTROL!$C$22, $C$13, 100%, $E$13)</f>
        <v>4.1048</v>
      </c>
      <c r="K169" s="64">
        <f>4.105 * CHOOSE(CONTROL!$C$22, $C$13, 100%, $E$13)</f>
        <v>4.1050000000000004</v>
      </c>
    </row>
    <row r="170" spans="1:11" ht="15">
      <c r="A170" s="13">
        <v>46813</v>
      </c>
      <c r="B170" s="63">
        <f>3.6499 * CHOOSE(CONTROL!$C$22, $C$13, 100%, $E$13)</f>
        <v>3.6499000000000001</v>
      </c>
      <c r="C170" s="63">
        <f>3.6499 * CHOOSE(CONTROL!$C$22, $C$13, 100%, $E$13)</f>
        <v>3.6499000000000001</v>
      </c>
      <c r="D170" s="63">
        <f>3.6672 * CHOOSE(CONTROL!$C$22, $C$13, 100%, $E$13)</f>
        <v>3.6671999999999998</v>
      </c>
      <c r="E170" s="64">
        <f>4.1394 * CHOOSE(CONTROL!$C$22, $C$13, 100%, $E$13)</f>
        <v>4.1394000000000002</v>
      </c>
      <c r="F170" s="64">
        <f>4.1394 * CHOOSE(CONTROL!$C$22, $C$13, 100%, $E$13)</f>
        <v>4.1394000000000002</v>
      </c>
      <c r="G170" s="64">
        <f>4.1396 * CHOOSE(CONTROL!$C$22, $C$13, 100%, $E$13)</f>
        <v>4.1395999999999997</v>
      </c>
      <c r="H170" s="64">
        <f>7.7659* CHOOSE(CONTROL!$C$22, $C$13, 100%, $E$13)</f>
        <v>7.7659000000000002</v>
      </c>
      <c r="I170" s="64">
        <f>7.7661 * CHOOSE(CONTROL!$C$22, $C$13, 100%, $E$13)</f>
        <v>7.7660999999999998</v>
      </c>
      <c r="J170" s="64">
        <f>4.1394 * CHOOSE(CONTROL!$C$22, $C$13, 100%, $E$13)</f>
        <v>4.1394000000000002</v>
      </c>
      <c r="K170" s="64">
        <f>4.1396 * CHOOSE(CONTROL!$C$22, $C$13, 100%, $E$13)</f>
        <v>4.1395999999999997</v>
      </c>
    </row>
    <row r="171" spans="1:11" ht="15">
      <c r="A171" s="13">
        <v>46844</v>
      </c>
      <c r="B171" s="63">
        <f>3.6473 * CHOOSE(CONTROL!$C$22, $C$13, 100%, $E$13)</f>
        <v>3.6473</v>
      </c>
      <c r="C171" s="63">
        <f>3.6473 * CHOOSE(CONTROL!$C$22, $C$13, 100%, $E$13)</f>
        <v>3.6473</v>
      </c>
      <c r="D171" s="63">
        <f>3.6646 * CHOOSE(CONTROL!$C$22, $C$13, 100%, $E$13)</f>
        <v>3.6646000000000001</v>
      </c>
      <c r="E171" s="64">
        <f>4.1746 * CHOOSE(CONTROL!$C$22, $C$13, 100%, $E$13)</f>
        <v>4.1745999999999999</v>
      </c>
      <c r="F171" s="64">
        <f>4.1746 * CHOOSE(CONTROL!$C$22, $C$13, 100%, $E$13)</f>
        <v>4.1745999999999999</v>
      </c>
      <c r="G171" s="64">
        <f>4.1748 * CHOOSE(CONTROL!$C$22, $C$13, 100%, $E$13)</f>
        <v>4.1748000000000003</v>
      </c>
      <c r="H171" s="64">
        <f>7.7821* CHOOSE(CONTROL!$C$22, $C$13, 100%, $E$13)</f>
        <v>7.7820999999999998</v>
      </c>
      <c r="I171" s="64">
        <f>7.7823 * CHOOSE(CONTROL!$C$22, $C$13, 100%, $E$13)</f>
        <v>7.7823000000000002</v>
      </c>
      <c r="J171" s="64">
        <f>4.1746 * CHOOSE(CONTROL!$C$22, $C$13, 100%, $E$13)</f>
        <v>4.1745999999999999</v>
      </c>
      <c r="K171" s="64">
        <f>4.1748 * CHOOSE(CONTROL!$C$22, $C$13, 100%, $E$13)</f>
        <v>4.1748000000000003</v>
      </c>
    </row>
    <row r="172" spans="1:11" ht="15">
      <c r="A172" s="13">
        <v>46874</v>
      </c>
      <c r="B172" s="63">
        <f>3.6473 * CHOOSE(CONTROL!$C$22, $C$13, 100%, $E$13)</f>
        <v>3.6473</v>
      </c>
      <c r="C172" s="63">
        <f>3.6473 * CHOOSE(CONTROL!$C$22, $C$13, 100%, $E$13)</f>
        <v>3.6473</v>
      </c>
      <c r="D172" s="63">
        <f>3.6819 * CHOOSE(CONTROL!$C$22, $C$13, 100%, $E$13)</f>
        <v>3.6819000000000002</v>
      </c>
      <c r="E172" s="64">
        <f>4.1894 * CHOOSE(CONTROL!$C$22, $C$13, 100%, $E$13)</f>
        <v>4.1894</v>
      </c>
      <c r="F172" s="64">
        <f>4.1894 * CHOOSE(CONTROL!$C$22, $C$13, 100%, $E$13)</f>
        <v>4.1894</v>
      </c>
      <c r="G172" s="64">
        <f>4.1915 * CHOOSE(CONTROL!$C$22, $C$13, 100%, $E$13)</f>
        <v>4.1914999999999996</v>
      </c>
      <c r="H172" s="64">
        <f>7.7983* CHOOSE(CONTROL!$C$22, $C$13, 100%, $E$13)</f>
        <v>7.7983000000000002</v>
      </c>
      <c r="I172" s="64">
        <f>7.8005 * CHOOSE(CONTROL!$C$22, $C$13, 100%, $E$13)</f>
        <v>7.8005000000000004</v>
      </c>
      <c r="J172" s="64">
        <f>4.1894 * CHOOSE(CONTROL!$C$22, $C$13, 100%, $E$13)</f>
        <v>4.1894</v>
      </c>
      <c r="K172" s="64">
        <f>4.1915 * CHOOSE(CONTROL!$C$22, $C$13, 100%, $E$13)</f>
        <v>4.1914999999999996</v>
      </c>
    </row>
    <row r="173" spans="1:11" ht="15">
      <c r="A173" s="13">
        <v>46905</v>
      </c>
      <c r="B173" s="63">
        <f>3.6534 * CHOOSE(CONTROL!$C$22, $C$13, 100%, $E$13)</f>
        <v>3.6534</v>
      </c>
      <c r="C173" s="63">
        <f>3.6534 * CHOOSE(CONTROL!$C$22, $C$13, 100%, $E$13)</f>
        <v>3.6534</v>
      </c>
      <c r="D173" s="63">
        <f>3.688 * CHOOSE(CONTROL!$C$22, $C$13, 100%, $E$13)</f>
        <v>3.6880000000000002</v>
      </c>
      <c r="E173" s="64">
        <f>4.1788 * CHOOSE(CONTROL!$C$22, $C$13, 100%, $E$13)</f>
        <v>4.1787999999999998</v>
      </c>
      <c r="F173" s="64">
        <f>4.1788 * CHOOSE(CONTROL!$C$22, $C$13, 100%, $E$13)</f>
        <v>4.1787999999999998</v>
      </c>
      <c r="G173" s="64">
        <f>4.181 * CHOOSE(CONTROL!$C$22, $C$13, 100%, $E$13)</f>
        <v>4.181</v>
      </c>
      <c r="H173" s="64">
        <f>7.8146* CHOOSE(CONTROL!$C$22, $C$13, 100%, $E$13)</f>
        <v>7.8146000000000004</v>
      </c>
      <c r="I173" s="64">
        <f>7.8167 * CHOOSE(CONTROL!$C$22, $C$13, 100%, $E$13)</f>
        <v>7.8167</v>
      </c>
      <c r="J173" s="64">
        <f>4.1788 * CHOOSE(CONTROL!$C$22, $C$13, 100%, $E$13)</f>
        <v>4.1787999999999998</v>
      </c>
      <c r="K173" s="64">
        <f>4.181 * CHOOSE(CONTROL!$C$22, $C$13, 100%, $E$13)</f>
        <v>4.181</v>
      </c>
    </row>
    <row r="174" spans="1:11" ht="15">
      <c r="A174" s="13">
        <v>46935</v>
      </c>
      <c r="B174" s="63">
        <f>3.7202 * CHOOSE(CONTROL!$C$22, $C$13, 100%, $E$13)</f>
        <v>3.7202000000000002</v>
      </c>
      <c r="C174" s="63">
        <f>3.7202 * CHOOSE(CONTROL!$C$22, $C$13, 100%, $E$13)</f>
        <v>3.7202000000000002</v>
      </c>
      <c r="D174" s="63">
        <f>3.7549 * CHOOSE(CONTROL!$C$22, $C$13, 100%, $E$13)</f>
        <v>3.7549000000000001</v>
      </c>
      <c r="E174" s="64">
        <f>4.2571 * CHOOSE(CONTROL!$C$22, $C$13, 100%, $E$13)</f>
        <v>4.2571000000000003</v>
      </c>
      <c r="F174" s="64">
        <f>4.2571 * CHOOSE(CONTROL!$C$22, $C$13, 100%, $E$13)</f>
        <v>4.2571000000000003</v>
      </c>
      <c r="G174" s="64">
        <f>4.2592 * CHOOSE(CONTROL!$C$22, $C$13, 100%, $E$13)</f>
        <v>4.2591999999999999</v>
      </c>
      <c r="H174" s="64">
        <f>7.8309* CHOOSE(CONTROL!$C$22, $C$13, 100%, $E$13)</f>
        <v>7.8308999999999997</v>
      </c>
      <c r="I174" s="64">
        <f>7.833 * CHOOSE(CONTROL!$C$22, $C$13, 100%, $E$13)</f>
        <v>7.8330000000000002</v>
      </c>
      <c r="J174" s="64">
        <f>4.2571 * CHOOSE(CONTROL!$C$22, $C$13, 100%, $E$13)</f>
        <v>4.2571000000000003</v>
      </c>
      <c r="K174" s="64">
        <f>4.2592 * CHOOSE(CONTROL!$C$22, $C$13, 100%, $E$13)</f>
        <v>4.2591999999999999</v>
      </c>
    </row>
    <row r="175" spans="1:11" ht="15">
      <c r="A175" s="13">
        <v>46966</v>
      </c>
      <c r="B175" s="63">
        <f>3.7269 * CHOOSE(CONTROL!$C$22, $C$13, 100%, $E$13)</f>
        <v>3.7269000000000001</v>
      </c>
      <c r="C175" s="63">
        <f>3.7269 * CHOOSE(CONTROL!$C$22, $C$13, 100%, $E$13)</f>
        <v>3.7269000000000001</v>
      </c>
      <c r="D175" s="63">
        <f>3.7615 * CHOOSE(CONTROL!$C$22, $C$13, 100%, $E$13)</f>
        <v>3.7614999999999998</v>
      </c>
      <c r="E175" s="64">
        <f>4.2174 * CHOOSE(CONTROL!$C$22, $C$13, 100%, $E$13)</f>
        <v>4.2173999999999996</v>
      </c>
      <c r="F175" s="64">
        <f>4.2174 * CHOOSE(CONTROL!$C$22, $C$13, 100%, $E$13)</f>
        <v>4.2173999999999996</v>
      </c>
      <c r="G175" s="64">
        <f>4.2195 * CHOOSE(CONTROL!$C$22, $C$13, 100%, $E$13)</f>
        <v>4.2195</v>
      </c>
      <c r="H175" s="64">
        <f>7.8472* CHOOSE(CONTROL!$C$22, $C$13, 100%, $E$13)</f>
        <v>7.8472</v>
      </c>
      <c r="I175" s="64">
        <f>7.8493 * CHOOSE(CONTROL!$C$22, $C$13, 100%, $E$13)</f>
        <v>7.8493000000000004</v>
      </c>
      <c r="J175" s="64">
        <f>4.2174 * CHOOSE(CONTROL!$C$22, $C$13, 100%, $E$13)</f>
        <v>4.2173999999999996</v>
      </c>
      <c r="K175" s="64">
        <f>4.2195 * CHOOSE(CONTROL!$C$22, $C$13, 100%, $E$13)</f>
        <v>4.2195</v>
      </c>
    </row>
    <row r="176" spans="1:11" ht="15">
      <c r="A176" s="13">
        <v>46997</v>
      </c>
      <c r="B176" s="63">
        <f>3.7239 * CHOOSE(CONTROL!$C$22, $C$13, 100%, $E$13)</f>
        <v>3.7239</v>
      </c>
      <c r="C176" s="63">
        <f>3.7239 * CHOOSE(CONTROL!$C$22, $C$13, 100%, $E$13)</f>
        <v>3.7239</v>
      </c>
      <c r="D176" s="63">
        <f>3.7585 * CHOOSE(CONTROL!$C$22, $C$13, 100%, $E$13)</f>
        <v>3.7585000000000002</v>
      </c>
      <c r="E176" s="64">
        <f>4.2103 * CHOOSE(CONTROL!$C$22, $C$13, 100%, $E$13)</f>
        <v>4.2103000000000002</v>
      </c>
      <c r="F176" s="64">
        <f>4.2103 * CHOOSE(CONTROL!$C$22, $C$13, 100%, $E$13)</f>
        <v>4.2103000000000002</v>
      </c>
      <c r="G176" s="64">
        <f>4.2125 * CHOOSE(CONTROL!$C$22, $C$13, 100%, $E$13)</f>
        <v>4.2125000000000004</v>
      </c>
      <c r="H176" s="64">
        <f>7.8635* CHOOSE(CONTROL!$C$22, $C$13, 100%, $E$13)</f>
        <v>7.8635000000000002</v>
      </c>
      <c r="I176" s="64">
        <f>7.8657 * CHOOSE(CONTROL!$C$22, $C$13, 100%, $E$13)</f>
        <v>7.8657000000000004</v>
      </c>
      <c r="J176" s="64">
        <f>4.2103 * CHOOSE(CONTROL!$C$22, $C$13, 100%, $E$13)</f>
        <v>4.2103000000000002</v>
      </c>
      <c r="K176" s="64">
        <f>4.2125 * CHOOSE(CONTROL!$C$22, $C$13, 100%, $E$13)</f>
        <v>4.2125000000000004</v>
      </c>
    </row>
    <row r="177" spans="1:11" ht="15">
      <c r="A177" s="13">
        <v>47027</v>
      </c>
      <c r="B177" s="63">
        <f>3.7182 * CHOOSE(CONTROL!$C$22, $C$13, 100%, $E$13)</f>
        <v>3.7181999999999999</v>
      </c>
      <c r="C177" s="63">
        <f>3.7182 * CHOOSE(CONTROL!$C$22, $C$13, 100%, $E$13)</f>
        <v>3.7181999999999999</v>
      </c>
      <c r="D177" s="63">
        <f>3.7355 * CHOOSE(CONTROL!$C$22, $C$13, 100%, $E$13)</f>
        <v>3.7355</v>
      </c>
      <c r="E177" s="64">
        <f>4.2166 * CHOOSE(CONTROL!$C$22, $C$13, 100%, $E$13)</f>
        <v>4.2165999999999997</v>
      </c>
      <c r="F177" s="64">
        <f>4.2166 * CHOOSE(CONTROL!$C$22, $C$13, 100%, $E$13)</f>
        <v>4.2165999999999997</v>
      </c>
      <c r="G177" s="64">
        <f>4.2168 * CHOOSE(CONTROL!$C$22, $C$13, 100%, $E$13)</f>
        <v>4.2168000000000001</v>
      </c>
      <c r="H177" s="64">
        <f>7.8799* CHOOSE(CONTROL!$C$22, $C$13, 100%, $E$13)</f>
        <v>7.8799000000000001</v>
      </c>
      <c r="I177" s="64">
        <f>7.8801 * CHOOSE(CONTROL!$C$22, $C$13, 100%, $E$13)</f>
        <v>7.8800999999999997</v>
      </c>
      <c r="J177" s="64">
        <f>4.2166 * CHOOSE(CONTROL!$C$22, $C$13, 100%, $E$13)</f>
        <v>4.2165999999999997</v>
      </c>
      <c r="K177" s="64">
        <f>4.2168 * CHOOSE(CONTROL!$C$22, $C$13, 100%, $E$13)</f>
        <v>4.2168000000000001</v>
      </c>
    </row>
    <row r="178" spans="1:11" ht="15">
      <c r="A178" s="13">
        <v>47058</v>
      </c>
      <c r="B178" s="63">
        <f>3.7212 * CHOOSE(CONTROL!$C$22, $C$13, 100%, $E$13)</f>
        <v>3.7212000000000001</v>
      </c>
      <c r="C178" s="63">
        <f>3.7212 * CHOOSE(CONTROL!$C$22, $C$13, 100%, $E$13)</f>
        <v>3.7212000000000001</v>
      </c>
      <c r="D178" s="63">
        <f>3.7385 * CHOOSE(CONTROL!$C$22, $C$13, 100%, $E$13)</f>
        <v>3.7385000000000002</v>
      </c>
      <c r="E178" s="64">
        <f>4.2286 * CHOOSE(CONTROL!$C$22, $C$13, 100%, $E$13)</f>
        <v>4.2286000000000001</v>
      </c>
      <c r="F178" s="64">
        <f>4.2286 * CHOOSE(CONTROL!$C$22, $C$13, 100%, $E$13)</f>
        <v>4.2286000000000001</v>
      </c>
      <c r="G178" s="64">
        <f>4.2288 * CHOOSE(CONTROL!$C$22, $C$13, 100%, $E$13)</f>
        <v>4.2287999999999997</v>
      </c>
      <c r="H178" s="64">
        <f>7.8963* CHOOSE(CONTROL!$C$22, $C$13, 100%, $E$13)</f>
        <v>7.8963000000000001</v>
      </c>
      <c r="I178" s="64">
        <f>7.8965 * CHOOSE(CONTROL!$C$22, $C$13, 100%, $E$13)</f>
        <v>7.8964999999999996</v>
      </c>
      <c r="J178" s="64">
        <f>4.2286 * CHOOSE(CONTROL!$C$22, $C$13, 100%, $E$13)</f>
        <v>4.2286000000000001</v>
      </c>
      <c r="K178" s="64">
        <f>4.2288 * CHOOSE(CONTROL!$C$22, $C$13, 100%, $E$13)</f>
        <v>4.2287999999999997</v>
      </c>
    </row>
    <row r="179" spans="1:11" ht="15">
      <c r="A179" s="13">
        <v>47088</v>
      </c>
      <c r="B179" s="63">
        <f>3.7212 * CHOOSE(CONTROL!$C$22, $C$13, 100%, $E$13)</f>
        <v>3.7212000000000001</v>
      </c>
      <c r="C179" s="63">
        <f>3.7212 * CHOOSE(CONTROL!$C$22, $C$13, 100%, $E$13)</f>
        <v>3.7212000000000001</v>
      </c>
      <c r="D179" s="63">
        <f>3.7385 * CHOOSE(CONTROL!$C$22, $C$13, 100%, $E$13)</f>
        <v>3.7385000000000002</v>
      </c>
      <c r="E179" s="64">
        <f>4.2039 * CHOOSE(CONTROL!$C$22, $C$13, 100%, $E$13)</f>
        <v>4.2039</v>
      </c>
      <c r="F179" s="64">
        <f>4.2039 * CHOOSE(CONTROL!$C$22, $C$13, 100%, $E$13)</f>
        <v>4.2039</v>
      </c>
      <c r="G179" s="64">
        <f>4.2041 * CHOOSE(CONTROL!$C$22, $C$13, 100%, $E$13)</f>
        <v>4.2041000000000004</v>
      </c>
      <c r="H179" s="64">
        <f>7.9128* CHOOSE(CONTROL!$C$22, $C$13, 100%, $E$13)</f>
        <v>7.9127999999999998</v>
      </c>
      <c r="I179" s="64">
        <f>7.9129 * CHOOSE(CONTROL!$C$22, $C$13, 100%, $E$13)</f>
        <v>7.9128999999999996</v>
      </c>
      <c r="J179" s="64">
        <f>4.2039 * CHOOSE(CONTROL!$C$22, $C$13, 100%, $E$13)</f>
        <v>4.2039</v>
      </c>
      <c r="K179" s="64">
        <f>4.2041 * CHOOSE(CONTROL!$C$22, $C$13, 100%, $E$13)</f>
        <v>4.2041000000000004</v>
      </c>
    </row>
    <row r="180" spans="1:11" ht="15">
      <c r="A180" s="13">
        <v>47119</v>
      </c>
      <c r="B180" s="63">
        <f>3.7543 * CHOOSE(CONTROL!$C$22, $C$13, 100%, $E$13)</f>
        <v>3.7543000000000002</v>
      </c>
      <c r="C180" s="63">
        <f>3.7543 * CHOOSE(CONTROL!$C$22, $C$13, 100%, $E$13)</f>
        <v>3.7543000000000002</v>
      </c>
      <c r="D180" s="63">
        <f>3.7716 * CHOOSE(CONTROL!$C$22, $C$13, 100%, $E$13)</f>
        <v>3.7715999999999998</v>
      </c>
      <c r="E180" s="64">
        <f>4.2617 * CHOOSE(CONTROL!$C$22, $C$13, 100%, $E$13)</f>
        <v>4.2617000000000003</v>
      </c>
      <c r="F180" s="64">
        <f>4.2617 * CHOOSE(CONTROL!$C$22, $C$13, 100%, $E$13)</f>
        <v>4.2617000000000003</v>
      </c>
      <c r="G180" s="64">
        <f>4.2619 * CHOOSE(CONTROL!$C$22, $C$13, 100%, $E$13)</f>
        <v>4.2618999999999998</v>
      </c>
      <c r="H180" s="64">
        <f>7.9293* CHOOSE(CONTROL!$C$22, $C$13, 100%, $E$13)</f>
        <v>7.9292999999999996</v>
      </c>
      <c r="I180" s="64">
        <f>7.9294 * CHOOSE(CONTROL!$C$22, $C$13, 100%, $E$13)</f>
        <v>7.9294000000000002</v>
      </c>
      <c r="J180" s="64">
        <f>4.2617 * CHOOSE(CONTROL!$C$22, $C$13, 100%, $E$13)</f>
        <v>4.2617000000000003</v>
      </c>
      <c r="K180" s="64">
        <f>4.2619 * CHOOSE(CONTROL!$C$22, $C$13, 100%, $E$13)</f>
        <v>4.2618999999999998</v>
      </c>
    </row>
    <row r="181" spans="1:11" ht="15">
      <c r="A181" s="13">
        <v>47150</v>
      </c>
      <c r="B181" s="63">
        <f>3.7513 * CHOOSE(CONTROL!$C$22, $C$13, 100%, $E$13)</f>
        <v>3.7513000000000001</v>
      </c>
      <c r="C181" s="63">
        <f>3.7513 * CHOOSE(CONTROL!$C$22, $C$13, 100%, $E$13)</f>
        <v>3.7513000000000001</v>
      </c>
      <c r="D181" s="63">
        <f>3.7686 * CHOOSE(CONTROL!$C$22, $C$13, 100%, $E$13)</f>
        <v>3.7686000000000002</v>
      </c>
      <c r="E181" s="64">
        <f>4.2118 * CHOOSE(CONTROL!$C$22, $C$13, 100%, $E$13)</f>
        <v>4.2118000000000002</v>
      </c>
      <c r="F181" s="64">
        <f>4.2118 * CHOOSE(CONTROL!$C$22, $C$13, 100%, $E$13)</f>
        <v>4.2118000000000002</v>
      </c>
      <c r="G181" s="64">
        <f>4.212 * CHOOSE(CONTROL!$C$22, $C$13, 100%, $E$13)</f>
        <v>4.2119999999999997</v>
      </c>
      <c r="H181" s="64">
        <f>7.9458* CHOOSE(CONTROL!$C$22, $C$13, 100%, $E$13)</f>
        <v>7.9458000000000002</v>
      </c>
      <c r="I181" s="64">
        <f>7.9459 * CHOOSE(CONTROL!$C$22, $C$13, 100%, $E$13)</f>
        <v>7.9459</v>
      </c>
      <c r="J181" s="64">
        <f>4.2118 * CHOOSE(CONTROL!$C$22, $C$13, 100%, $E$13)</f>
        <v>4.2118000000000002</v>
      </c>
      <c r="K181" s="64">
        <f>4.212 * CHOOSE(CONTROL!$C$22, $C$13, 100%, $E$13)</f>
        <v>4.2119999999999997</v>
      </c>
    </row>
    <row r="182" spans="1:11" ht="15">
      <c r="A182" s="13">
        <v>47178</v>
      </c>
      <c r="B182" s="63">
        <f>3.7482 * CHOOSE(CONTROL!$C$22, $C$13, 100%, $E$13)</f>
        <v>3.7482000000000002</v>
      </c>
      <c r="C182" s="63">
        <f>3.7482 * CHOOSE(CONTROL!$C$22, $C$13, 100%, $E$13)</f>
        <v>3.7482000000000002</v>
      </c>
      <c r="D182" s="63">
        <f>3.7656 * CHOOSE(CONTROL!$C$22, $C$13, 100%, $E$13)</f>
        <v>3.7656000000000001</v>
      </c>
      <c r="E182" s="64">
        <f>4.2474 * CHOOSE(CONTROL!$C$22, $C$13, 100%, $E$13)</f>
        <v>4.2473999999999998</v>
      </c>
      <c r="F182" s="64">
        <f>4.2474 * CHOOSE(CONTROL!$C$22, $C$13, 100%, $E$13)</f>
        <v>4.2473999999999998</v>
      </c>
      <c r="G182" s="64">
        <f>4.2476 * CHOOSE(CONTROL!$C$22, $C$13, 100%, $E$13)</f>
        <v>4.2476000000000003</v>
      </c>
      <c r="H182" s="64">
        <f>7.9623* CHOOSE(CONTROL!$C$22, $C$13, 100%, $E$13)</f>
        <v>7.9622999999999999</v>
      </c>
      <c r="I182" s="64">
        <f>7.9625 * CHOOSE(CONTROL!$C$22, $C$13, 100%, $E$13)</f>
        <v>7.9625000000000004</v>
      </c>
      <c r="J182" s="64">
        <f>4.2474 * CHOOSE(CONTROL!$C$22, $C$13, 100%, $E$13)</f>
        <v>4.2473999999999998</v>
      </c>
      <c r="K182" s="64">
        <f>4.2476 * CHOOSE(CONTROL!$C$22, $C$13, 100%, $E$13)</f>
        <v>4.2476000000000003</v>
      </c>
    </row>
    <row r="183" spans="1:11" ht="15">
      <c r="A183" s="13">
        <v>47209</v>
      </c>
      <c r="B183" s="63">
        <f>3.7457 * CHOOSE(CONTROL!$C$22, $C$13, 100%, $E$13)</f>
        <v>3.7456999999999998</v>
      </c>
      <c r="C183" s="63">
        <f>3.7457 * CHOOSE(CONTROL!$C$22, $C$13, 100%, $E$13)</f>
        <v>3.7456999999999998</v>
      </c>
      <c r="D183" s="63">
        <f>3.763 * CHOOSE(CONTROL!$C$22, $C$13, 100%, $E$13)</f>
        <v>3.7629999999999999</v>
      </c>
      <c r="E183" s="64">
        <f>4.2836 * CHOOSE(CONTROL!$C$22, $C$13, 100%, $E$13)</f>
        <v>4.2835999999999999</v>
      </c>
      <c r="F183" s="64">
        <f>4.2836 * CHOOSE(CONTROL!$C$22, $C$13, 100%, $E$13)</f>
        <v>4.2835999999999999</v>
      </c>
      <c r="G183" s="64">
        <f>4.2838 * CHOOSE(CONTROL!$C$22, $C$13, 100%, $E$13)</f>
        <v>4.2838000000000003</v>
      </c>
      <c r="H183" s="64">
        <f>7.9789* CHOOSE(CONTROL!$C$22, $C$13, 100%, $E$13)</f>
        <v>7.9789000000000003</v>
      </c>
      <c r="I183" s="64">
        <f>7.9791 * CHOOSE(CONTROL!$C$22, $C$13, 100%, $E$13)</f>
        <v>7.9790999999999999</v>
      </c>
      <c r="J183" s="64">
        <f>4.2836 * CHOOSE(CONTROL!$C$22, $C$13, 100%, $E$13)</f>
        <v>4.2835999999999999</v>
      </c>
      <c r="K183" s="64">
        <f>4.2838 * CHOOSE(CONTROL!$C$22, $C$13, 100%, $E$13)</f>
        <v>4.2838000000000003</v>
      </c>
    </row>
    <row r="184" spans="1:11" ht="15">
      <c r="A184" s="13">
        <v>47239</v>
      </c>
      <c r="B184" s="63">
        <f>3.7457 * CHOOSE(CONTROL!$C$22, $C$13, 100%, $E$13)</f>
        <v>3.7456999999999998</v>
      </c>
      <c r="C184" s="63">
        <f>3.7457 * CHOOSE(CONTROL!$C$22, $C$13, 100%, $E$13)</f>
        <v>3.7456999999999998</v>
      </c>
      <c r="D184" s="63">
        <f>3.7804 * CHOOSE(CONTROL!$C$22, $C$13, 100%, $E$13)</f>
        <v>3.7804000000000002</v>
      </c>
      <c r="E184" s="64">
        <f>4.2988 * CHOOSE(CONTROL!$C$22, $C$13, 100%, $E$13)</f>
        <v>4.2988</v>
      </c>
      <c r="F184" s="64">
        <f>4.2988 * CHOOSE(CONTROL!$C$22, $C$13, 100%, $E$13)</f>
        <v>4.2988</v>
      </c>
      <c r="G184" s="64">
        <f>4.3009 * CHOOSE(CONTROL!$C$22, $C$13, 100%, $E$13)</f>
        <v>4.3009000000000004</v>
      </c>
      <c r="H184" s="64">
        <f>7.9955* CHOOSE(CONTROL!$C$22, $C$13, 100%, $E$13)</f>
        <v>7.9954999999999998</v>
      </c>
      <c r="I184" s="64">
        <f>7.9977 * CHOOSE(CONTROL!$C$22, $C$13, 100%, $E$13)</f>
        <v>7.9977</v>
      </c>
      <c r="J184" s="64">
        <f>4.2988 * CHOOSE(CONTROL!$C$22, $C$13, 100%, $E$13)</f>
        <v>4.2988</v>
      </c>
      <c r="K184" s="64">
        <f>4.3009 * CHOOSE(CONTROL!$C$22, $C$13, 100%, $E$13)</f>
        <v>4.3009000000000004</v>
      </c>
    </row>
    <row r="185" spans="1:11" ht="15">
      <c r="A185" s="13">
        <v>47270</v>
      </c>
      <c r="B185" s="63">
        <f>3.7518 * CHOOSE(CONTROL!$C$22, $C$13, 100%, $E$13)</f>
        <v>3.7517999999999998</v>
      </c>
      <c r="C185" s="63">
        <f>3.7518 * CHOOSE(CONTROL!$C$22, $C$13, 100%, $E$13)</f>
        <v>3.7517999999999998</v>
      </c>
      <c r="D185" s="63">
        <f>3.7864 * CHOOSE(CONTROL!$C$22, $C$13, 100%, $E$13)</f>
        <v>3.7864</v>
      </c>
      <c r="E185" s="64">
        <f>4.2878 * CHOOSE(CONTROL!$C$22, $C$13, 100%, $E$13)</f>
        <v>4.2877999999999998</v>
      </c>
      <c r="F185" s="64">
        <f>4.2878 * CHOOSE(CONTROL!$C$22, $C$13, 100%, $E$13)</f>
        <v>4.2877999999999998</v>
      </c>
      <c r="G185" s="64">
        <f>4.29 * CHOOSE(CONTROL!$C$22, $C$13, 100%, $E$13)</f>
        <v>4.29</v>
      </c>
      <c r="H185" s="64">
        <f>8.0122* CHOOSE(CONTROL!$C$22, $C$13, 100%, $E$13)</f>
        <v>8.0122</v>
      </c>
      <c r="I185" s="64">
        <f>8.0143 * CHOOSE(CONTROL!$C$22, $C$13, 100%, $E$13)</f>
        <v>8.0143000000000004</v>
      </c>
      <c r="J185" s="64">
        <f>4.2878 * CHOOSE(CONTROL!$C$22, $C$13, 100%, $E$13)</f>
        <v>4.2877999999999998</v>
      </c>
      <c r="K185" s="64">
        <f>4.29 * CHOOSE(CONTROL!$C$22, $C$13, 100%, $E$13)</f>
        <v>4.29</v>
      </c>
    </row>
    <row r="186" spans="1:11" ht="15">
      <c r="A186" s="13">
        <v>47300</v>
      </c>
      <c r="B186" s="63">
        <f>3.8127 * CHOOSE(CONTROL!$C$22, $C$13, 100%, $E$13)</f>
        <v>3.8127</v>
      </c>
      <c r="C186" s="63">
        <f>3.8127 * CHOOSE(CONTROL!$C$22, $C$13, 100%, $E$13)</f>
        <v>3.8127</v>
      </c>
      <c r="D186" s="63">
        <f>3.8474 * CHOOSE(CONTROL!$C$22, $C$13, 100%, $E$13)</f>
        <v>3.8473999999999999</v>
      </c>
      <c r="E186" s="64">
        <f>4.3812 * CHOOSE(CONTROL!$C$22, $C$13, 100%, $E$13)</f>
        <v>4.3811999999999998</v>
      </c>
      <c r="F186" s="64">
        <f>4.3812 * CHOOSE(CONTROL!$C$22, $C$13, 100%, $E$13)</f>
        <v>4.3811999999999998</v>
      </c>
      <c r="G186" s="64">
        <f>4.3834 * CHOOSE(CONTROL!$C$22, $C$13, 100%, $E$13)</f>
        <v>4.3834</v>
      </c>
      <c r="H186" s="64">
        <f>8.0289* CHOOSE(CONTROL!$C$22, $C$13, 100%, $E$13)</f>
        <v>8.0289000000000001</v>
      </c>
      <c r="I186" s="64">
        <f>8.031 * CHOOSE(CONTROL!$C$22, $C$13, 100%, $E$13)</f>
        <v>8.0310000000000006</v>
      </c>
      <c r="J186" s="64">
        <f>4.3812 * CHOOSE(CONTROL!$C$22, $C$13, 100%, $E$13)</f>
        <v>4.3811999999999998</v>
      </c>
      <c r="K186" s="64">
        <f>4.3834 * CHOOSE(CONTROL!$C$22, $C$13, 100%, $E$13)</f>
        <v>4.3834</v>
      </c>
    </row>
    <row r="187" spans="1:11" ht="15">
      <c r="A187" s="13">
        <v>47331</v>
      </c>
      <c r="B187" s="63">
        <f>3.8194 * CHOOSE(CONTROL!$C$22, $C$13, 100%, $E$13)</f>
        <v>3.8193999999999999</v>
      </c>
      <c r="C187" s="63">
        <f>3.8194 * CHOOSE(CONTROL!$C$22, $C$13, 100%, $E$13)</f>
        <v>3.8193999999999999</v>
      </c>
      <c r="D187" s="63">
        <f>3.8541 * CHOOSE(CONTROL!$C$22, $C$13, 100%, $E$13)</f>
        <v>3.8540999999999999</v>
      </c>
      <c r="E187" s="64">
        <f>4.3404 * CHOOSE(CONTROL!$C$22, $C$13, 100%, $E$13)</f>
        <v>4.3403999999999998</v>
      </c>
      <c r="F187" s="64">
        <f>4.3404 * CHOOSE(CONTROL!$C$22, $C$13, 100%, $E$13)</f>
        <v>4.3403999999999998</v>
      </c>
      <c r="G187" s="64">
        <f>4.3425 * CHOOSE(CONTROL!$C$22, $C$13, 100%, $E$13)</f>
        <v>4.3425000000000002</v>
      </c>
      <c r="H187" s="64">
        <f>8.0456* CHOOSE(CONTROL!$C$22, $C$13, 100%, $E$13)</f>
        <v>8.0456000000000003</v>
      </c>
      <c r="I187" s="64">
        <f>8.0478 * CHOOSE(CONTROL!$C$22, $C$13, 100%, $E$13)</f>
        <v>8.0478000000000005</v>
      </c>
      <c r="J187" s="64">
        <f>4.3404 * CHOOSE(CONTROL!$C$22, $C$13, 100%, $E$13)</f>
        <v>4.3403999999999998</v>
      </c>
      <c r="K187" s="64">
        <f>4.3425 * CHOOSE(CONTROL!$C$22, $C$13, 100%, $E$13)</f>
        <v>4.3425000000000002</v>
      </c>
    </row>
    <row r="188" spans="1:11" ht="15">
      <c r="A188" s="13">
        <v>47362</v>
      </c>
      <c r="B188" s="63">
        <f>3.8164 * CHOOSE(CONTROL!$C$22, $C$13, 100%, $E$13)</f>
        <v>3.8163999999999998</v>
      </c>
      <c r="C188" s="63">
        <f>3.8164 * CHOOSE(CONTROL!$C$22, $C$13, 100%, $E$13)</f>
        <v>3.8163999999999998</v>
      </c>
      <c r="D188" s="63">
        <f>3.851 * CHOOSE(CONTROL!$C$22, $C$13, 100%, $E$13)</f>
        <v>3.851</v>
      </c>
      <c r="E188" s="64">
        <f>4.3332 * CHOOSE(CONTROL!$C$22, $C$13, 100%, $E$13)</f>
        <v>4.3331999999999997</v>
      </c>
      <c r="F188" s="64">
        <f>4.3332 * CHOOSE(CONTROL!$C$22, $C$13, 100%, $E$13)</f>
        <v>4.3331999999999997</v>
      </c>
      <c r="G188" s="64">
        <f>4.3353 * CHOOSE(CONTROL!$C$22, $C$13, 100%, $E$13)</f>
        <v>4.3353000000000002</v>
      </c>
      <c r="H188" s="64">
        <f>8.0624* CHOOSE(CONTROL!$C$22, $C$13, 100%, $E$13)</f>
        <v>8.0624000000000002</v>
      </c>
      <c r="I188" s="64">
        <f>8.0645 * CHOOSE(CONTROL!$C$22, $C$13, 100%, $E$13)</f>
        <v>8.0645000000000007</v>
      </c>
      <c r="J188" s="64">
        <f>4.3332 * CHOOSE(CONTROL!$C$22, $C$13, 100%, $E$13)</f>
        <v>4.3331999999999997</v>
      </c>
      <c r="K188" s="64">
        <f>4.3353 * CHOOSE(CONTROL!$C$22, $C$13, 100%, $E$13)</f>
        <v>4.3353000000000002</v>
      </c>
    </row>
    <row r="189" spans="1:11" ht="15">
      <c r="A189" s="13">
        <v>47392</v>
      </c>
      <c r="B189" s="63">
        <f>3.811 * CHOOSE(CONTROL!$C$22, $C$13, 100%, $E$13)</f>
        <v>3.8109999999999999</v>
      </c>
      <c r="C189" s="63">
        <f>3.811 * CHOOSE(CONTROL!$C$22, $C$13, 100%, $E$13)</f>
        <v>3.8109999999999999</v>
      </c>
      <c r="D189" s="63">
        <f>3.8284 * CHOOSE(CONTROL!$C$22, $C$13, 100%, $E$13)</f>
        <v>3.8283999999999998</v>
      </c>
      <c r="E189" s="64">
        <f>4.34 * CHOOSE(CONTROL!$C$22, $C$13, 100%, $E$13)</f>
        <v>4.34</v>
      </c>
      <c r="F189" s="64">
        <f>4.34 * CHOOSE(CONTROL!$C$22, $C$13, 100%, $E$13)</f>
        <v>4.34</v>
      </c>
      <c r="G189" s="64">
        <f>4.3402 * CHOOSE(CONTROL!$C$22, $C$13, 100%, $E$13)</f>
        <v>4.3402000000000003</v>
      </c>
      <c r="H189" s="64">
        <f>8.0792* CHOOSE(CONTROL!$C$22, $C$13, 100%, $E$13)</f>
        <v>8.0792000000000002</v>
      </c>
      <c r="I189" s="64">
        <f>8.0793 * CHOOSE(CONTROL!$C$22, $C$13, 100%, $E$13)</f>
        <v>8.0792999999999999</v>
      </c>
      <c r="J189" s="64">
        <f>4.34 * CHOOSE(CONTROL!$C$22, $C$13, 100%, $E$13)</f>
        <v>4.34</v>
      </c>
      <c r="K189" s="64">
        <f>4.3402 * CHOOSE(CONTROL!$C$22, $C$13, 100%, $E$13)</f>
        <v>4.3402000000000003</v>
      </c>
    </row>
    <row r="190" spans="1:11" ht="15">
      <c r="A190" s="13">
        <v>47423</v>
      </c>
      <c r="B190" s="63">
        <f>3.8141 * CHOOSE(CONTROL!$C$22, $C$13, 100%, $E$13)</f>
        <v>3.8140999999999998</v>
      </c>
      <c r="C190" s="63">
        <f>3.8141 * CHOOSE(CONTROL!$C$22, $C$13, 100%, $E$13)</f>
        <v>3.8140999999999998</v>
      </c>
      <c r="D190" s="63">
        <f>3.8314 * CHOOSE(CONTROL!$C$22, $C$13, 100%, $E$13)</f>
        <v>3.8313999999999999</v>
      </c>
      <c r="E190" s="64">
        <f>4.3522 * CHOOSE(CONTROL!$C$22, $C$13, 100%, $E$13)</f>
        <v>4.3521999999999998</v>
      </c>
      <c r="F190" s="64">
        <f>4.3522 * CHOOSE(CONTROL!$C$22, $C$13, 100%, $E$13)</f>
        <v>4.3521999999999998</v>
      </c>
      <c r="G190" s="64">
        <f>4.3524 * CHOOSE(CONTROL!$C$22, $C$13, 100%, $E$13)</f>
        <v>4.3524000000000003</v>
      </c>
      <c r="H190" s="64">
        <f>8.096* CHOOSE(CONTROL!$C$22, $C$13, 100%, $E$13)</f>
        <v>8.0960000000000001</v>
      </c>
      <c r="I190" s="64">
        <f>8.0962 * CHOOSE(CONTROL!$C$22, $C$13, 100%, $E$13)</f>
        <v>8.0961999999999996</v>
      </c>
      <c r="J190" s="64">
        <f>4.3522 * CHOOSE(CONTROL!$C$22, $C$13, 100%, $E$13)</f>
        <v>4.3521999999999998</v>
      </c>
      <c r="K190" s="64">
        <f>4.3524 * CHOOSE(CONTROL!$C$22, $C$13, 100%, $E$13)</f>
        <v>4.3524000000000003</v>
      </c>
    </row>
    <row r="191" spans="1:11" ht="15">
      <c r="A191" s="13">
        <v>47453</v>
      </c>
      <c r="B191" s="63">
        <f>3.8141 * CHOOSE(CONTROL!$C$22, $C$13, 100%, $E$13)</f>
        <v>3.8140999999999998</v>
      </c>
      <c r="C191" s="63">
        <f>3.8141 * CHOOSE(CONTROL!$C$22, $C$13, 100%, $E$13)</f>
        <v>3.8140999999999998</v>
      </c>
      <c r="D191" s="63">
        <f>3.8314 * CHOOSE(CONTROL!$C$22, $C$13, 100%, $E$13)</f>
        <v>3.8313999999999999</v>
      </c>
      <c r="E191" s="64">
        <f>4.327 * CHOOSE(CONTROL!$C$22, $C$13, 100%, $E$13)</f>
        <v>4.327</v>
      </c>
      <c r="F191" s="64">
        <f>4.327 * CHOOSE(CONTROL!$C$22, $C$13, 100%, $E$13)</f>
        <v>4.327</v>
      </c>
      <c r="G191" s="64">
        <f>4.3271 * CHOOSE(CONTROL!$C$22, $C$13, 100%, $E$13)</f>
        <v>4.3270999999999997</v>
      </c>
      <c r="H191" s="64">
        <f>8.1129* CHOOSE(CONTROL!$C$22, $C$13, 100%, $E$13)</f>
        <v>8.1128999999999998</v>
      </c>
      <c r="I191" s="64">
        <f>8.113 * CHOOSE(CONTROL!$C$22, $C$13, 100%, $E$13)</f>
        <v>8.1129999999999995</v>
      </c>
      <c r="J191" s="64">
        <f>4.327 * CHOOSE(CONTROL!$C$22, $C$13, 100%, $E$13)</f>
        <v>4.327</v>
      </c>
      <c r="K191" s="64">
        <f>4.3271 * CHOOSE(CONTROL!$C$22, $C$13, 100%, $E$13)</f>
        <v>4.3270999999999997</v>
      </c>
    </row>
    <row r="192" spans="1:11" ht="15">
      <c r="A192" s="13">
        <v>47484</v>
      </c>
      <c r="B192" s="63">
        <f>3.85 * CHOOSE(CONTROL!$C$22, $C$13, 100%, $E$13)</f>
        <v>3.85</v>
      </c>
      <c r="C192" s="63">
        <f>3.85 * CHOOSE(CONTROL!$C$22, $C$13, 100%, $E$13)</f>
        <v>3.85</v>
      </c>
      <c r="D192" s="63">
        <f>3.8674 * CHOOSE(CONTROL!$C$22, $C$13, 100%, $E$13)</f>
        <v>3.8673999999999999</v>
      </c>
      <c r="E192" s="64">
        <f>4.3833 * CHOOSE(CONTROL!$C$22, $C$13, 100%, $E$13)</f>
        <v>4.3833000000000002</v>
      </c>
      <c r="F192" s="64">
        <f>4.3833 * CHOOSE(CONTROL!$C$22, $C$13, 100%, $E$13)</f>
        <v>4.3833000000000002</v>
      </c>
      <c r="G192" s="64">
        <f>4.3835 * CHOOSE(CONTROL!$C$22, $C$13, 100%, $E$13)</f>
        <v>4.3834999999999997</v>
      </c>
      <c r="H192" s="64">
        <f>8.1298* CHOOSE(CONTROL!$C$22, $C$13, 100%, $E$13)</f>
        <v>8.1297999999999995</v>
      </c>
      <c r="I192" s="64">
        <f>8.1299 * CHOOSE(CONTROL!$C$22, $C$13, 100%, $E$13)</f>
        <v>8.1298999999999992</v>
      </c>
      <c r="J192" s="64">
        <f>4.3833 * CHOOSE(CONTROL!$C$22, $C$13, 100%, $E$13)</f>
        <v>4.3833000000000002</v>
      </c>
      <c r="K192" s="64">
        <f>4.3835 * CHOOSE(CONTROL!$C$22, $C$13, 100%, $E$13)</f>
        <v>4.3834999999999997</v>
      </c>
    </row>
    <row r="193" spans="1:11" ht="15">
      <c r="A193" s="13">
        <v>47515</v>
      </c>
      <c r="B193" s="63">
        <f>3.847 * CHOOSE(CONTROL!$C$22, $C$13, 100%, $E$13)</f>
        <v>3.847</v>
      </c>
      <c r="C193" s="63">
        <f>3.847 * CHOOSE(CONTROL!$C$22, $C$13, 100%, $E$13)</f>
        <v>3.847</v>
      </c>
      <c r="D193" s="63">
        <f>3.8643 * CHOOSE(CONTROL!$C$22, $C$13, 100%, $E$13)</f>
        <v>3.8643000000000001</v>
      </c>
      <c r="E193" s="64">
        <f>4.3322 * CHOOSE(CONTROL!$C$22, $C$13, 100%, $E$13)</f>
        <v>4.3322000000000003</v>
      </c>
      <c r="F193" s="64">
        <f>4.3322 * CHOOSE(CONTROL!$C$22, $C$13, 100%, $E$13)</f>
        <v>4.3322000000000003</v>
      </c>
      <c r="G193" s="64">
        <f>4.3324 * CHOOSE(CONTROL!$C$22, $C$13, 100%, $E$13)</f>
        <v>4.3323999999999998</v>
      </c>
      <c r="H193" s="64">
        <f>8.1467* CHOOSE(CONTROL!$C$22, $C$13, 100%, $E$13)</f>
        <v>8.1466999999999992</v>
      </c>
      <c r="I193" s="64">
        <f>8.1469 * CHOOSE(CONTROL!$C$22, $C$13, 100%, $E$13)</f>
        <v>8.1469000000000005</v>
      </c>
      <c r="J193" s="64">
        <f>4.3322 * CHOOSE(CONTROL!$C$22, $C$13, 100%, $E$13)</f>
        <v>4.3322000000000003</v>
      </c>
      <c r="K193" s="64">
        <f>4.3324 * CHOOSE(CONTROL!$C$22, $C$13, 100%, $E$13)</f>
        <v>4.3323999999999998</v>
      </c>
    </row>
    <row r="194" spans="1:11" ht="15">
      <c r="A194" s="13">
        <v>47543</v>
      </c>
      <c r="B194" s="63">
        <f>3.844 * CHOOSE(CONTROL!$C$22, $C$13, 100%, $E$13)</f>
        <v>3.8439999999999999</v>
      </c>
      <c r="C194" s="63">
        <f>3.844 * CHOOSE(CONTROL!$C$22, $C$13, 100%, $E$13)</f>
        <v>3.8439999999999999</v>
      </c>
      <c r="D194" s="63">
        <f>3.8613 * CHOOSE(CONTROL!$C$22, $C$13, 100%, $E$13)</f>
        <v>3.8613</v>
      </c>
      <c r="E194" s="64">
        <f>4.3687 * CHOOSE(CONTROL!$C$22, $C$13, 100%, $E$13)</f>
        <v>4.3686999999999996</v>
      </c>
      <c r="F194" s="64">
        <f>4.3687 * CHOOSE(CONTROL!$C$22, $C$13, 100%, $E$13)</f>
        <v>4.3686999999999996</v>
      </c>
      <c r="G194" s="64">
        <f>4.3689 * CHOOSE(CONTROL!$C$22, $C$13, 100%, $E$13)</f>
        <v>4.3689</v>
      </c>
      <c r="H194" s="64">
        <f>8.1637* CHOOSE(CONTROL!$C$22, $C$13, 100%, $E$13)</f>
        <v>8.1637000000000004</v>
      </c>
      <c r="I194" s="64">
        <f>8.1639 * CHOOSE(CONTROL!$C$22, $C$13, 100%, $E$13)</f>
        <v>8.1638999999999999</v>
      </c>
      <c r="J194" s="64">
        <f>4.3687 * CHOOSE(CONTROL!$C$22, $C$13, 100%, $E$13)</f>
        <v>4.3686999999999996</v>
      </c>
      <c r="K194" s="64">
        <f>4.3689 * CHOOSE(CONTROL!$C$22, $C$13, 100%, $E$13)</f>
        <v>4.3689</v>
      </c>
    </row>
    <row r="195" spans="1:11" ht="15">
      <c r="A195" s="13">
        <v>47574</v>
      </c>
      <c r="B195" s="63">
        <f>3.8415 * CHOOSE(CONTROL!$C$22, $C$13, 100%, $E$13)</f>
        <v>3.8414999999999999</v>
      </c>
      <c r="C195" s="63">
        <f>3.8415 * CHOOSE(CONTROL!$C$22, $C$13, 100%, $E$13)</f>
        <v>3.8414999999999999</v>
      </c>
      <c r="D195" s="63">
        <f>3.8589 * CHOOSE(CONTROL!$C$22, $C$13, 100%, $E$13)</f>
        <v>3.8589000000000002</v>
      </c>
      <c r="E195" s="64">
        <f>4.406 * CHOOSE(CONTROL!$C$22, $C$13, 100%, $E$13)</f>
        <v>4.4059999999999997</v>
      </c>
      <c r="F195" s="64">
        <f>4.406 * CHOOSE(CONTROL!$C$22, $C$13, 100%, $E$13)</f>
        <v>4.4059999999999997</v>
      </c>
      <c r="G195" s="64">
        <f>4.4061 * CHOOSE(CONTROL!$C$22, $C$13, 100%, $E$13)</f>
        <v>4.4061000000000003</v>
      </c>
      <c r="H195" s="64">
        <f>8.1807* CHOOSE(CONTROL!$C$22, $C$13, 100%, $E$13)</f>
        <v>8.1806999999999999</v>
      </c>
      <c r="I195" s="64">
        <f>8.1809 * CHOOSE(CONTROL!$C$22, $C$13, 100%, $E$13)</f>
        <v>8.1808999999999994</v>
      </c>
      <c r="J195" s="64">
        <f>4.406 * CHOOSE(CONTROL!$C$22, $C$13, 100%, $E$13)</f>
        <v>4.4059999999999997</v>
      </c>
      <c r="K195" s="64">
        <f>4.4061 * CHOOSE(CONTROL!$C$22, $C$13, 100%, $E$13)</f>
        <v>4.4061000000000003</v>
      </c>
    </row>
    <row r="196" spans="1:11" ht="15">
      <c r="A196" s="13">
        <v>47604</v>
      </c>
      <c r="B196" s="63">
        <f>3.8415 * CHOOSE(CONTROL!$C$22, $C$13, 100%, $E$13)</f>
        <v>3.8414999999999999</v>
      </c>
      <c r="C196" s="63">
        <f>3.8415 * CHOOSE(CONTROL!$C$22, $C$13, 100%, $E$13)</f>
        <v>3.8414999999999999</v>
      </c>
      <c r="D196" s="63">
        <f>3.8762 * CHOOSE(CONTROL!$C$22, $C$13, 100%, $E$13)</f>
        <v>3.8761999999999999</v>
      </c>
      <c r="E196" s="64">
        <f>4.4215 * CHOOSE(CONTROL!$C$22, $C$13, 100%, $E$13)</f>
        <v>4.4215</v>
      </c>
      <c r="F196" s="64">
        <f>4.4215 * CHOOSE(CONTROL!$C$22, $C$13, 100%, $E$13)</f>
        <v>4.4215</v>
      </c>
      <c r="G196" s="64">
        <f>4.4237 * CHOOSE(CONTROL!$C$22, $C$13, 100%, $E$13)</f>
        <v>4.4237000000000002</v>
      </c>
      <c r="H196" s="64">
        <f>8.1977* CHOOSE(CONTROL!$C$22, $C$13, 100%, $E$13)</f>
        <v>8.1976999999999993</v>
      </c>
      <c r="I196" s="64">
        <f>8.1999 * CHOOSE(CONTROL!$C$22, $C$13, 100%, $E$13)</f>
        <v>8.1998999999999995</v>
      </c>
      <c r="J196" s="64">
        <f>4.4215 * CHOOSE(CONTROL!$C$22, $C$13, 100%, $E$13)</f>
        <v>4.4215</v>
      </c>
      <c r="K196" s="64">
        <f>4.4237 * CHOOSE(CONTROL!$C$22, $C$13, 100%, $E$13)</f>
        <v>4.4237000000000002</v>
      </c>
    </row>
    <row r="197" spans="1:11" ht="15">
      <c r="A197" s="13">
        <v>47635</v>
      </c>
      <c r="B197" s="63">
        <f>3.8476 * CHOOSE(CONTROL!$C$22, $C$13, 100%, $E$13)</f>
        <v>3.8475999999999999</v>
      </c>
      <c r="C197" s="63">
        <f>3.8476 * CHOOSE(CONTROL!$C$22, $C$13, 100%, $E$13)</f>
        <v>3.8475999999999999</v>
      </c>
      <c r="D197" s="63">
        <f>3.8823 * CHOOSE(CONTROL!$C$22, $C$13, 100%, $E$13)</f>
        <v>3.8822999999999999</v>
      </c>
      <c r="E197" s="64">
        <f>4.4102 * CHOOSE(CONTROL!$C$22, $C$13, 100%, $E$13)</f>
        <v>4.4101999999999997</v>
      </c>
      <c r="F197" s="64">
        <f>4.4102 * CHOOSE(CONTROL!$C$22, $C$13, 100%, $E$13)</f>
        <v>4.4101999999999997</v>
      </c>
      <c r="G197" s="64">
        <f>4.4123 * CHOOSE(CONTROL!$C$22, $C$13, 100%, $E$13)</f>
        <v>4.4123000000000001</v>
      </c>
      <c r="H197" s="64">
        <f>8.2148* CHOOSE(CONTROL!$C$22, $C$13, 100%, $E$13)</f>
        <v>8.2148000000000003</v>
      </c>
      <c r="I197" s="64">
        <f>8.217 * CHOOSE(CONTROL!$C$22, $C$13, 100%, $E$13)</f>
        <v>8.2170000000000005</v>
      </c>
      <c r="J197" s="64">
        <f>4.4102 * CHOOSE(CONTROL!$C$22, $C$13, 100%, $E$13)</f>
        <v>4.4101999999999997</v>
      </c>
      <c r="K197" s="64">
        <f>4.4123 * CHOOSE(CONTROL!$C$22, $C$13, 100%, $E$13)</f>
        <v>4.4123000000000001</v>
      </c>
    </row>
    <row r="198" spans="1:11" ht="15">
      <c r="A198" s="13">
        <v>47665</v>
      </c>
      <c r="B198" s="63">
        <f>3.915 * CHOOSE(CONTROL!$C$22, $C$13, 100%, $E$13)</f>
        <v>3.915</v>
      </c>
      <c r="C198" s="63">
        <f>3.915 * CHOOSE(CONTROL!$C$22, $C$13, 100%, $E$13)</f>
        <v>3.915</v>
      </c>
      <c r="D198" s="63">
        <f>3.9497 * CHOOSE(CONTROL!$C$22, $C$13, 100%, $E$13)</f>
        <v>3.9497</v>
      </c>
      <c r="E198" s="64">
        <f>4.4986 * CHOOSE(CONTROL!$C$22, $C$13, 100%, $E$13)</f>
        <v>4.4985999999999997</v>
      </c>
      <c r="F198" s="64">
        <f>4.4986 * CHOOSE(CONTROL!$C$22, $C$13, 100%, $E$13)</f>
        <v>4.4985999999999997</v>
      </c>
      <c r="G198" s="64">
        <f>4.5008 * CHOOSE(CONTROL!$C$22, $C$13, 100%, $E$13)</f>
        <v>4.5007999999999999</v>
      </c>
      <c r="H198" s="64">
        <f>8.2319* CHOOSE(CONTROL!$C$22, $C$13, 100%, $E$13)</f>
        <v>8.2318999999999996</v>
      </c>
      <c r="I198" s="64">
        <f>8.2341 * CHOOSE(CONTROL!$C$22, $C$13, 100%, $E$13)</f>
        <v>8.2340999999999998</v>
      </c>
      <c r="J198" s="64">
        <f>4.4986 * CHOOSE(CONTROL!$C$22, $C$13, 100%, $E$13)</f>
        <v>4.4985999999999997</v>
      </c>
      <c r="K198" s="64">
        <f>4.5008 * CHOOSE(CONTROL!$C$22, $C$13, 100%, $E$13)</f>
        <v>4.5007999999999999</v>
      </c>
    </row>
    <row r="199" spans="1:11" ht="15">
      <c r="A199" s="13">
        <v>47696</v>
      </c>
      <c r="B199" s="63">
        <f>3.9217 * CHOOSE(CONTROL!$C$22, $C$13, 100%, $E$13)</f>
        <v>3.9217</v>
      </c>
      <c r="C199" s="63">
        <f>3.9217 * CHOOSE(CONTROL!$C$22, $C$13, 100%, $E$13)</f>
        <v>3.9217</v>
      </c>
      <c r="D199" s="63">
        <f>3.9564 * CHOOSE(CONTROL!$C$22, $C$13, 100%, $E$13)</f>
        <v>3.9563999999999999</v>
      </c>
      <c r="E199" s="64">
        <f>4.4566 * CHOOSE(CONTROL!$C$22, $C$13, 100%, $E$13)</f>
        <v>4.4565999999999999</v>
      </c>
      <c r="F199" s="64">
        <f>4.4566 * CHOOSE(CONTROL!$C$22, $C$13, 100%, $E$13)</f>
        <v>4.4565999999999999</v>
      </c>
      <c r="G199" s="64">
        <f>4.4588 * CHOOSE(CONTROL!$C$22, $C$13, 100%, $E$13)</f>
        <v>4.4588000000000001</v>
      </c>
      <c r="H199" s="64">
        <f>8.2491* CHOOSE(CONTROL!$C$22, $C$13, 100%, $E$13)</f>
        <v>8.2491000000000003</v>
      </c>
      <c r="I199" s="64">
        <f>8.2512 * CHOOSE(CONTROL!$C$22, $C$13, 100%, $E$13)</f>
        <v>8.2512000000000008</v>
      </c>
      <c r="J199" s="64">
        <f>4.4566 * CHOOSE(CONTROL!$C$22, $C$13, 100%, $E$13)</f>
        <v>4.4565999999999999</v>
      </c>
      <c r="K199" s="64">
        <f>4.4588 * CHOOSE(CONTROL!$C$22, $C$13, 100%, $E$13)</f>
        <v>4.4588000000000001</v>
      </c>
    </row>
    <row r="200" spans="1:11" ht="15">
      <c r="A200" s="13">
        <v>47727</v>
      </c>
      <c r="B200" s="63">
        <f>3.9187 * CHOOSE(CONTROL!$C$22, $C$13, 100%, $E$13)</f>
        <v>3.9186999999999999</v>
      </c>
      <c r="C200" s="63">
        <f>3.9187 * CHOOSE(CONTROL!$C$22, $C$13, 100%, $E$13)</f>
        <v>3.9186999999999999</v>
      </c>
      <c r="D200" s="63">
        <f>3.9533 * CHOOSE(CONTROL!$C$22, $C$13, 100%, $E$13)</f>
        <v>3.9533</v>
      </c>
      <c r="E200" s="64">
        <f>4.4493 * CHOOSE(CONTROL!$C$22, $C$13, 100%, $E$13)</f>
        <v>4.4493</v>
      </c>
      <c r="F200" s="64">
        <f>4.4493 * CHOOSE(CONTROL!$C$22, $C$13, 100%, $E$13)</f>
        <v>4.4493</v>
      </c>
      <c r="G200" s="64">
        <f>4.4515 * CHOOSE(CONTROL!$C$22, $C$13, 100%, $E$13)</f>
        <v>4.4515000000000002</v>
      </c>
      <c r="H200" s="64">
        <f>8.2663* CHOOSE(CONTROL!$C$22, $C$13, 100%, $E$13)</f>
        <v>8.2662999999999993</v>
      </c>
      <c r="I200" s="64">
        <f>8.2684 * CHOOSE(CONTROL!$C$22, $C$13, 100%, $E$13)</f>
        <v>8.2683999999999997</v>
      </c>
      <c r="J200" s="64">
        <f>4.4493 * CHOOSE(CONTROL!$C$22, $C$13, 100%, $E$13)</f>
        <v>4.4493</v>
      </c>
      <c r="K200" s="64">
        <f>4.4515 * CHOOSE(CONTROL!$C$22, $C$13, 100%, $E$13)</f>
        <v>4.4515000000000002</v>
      </c>
    </row>
    <row r="201" spans="1:11" ht="15">
      <c r="A201" s="13">
        <v>47757</v>
      </c>
      <c r="B201" s="63">
        <f>3.9137 * CHOOSE(CONTROL!$C$22, $C$13, 100%, $E$13)</f>
        <v>3.9137</v>
      </c>
      <c r="C201" s="63">
        <f>3.9137 * CHOOSE(CONTROL!$C$22, $C$13, 100%, $E$13)</f>
        <v>3.9137</v>
      </c>
      <c r="D201" s="63">
        <f>3.9311 * CHOOSE(CONTROL!$C$22, $C$13, 100%, $E$13)</f>
        <v>3.9310999999999998</v>
      </c>
      <c r="E201" s="64">
        <f>4.4566 * CHOOSE(CONTROL!$C$22, $C$13, 100%, $E$13)</f>
        <v>4.4565999999999999</v>
      </c>
      <c r="F201" s="64">
        <f>4.4566 * CHOOSE(CONTROL!$C$22, $C$13, 100%, $E$13)</f>
        <v>4.4565999999999999</v>
      </c>
      <c r="G201" s="64">
        <f>4.4568 * CHOOSE(CONTROL!$C$22, $C$13, 100%, $E$13)</f>
        <v>4.4568000000000003</v>
      </c>
      <c r="H201" s="64">
        <f>8.2835* CHOOSE(CONTROL!$C$22, $C$13, 100%, $E$13)</f>
        <v>8.2835000000000001</v>
      </c>
      <c r="I201" s="64">
        <f>8.2837 * CHOOSE(CONTROL!$C$22, $C$13, 100%, $E$13)</f>
        <v>8.2836999999999996</v>
      </c>
      <c r="J201" s="64">
        <f>4.4566 * CHOOSE(CONTROL!$C$22, $C$13, 100%, $E$13)</f>
        <v>4.4565999999999999</v>
      </c>
      <c r="K201" s="64">
        <f>4.4568 * CHOOSE(CONTROL!$C$22, $C$13, 100%, $E$13)</f>
        <v>4.4568000000000003</v>
      </c>
    </row>
    <row r="202" spans="1:11" ht="15">
      <c r="A202" s="13">
        <v>47788</v>
      </c>
      <c r="B202" s="63">
        <f>3.9168 * CHOOSE(CONTROL!$C$22, $C$13, 100%, $E$13)</f>
        <v>3.9167999999999998</v>
      </c>
      <c r="C202" s="63">
        <f>3.9168 * CHOOSE(CONTROL!$C$22, $C$13, 100%, $E$13)</f>
        <v>3.9167999999999998</v>
      </c>
      <c r="D202" s="63">
        <f>3.9341 * CHOOSE(CONTROL!$C$22, $C$13, 100%, $E$13)</f>
        <v>3.9340999999999999</v>
      </c>
      <c r="E202" s="64">
        <f>4.4691 * CHOOSE(CONTROL!$C$22, $C$13, 100%, $E$13)</f>
        <v>4.4691000000000001</v>
      </c>
      <c r="F202" s="64">
        <f>4.4691 * CHOOSE(CONTROL!$C$22, $C$13, 100%, $E$13)</f>
        <v>4.4691000000000001</v>
      </c>
      <c r="G202" s="64">
        <f>4.4693 * CHOOSE(CONTROL!$C$22, $C$13, 100%, $E$13)</f>
        <v>4.4692999999999996</v>
      </c>
      <c r="H202" s="64">
        <f>8.3007* CHOOSE(CONTROL!$C$22, $C$13, 100%, $E$13)</f>
        <v>8.3007000000000009</v>
      </c>
      <c r="I202" s="64">
        <f>8.3009 * CHOOSE(CONTROL!$C$22, $C$13, 100%, $E$13)</f>
        <v>8.3009000000000004</v>
      </c>
      <c r="J202" s="64">
        <f>4.4691 * CHOOSE(CONTROL!$C$22, $C$13, 100%, $E$13)</f>
        <v>4.4691000000000001</v>
      </c>
      <c r="K202" s="64">
        <f>4.4693 * CHOOSE(CONTROL!$C$22, $C$13, 100%, $E$13)</f>
        <v>4.4692999999999996</v>
      </c>
    </row>
    <row r="203" spans="1:11" ht="15">
      <c r="A203" s="13">
        <v>47818</v>
      </c>
      <c r="B203" s="63">
        <f>3.9168 * CHOOSE(CONTROL!$C$22, $C$13, 100%, $E$13)</f>
        <v>3.9167999999999998</v>
      </c>
      <c r="C203" s="63">
        <f>3.9168 * CHOOSE(CONTROL!$C$22, $C$13, 100%, $E$13)</f>
        <v>3.9167999999999998</v>
      </c>
      <c r="D203" s="63">
        <f>3.9341 * CHOOSE(CONTROL!$C$22, $C$13, 100%, $E$13)</f>
        <v>3.9340999999999999</v>
      </c>
      <c r="E203" s="64">
        <f>4.4432 * CHOOSE(CONTROL!$C$22, $C$13, 100%, $E$13)</f>
        <v>4.4432</v>
      </c>
      <c r="F203" s="64">
        <f>4.4432 * CHOOSE(CONTROL!$C$22, $C$13, 100%, $E$13)</f>
        <v>4.4432</v>
      </c>
      <c r="G203" s="64">
        <f>4.4434 * CHOOSE(CONTROL!$C$22, $C$13, 100%, $E$13)</f>
        <v>4.4433999999999996</v>
      </c>
      <c r="H203" s="64">
        <f>8.318* CHOOSE(CONTROL!$C$22, $C$13, 100%, $E$13)</f>
        <v>8.3179999999999996</v>
      </c>
      <c r="I203" s="64">
        <f>8.3182 * CHOOSE(CONTROL!$C$22, $C$13, 100%, $E$13)</f>
        <v>8.3181999999999992</v>
      </c>
      <c r="J203" s="64">
        <f>4.4432 * CHOOSE(CONTROL!$C$22, $C$13, 100%, $E$13)</f>
        <v>4.4432</v>
      </c>
      <c r="K203" s="64">
        <f>4.4434 * CHOOSE(CONTROL!$C$22, $C$13, 100%, $E$13)</f>
        <v>4.4433999999999996</v>
      </c>
    </row>
    <row r="204" spans="1:11" ht="15">
      <c r="A204" s="13">
        <v>47849</v>
      </c>
      <c r="B204" s="63">
        <f>3.9538 * CHOOSE(CONTROL!$C$22, $C$13, 100%, $E$13)</f>
        <v>3.9538000000000002</v>
      </c>
      <c r="C204" s="63">
        <f>3.9538 * CHOOSE(CONTROL!$C$22, $C$13, 100%, $E$13)</f>
        <v>3.9538000000000002</v>
      </c>
      <c r="D204" s="63">
        <f>3.9711 * CHOOSE(CONTROL!$C$22, $C$13, 100%, $E$13)</f>
        <v>3.9710999999999999</v>
      </c>
      <c r="E204" s="64">
        <f>4.5104 * CHOOSE(CONTROL!$C$22, $C$13, 100%, $E$13)</f>
        <v>4.5103999999999997</v>
      </c>
      <c r="F204" s="64">
        <f>4.5104 * CHOOSE(CONTROL!$C$22, $C$13, 100%, $E$13)</f>
        <v>4.5103999999999997</v>
      </c>
      <c r="G204" s="64">
        <f>4.5106 * CHOOSE(CONTROL!$C$22, $C$13, 100%, $E$13)</f>
        <v>4.5106000000000002</v>
      </c>
      <c r="H204" s="64">
        <f>8.3354* CHOOSE(CONTROL!$C$22, $C$13, 100%, $E$13)</f>
        <v>8.3353999999999999</v>
      </c>
      <c r="I204" s="64">
        <f>8.3355 * CHOOSE(CONTROL!$C$22, $C$13, 100%, $E$13)</f>
        <v>8.3354999999999997</v>
      </c>
      <c r="J204" s="64">
        <f>4.5104 * CHOOSE(CONTROL!$C$22, $C$13, 100%, $E$13)</f>
        <v>4.5103999999999997</v>
      </c>
      <c r="K204" s="64">
        <f>4.5106 * CHOOSE(CONTROL!$C$22, $C$13, 100%, $E$13)</f>
        <v>4.5106000000000002</v>
      </c>
    </row>
    <row r="205" spans="1:11" ht="15">
      <c r="A205" s="13">
        <v>47880</v>
      </c>
      <c r="B205" s="63">
        <f>3.9507 * CHOOSE(CONTROL!$C$22, $C$13, 100%, $E$13)</f>
        <v>3.9506999999999999</v>
      </c>
      <c r="C205" s="63">
        <f>3.9507 * CHOOSE(CONTROL!$C$22, $C$13, 100%, $E$13)</f>
        <v>3.9506999999999999</v>
      </c>
      <c r="D205" s="63">
        <f>3.9681 * CHOOSE(CONTROL!$C$22, $C$13, 100%, $E$13)</f>
        <v>3.9681000000000002</v>
      </c>
      <c r="E205" s="64">
        <f>4.4581 * CHOOSE(CONTROL!$C$22, $C$13, 100%, $E$13)</f>
        <v>4.4581</v>
      </c>
      <c r="F205" s="64">
        <f>4.4581 * CHOOSE(CONTROL!$C$22, $C$13, 100%, $E$13)</f>
        <v>4.4581</v>
      </c>
      <c r="G205" s="64">
        <f>4.4582 * CHOOSE(CONTROL!$C$22, $C$13, 100%, $E$13)</f>
        <v>4.4581999999999997</v>
      </c>
      <c r="H205" s="64">
        <f>8.3527* CHOOSE(CONTROL!$C$22, $C$13, 100%, $E$13)</f>
        <v>8.3527000000000005</v>
      </c>
      <c r="I205" s="64">
        <f>8.3529 * CHOOSE(CONTROL!$C$22, $C$13, 100%, $E$13)</f>
        <v>8.3529</v>
      </c>
      <c r="J205" s="64">
        <f>4.4581 * CHOOSE(CONTROL!$C$22, $C$13, 100%, $E$13)</f>
        <v>4.4581</v>
      </c>
      <c r="K205" s="64">
        <f>4.4582 * CHOOSE(CONTROL!$C$22, $C$13, 100%, $E$13)</f>
        <v>4.4581999999999997</v>
      </c>
    </row>
    <row r="206" spans="1:11" ht="15">
      <c r="A206" s="13">
        <v>47908</v>
      </c>
      <c r="B206" s="63">
        <f>3.9477 * CHOOSE(CONTROL!$C$22, $C$13, 100%, $E$13)</f>
        <v>3.9477000000000002</v>
      </c>
      <c r="C206" s="63">
        <f>3.9477 * CHOOSE(CONTROL!$C$22, $C$13, 100%, $E$13)</f>
        <v>3.9477000000000002</v>
      </c>
      <c r="D206" s="63">
        <f>3.965 * CHOOSE(CONTROL!$C$22, $C$13, 100%, $E$13)</f>
        <v>3.9649999999999999</v>
      </c>
      <c r="E206" s="64">
        <f>4.4956 * CHOOSE(CONTROL!$C$22, $C$13, 100%, $E$13)</f>
        <v>4.4955999999999996</v>
      </c>
      <c r="F206" s="64">
        <f>4.4956 * CHOOSE(CONTROL!$C$22, $C$13, 100%, $E$13)</f>
        <v>4.4955999999999996</v>
      </c>
      <c r="G206" s="64">
        <f>4.4957 * CHOOSE(CONTROL!$C$22, $C$13, 100%, $E$13)</f>
        <v>4.4957000000000003</v>
      </c>
      <c r="H206" s="64">
        <f>8.3701* CHOOSE(CONTROL!$C$22, $C$13, 100%, $E$13)</f>
        <v>8.3701000000000008</v>
      </c>
      <c r="I206" s="64">
        <f>8.3703 * CHOOSE(CONTROL!$C$22, $C$13, 100%, $E$13)</f>
        <v>8.3703000000000003</v>
      </c>
      <c r="J206" s="64">
        <f>4.4956 * CHOOSE(CONTROL!$C$22, $C$13, 100%, $E$13)</f>
        <v>4.4955999999999996</v>
      </c>
      <c r="K206" s="64">
        <f>4.4957 * CHOOSE(CONTROL!$C$22, $C$13, 100%, $E$13)</f>
        <v>4.4957000000000003</v>
      </c>
    </row>
    <row r="207" spans="1:11" ht="15">
      <c r="A207" s="13">
        <v>47939</v>
      </c>
      <c r="B207" s="63">
        <f>3.9454 * CHOOSE(CONTROL!$C$22, $C$13, 100%, $E$13)</f>
        <v>3.9453999999999998</v>
      </c>
      <c r="C207" s="63">
        <f>3.9454 * CHOOSE(CONTROL!$C$22, $C$13, 100%, $E$13)</f>
        <v>3.9453999999999998</v>
      </c>
      <c r="D207" s="63">
        <f>3.9627 * CHOOSE(CONTROL!$C$22, $C$13, 100%, $E$13)</f>
        <v>3.9626999999999999</v>
      </c>
      <c r="E207" s="64">
        <f>4.5339 * CHOOSE(CONTROL!$C$22, $C$13, 100%, $E$13)</f>
        <v>4.5339</v>
      </c>
      <c r="F207" s="64">
        <f>4.5339 * CHOOSE(CONTROL!$C$22, $C$13, 100%, $E$13)</f>
        <v>4.5339</v>
      </c>
      <c r="G207" s="64">
        <f>4.5341 * CHOOSE(CONTROL!$C$22, $C$13, 100%, $E$13)</f>
        <v>4.5340999999999996</v>
      </c>
      <c r="H207" s="64">
        <f>8.3876* CHOOSE(CONTROL!$C$22, $C$13, 100%, $E$13)</f>
        <v>8.3876000000000008</v>
      </c>
      <c r="I207" s="64">
        <f>8.3877 * CHOOSE(CONTROL!$C$22, $C$13, 100%, $E$13)</f>
        <v>8.3877000000000006</v>
      </c>
      <c r="J207" s="64">
        <f>4.5339 * CHOOSE(CONTROL!$C$22, $C$13, 100%, $E$13)</f>
        <v>4.5339</v>
      </c>
      <c r="K207" s="64">
        <f>4.5341 * CHOOSE(CONTROL!$C$22, $C$13, 100%, $E$13)</f>
        <v>4.5340999999999996</v>
      </c>
    </row>
    <row r="208" spans="1:11" ht="15">
      <c r="A208" s="13">
        <v>47969</v>
      </c>
      <c r="B208" s="63">
        <f>3.9454 * CHOOSE(CONTROL!$C$22, $C$13, 100%, $E$13)</f>
        <v>3.9453999999999998</v>
      </c>
      <c r="C208" s="63">
        <f>3.9454 * CHOOSE(CONTROL!$C$22, $C$13, 100%, $E$13)</f>
        <v>3.9453999999999998</v>
      </c>
      <c r="D208" s="63">
        <f>3.98 * CHOOSE(CONTROL!$C$22, $C$13, 100%, $E$13)</f>
        <v>3.98</v>
      </c>
      <c r="E208" s="64">
        <f>4.5498 * CHOOSE(CONTROL!$C$22, $C$13, 100%, $E$13)</f>
        <v>4.5498000000000003</v>
      </c>
      <c r="F208" s="64">
        <f>4.5498 * CHOOSE(CONTROL!$C$22, $C$13, 100%, $E$13)</f>
        <v>4.5498000000000003</v>
      </c>
      <c r="G208" s="64">
        <f>4.552 * CHOOSE(CONTROL!$C$22, $C$13, 100%, $E$13)</f>
        <v>4.5519999999999996</v>
      </c>
      <c r="H208" s="64">
        <f>8.405* CHOOSE(CONTROL!$C$22, $C$13, 100%, $E$13)</f>
        <v>8.4049999999999994</v>
      </c>
      <c r="I208" s="64">
        <f>8.4072 * CHOOSE(CONTROL!$C$22, $C$13, 100%, $E$13)</f>
        <v>8.4071999999999996</v>
      </c>
      <c r="J208" s="64">
        <f>4.5498 * CHOOSE(CONTROL!$C$22, $C$13, 100%, $E$13)</f>
        <v>4.5498000000000003</v>
      </c>
      <c r="K208" s="64">
        <f>4.552 * CHOOSE(CONTROL!$C$22, $C$13, 100%, $E$13)</f>
        <v>4.5519999999999996</v>
      </c>
    </row>
    <row r="209" spans="1:11" ht="15">
      <c r="A209" s="13">
        <v>48000</v>
      </c>
      <c r="B209" s="63">
        <f>3.9515 * CHOOSE(CONTROL!$C$22, $C$13, 100%, $E$13)</f>
        <v>3.9514999999999998</v>
      </c>
      <c r="C209" s="63">
        <f>3.9515 * CHOOSE(CONTROL!$C$22, $C$13, 100%, $E$13)</f>
        <v>3.9514999999999998</v>
      </c>
      <c r="D209" s="63">
        <f>3.9861 * CHOOSE(CONTROL!$C$22, $C$13, 100%, $E$13)</f>
        <v>3.9861</v>
      </c>
      <c r="E209" s="64">
        <f>4.5381 * CHOOSE(CONTROL!$C$22, $C$13, 100%, $E$13)</f>
        <v>4.5381</v>
      </c>
      <c r="F209" s="64">
        <f>4.5381 * CHOOSE(CONTROL!$C$22, $C$13, 100%, $E$13)</f>
        <v>4.5381</v>
      </c>
      <c r="G209" s="64">
        <f>4.5403 * CHOOSE(CONTROL!$C$22, $C$13, 100%, $E$13)</f>
        <v>4.5403000000000002</v>
      </c>
      <c r="H209" s="64">
        <f>8.4226* CHOOSE(CONTROL!$C$22, $C$13, 100%, $E$13)</f>
        <v>8.4225999999999992</v>
      </c>
      <c r="I209" s="64">
        <f>8.4247 * CHOOSE(CONTROL!$C$22, $C$13, 100%, $E$13)</f>
        <v>8.4246999999999996</v>
      </c>
      <c r="J209" s="64">
        <f>4.5381 * CHOOSE(CONTROL!$C$22, $C$13, 100%, $E$13)</f>
        <v>4.5381</v>
      </c>
      <c r="K209" s="64">
        <f>4.5403 * CHOOSE(CONTROL!$C$22, $C$13, 100%, $E$13)</f>
        <v>4.5403000000000002</v>
      </c>
    </row>
    <row r="210" spans="1:11" ht="15">
      <c r="A210" s="13">
        <v>48030</v>
      </c>
      <c r="B210" s="63">
        <f>4.021 * CHOOSE(CONTROL!$C$22, $C$13, 100%, $E$13)</f>
        <v>4.0209999999999999</v>
      </c>
      <c r="C210" s="63">
        <f>4.021 * CHOOSE(CONTROL!$C$22, $C$13, 100%, $E$13)</f>
        <v>4.0209999999999999</v>
      </c>
      <c r="D210" s="63">
        <f>4.0556 * CHOOSE(CONTROL!$C$22, $C$13, 100%, $E$13)</f>
        <v>4.0556000000000001</v>
      </c>
      <c r="E210" s="64">
        <f>4.6515 * CHOOSE(CONTROL!$C$22, $C$13, 100%, $E$13)</f>
        <v>4.6515000000000004</v>
      </c>
      <c r="F210" s="64">
        <f>4.6515 * CHOOSE(CONTROL!$C$22, $C$13, 100%, $E$13)</f>
        <v>4.6515000000000004</v>
      </c>
      <c r="G210" s="64">
        <f>4.6536 * CHOOSE(CONTROL!$C$22, $C$13, 100%, $E$13)</f>
        <v>4.6536</v>
      </c>
      <c r="H210" s="64">
        <f>8.4401* CHOOSE(CONTROL!$C$22, $C$13, 100%, $E$13)</f>
        <v>8.4400999999999993</v>
      </c>
      <c r="I210" s="64">
        <f>8.4422 * CHOOSE(CONTROL!$C$22, $C$13, 100%, $E$13)</f>
        <v>8.4421999999999997</v>
      </c>
      <c r="J210" s="64">
        <f>4.6515 * CHOOSE(CONTROL!$C$22, $C$13, 100%, $E$13)</f>
        <v>4.6515000000000004</v>
      </c>
      <c r="K210" s="64">
        <f>4.6536 * CHOOSE(CONTROL!$C$22, $C$13, 100%, $E$13)</f>
        <v>4.6536</v>
      </c>
    </row>
    <row r="211" spans="1:11" ht="15">
      <c r="A211" s="13">
        <v>48061</v>
      </c>
      <c r="B211" s="63">
        <f>4.0277 * CHOOSE(CONTROL!$C$22, $C$13, 100%, $E$13)</f>
        <v>4.0277000000000003</v>
      </c>
      <c r="C211" s="63">
        <f>4.0277 * CHOOSE(CONTROL!$C$22, $C$13, 100%, $E$13)</f>
        <v>4.0277000000000003</v>
      </c>
      <c r="D211" s="63">
        <f>4.0623 * CHOOSE(CONTROL!$C$22, $C$13, 100%, $E$13)</f>
        <v>4.0622999999999996</v>
      </c>
      <c r="E211" s="64">
        <f>4.6083 * CHOOSE(CONTROL!$C$22, $C$13, 100%, $E$13)</f>
        <v>4.6082999999999998</v>
      </c>
      <c r="F211" s="64">
        <f>4.6083 * CHOOSE(CONTROL!$C$22, $C$13, 100%, $E$13)</f>
        <v>4.6082999999999998</v>
      </c>
      <c r="G211" s="64">
        <f>4.6104 * CHOOSE(CONTROL!$C$22, $C$13, 100%, $E$13)</f>
        <v>4.6104000000000003</v>
      </c>
      <c r="H211" s="64">
        <f>8.4577* CHOOSE(CONTROL!$C$22, $C$13, 100%, $E$13)</f>
        <v>8.4577000000000009</v>
      </c>
      <c r="I211" s="64">
        <f>8.4598 * CHOOSE(CONTROL!$C$22, $C$13, 100%, $E$13)</f>
        <v>8.4597999999999995</v>
      </c>
      <c r="J211" s="64">
        <f>4.6083 * CHOOSE(CONTROL!$C$22, $C$13, 100%, $E$13)</f>
        <v>4.6082999999999998</v>
      </c>
      <c r="K211" s="64">
        <f>4.6104 * CHOOSE(CONTROL!$C$22, $C$13, 100%, $E$13)</f>
        <v>4.6104000000000003</v>
      </c>
    </row>
    <row r="212" spans="1:11" ht="15">
      <c r="A212" s="13">
        <v>48092</v>
      </c>
      <c r="B212" s="63">
        <f>4.0246 * CHOOSE(CONTROL!$C$22, $C$13, 100%, $E$13)</f>
        <v>4.0246000000000004</v>
      </c>
      <c r="C212" s="63">
        <f>4.0246 * CHOOSE(CONTROL!$C$22, $C$13, 100%, $E$13)</f>
        <v>4.0246000000000004</v>
      </c>
      <c r="D212" s="63">
        <f>4.0593 * CHOOSE(CONTROL!$C$22, $C$13, 100%, $E$13)</f>
        <v>4.0593000000000004</v>
      </c>
      <c r="E212" s="64">
        <f>4.6008 * CHOOSE(CONTROL!$C$22, $C$13, 100%, $E$13)</f>
        <v>4.6007999999999996</v>
      </c>
      <c r="F212" s="64">
        <f>4.6008 * CHOOSE(CONTROL!$C$22, $C$13, 100%, $E$13)</f>
        <v>4.6007999999999996</v>
      </c>
      <c r="G212" s="64">
        <f>4.603 * CHOOSE(CONTROL!$C$22, $C$13, 100%, $E$13)</f>
        <v>4.6029999999999998</v>
      </c>
      <c r="H212" s="64">
        <f>8.4753* CHOOSE(CONTROL!$C$22, $C$13, 100%, $E$13)</f>
        <v>8.4753000000000007</v>
      </c>
      <c r="I212" s="64">
        <f>8.4774 * CHOOSE(CONTROL!$C$22, $C$13, 100%, $E$13)</f>
        <v>8.4773999999999994</v>
      </c>
      <c r="J212" s="64">
        <f>4.6008 * CHOOSE(CONTROL!$C$22, $C$13, 100%, $E$13)</f>
        <v>4.6007999999999996</v>
      </c>
      <c r="K212" s="64">
        <f>4.603 * CHOOSE(CONTROL!$C$22, $C$13, 100%, $E$13)</f>
        <v>4.6029999999999998</v>
      </c>
    </row>
    <row r="213" spans="1:11" ht="15">
      <c r="A213" s="13">
        <v>48122</v>
      </c>
      <c r="B213" s="63">
        <f>4.02 * CHOOSE(CONTROL!$C$22, $C$13, 100%, $E$13)</f>
        <v>4.0199999999999996</v>
      </c>
      <c r="C213" s="63">
        <f>4.02 * CHOOSE(CONTROL!$C$22, $C$13, 100%, $E$13)</f>
        <v>4.0199999999999996</v>
      </c>
      <c r="D213" s="63">
        <f>4.0374 * CHOOSE(CONTROL!$C$22, $C$13, 100%, $E$13)</f>
        <v>4.0373999999999999</v>
      </c>
      <c r="E213" s="64">
        <f>4.6087 * CHOOSE(CONTROL!$C$22, $C$13, 100%, $E$13)</f>
        <v>4.6086999999999998</v>
      </c>
      <c r="F213" s="64">
        <f>4.6087 * CHOOSE(CONTROL!$C$22, $C$13, 100%, $E$13)</f>
        <v>4.6086999999999998</v>
      </c>
      <c r="G213" s="64">
        <f>4.6089 * CHOOSE(CONTROL!$C$22, $C$13, 100%, $E$13)</f>
        <v>4.6089000000000002</v>
      </c>
      <c r="H213" s="64">
        <f>8.493* CHOOSE(CONTROL!$C$22, $C$13, 100%, $E$13)</f>
        <v>8.4930000000000003</v>
      </c>
      <c r="I213" s="64">
        <f>8.4931 * CHOOSE(CONTROL!$C$22, $C$13, 100%, $E$13)</f>
        <v>8.4931000000000001</v>
      </c>
      <c r="J213" s="64">
        <f>4.6087 * CHOOSE(CONTROL!$C$22, $C$13, 100%, $E$13)</f>
        <v>4.6086999999999998</v>
      </c>
      <c r="K213" s="64">
        <f>4.6089 * CHOOSE(CONTROL!$C$22, $C$13, 100%, $E$13)</f>
        <v>4.6089000000000002</v>
      </c>
    </row>
    <row r="214" spans="1:11" ht="15">
      <c r="A214" s="13">
        <v>48153</v>
      </c>
      <c r="B214" s="63">
        <f>4.0231 * CHOOSE(CONTROL!$C$22, $C$13, 100%, $E$13)</f>
        <v>4.0231000000000003</v>
      </c>
      <c r="C214" s="63">
        <f>4.0231 * CHOOSE(CONTROL!$C$22, $C$13, 100%, $E$13)</f>
        <v>4.0231000000000003</v>
      </c>
      <c r="D214" s="63">
        <f>4.0404 * CHOOSE(CONTROL!$C$22, $C$13, 100%, $E$13)</f>
        <v>4.0404</v>
      </c>
      <c r="E214" s="64">
        <f>4.6214 * CHOOSE(CONTROL!$C$22, $C$13, 100%, $E$13)</f>
        <v>4.6214000000000004</v>
      </c>
      <c r="F214" s="64">
        <f>4.6214 * CHOOSE(CONTROL!$C$22, $C$13, 100%, $E$13)</f>
        <v>4.6214000000000004</v>
      </c>
      <c r="G214" s="64">
        <f>4.6216 * CHOOSE(CONTROL!$C$22, $C$13, 100%, $E$13)</f>
        <v>4.6215999999999999</v>
      </c>
      <c r="H214" s="64">
        <f>8.5107* CHOOSE(CONTROL!$C$22, $C$13, 100%, $E$13)</f>
        <v>8.5106999999999999</v>
      </c>
      <c r="I214" s="64">
        <f>8.5108 * CHOOSE(CONTROL!$C$22, $C$13, 100%, $E$13)</f>
        <v>8.5107999999999997</v>
      </c>
      <c r="J214" s="64">
        <f>4.6214 * CHOOSE(CONTROL!$C$22, $C$13, 100%, $E$13)</f>
        <v>4.6214000000000004</v>
      </c>
      <c r="K214" s="64">
        <f>4.6216 * CHOOSE(CONTROL!$C$22, $C$13, 100%, $E$13)</f>
        <v>4.6215999999999999</v>
      </c>
    </row>
    <row r="215" spans="1:11" ht="15">
      <c r="A215" s="13">
        <v>48183</v>
      </c>
      <c r="B215" s="63">
        <f>4.0231 * CHOOSE(CONTROL!$C$22, $C$13, 100%, $E$13)</f>
        <v>4.0231000000000003</v>
      </c>
      <c r="C215" s="63">
        <f>4.0231 * CHOOSE(CONTROL!$C$22, $C$13, 100%, $E$13)</f>
        <v>4.0231000000000003</v>
      </c>
      <c r="D215" s="63">
        <f>4.0404 * CHOOSE(CONTROL!$C$22, $C$13, 100%, $E$13)</f>
        <v>4.0404</v>
      </c>
      <c r="E215" s="64">
        <f>4.5948 * CHOOSE(CONTROL!$C$22, $C$13, 100%, $E$13)</f>
        <v>4.5948000000000002</v>
      </c>
      <c r="F215" s="64">
        <f>4.5948 * CHOOSE(CONTROL!$C$22, $C$13, 100%, $E$13)</f>
        <v>4.5948000000000002</v>
      </c>
      <c r="G215" s="64">
        <f>4.595 * CHOOSE(CONTROL!$C$22, $C$13, 100%, $E$13)</f>
        <v>4.5949999999999998</v>
      </c>
      <c r="H215" s="64">
        <f>8.5284* CHOOSE(CONTROL!$C$22, $C$13, 100%, $E$13)</f>
        <v>8.5283999999999995</v>
      </c>
      <c r="I215" s="64">
        <f>8.5286 * CHOOSE(CONTROL!$C$22, $C$13, 100%, $E$13)</f>
        <v>8.5286000000000008</v>
      </c>
      <c r="J215" s="64">
        <f>4.5948 * CHOOSE(CONTROL!$C$22, $C$13, 100%, $E$13)</f>
        <v>4.5948000000000002</v>
      </c>
      <c r="K215" s="64">
        <f>4.595 * CHOOSE(CONTROL!$C$22, $C$13, 100%, $E$13)</f>
        <v>4.5949999999999998</v>
      </c>
    </row>
    <row r="216" spans="1:11" ht="15">
      <c r="A216" s="13">
        <v>48214</v>
      </c>
      <c r="B216" s="63">
        <f>4.0668 * CHOOSE(CONTROL!$C$22, $C$13, 100%, $E$13)</f>
        <v>4.0667999999999997</v>
      </c>
      <c r="C216" s="63">
        <f>4.0668 * CHOOSE(CONTROL!$C$22, $C$13, 100%, $E$13)</f>
        <v>4.0667999999999997</v>
      </c>
      <c r="D216" s="63">
        <f>4.0841 * CHOOSE(CONTROL!$C$22, $C$13, 100%, $E$13)</f>
        <v>4.0841000000000003</v>
      </c>
      <c r="E216" s="64">
        <f>4.6594 * CHOOSE(CONTROL!$C$22, $C$13, 100%, $E$13)</f>
        <v>4.6593999999999998</v>
      </c>
      <c r="F216" s="64">
        <f>4.6594 * CHOOSE(CONTROL!$C$22, $C$13, 100%, $E$13)</f>
        <v>4.6593999999999998</v>
      </c>
      <c r="G216" s="64">
        <f>4.6595 * CHOOSE(CONTROL!$C$22, $C$13, 100%, $E$13)</f>
        <v>4.6595000000000004</v>
      </c>
      <c r="H216" s="64">
        <f>8.5462* CHOOSE(CONTROL!$C$22, $C$13, 100%, $E$13)</f>
        <v>8.5462000000000007</v>
      </c>
      <c r="I216" s="64">
        <f>8.5463 * CHOOSE(CONTROL!$C$22, $C$13, 100%, $E$13)</f>
        <v>8.5463000000000005</v>
      </c>
      <c r="J216" s="64">
        <f>4.6594 * CHOOSE(CONTROL!$C$22, $C$13, 100%, $E$13)</f>
        <v>4.6593999999999998</v>
      </c>
      <c r="K216" s="64">
        <f>4.6595 * CHOOSE(CONTROL!$C$22, $C$13, 100%, $E$13)</f>
        <v>4.6595000000000004</v>
      </c>
    </row>
    <row r="217" spans="1:11" ht="15">
      <c r="A217" s="13">
        <v>48245</v>
      </c>
      <c r="B217" s="63">
        <f>4.0637 * CHOOSE(CONTROL!$C$22, $C$13, 100%, $E$13)</f>
        <v>4.0636999999999999</v>
      </c>
      <c r="C217" s="63">
        <f>4.0637 * CHOOSE(CONTROL!$C$22, $C$13, 100%, $E$13)</f>
        <v>4.0636999999999999</v>
      </c>
      <c r="D217" s="63">
        <f>4.0811 * CHOOSE(CONTROL!$C$22, $C$13, 100%, $E$13)</f>
        <v>4.0811000000000002</v>
      </c>
      <c r="E217" s="64">
        <f>4.6056 * CHOOSE(CONTROL!$C$22, $C$13, 100%, $E$13)</f>
        <v>4.6055999999999999</v>
      </c>
      <c r="F217" s="64">
        <f>4.6056 * CHOOSE(CONTROL!$C$22, $C$13, 100%, $E$13)</f>
        <v>4.6055999999999999</v>
      </c>
      <c r="G217" s="64">
        <f>4.6058 * CHOOSE(CONTROL!$C$22, $C$13, 100%, $E$13)</f>
        <v>4.6058000000000003</v>
      </c>
      <c r="H217" s="64">
        <f>8.564* CHOOSE(CONTROL!$C$22, $C$13, 100%, $E$13)</f>
        <v>8.5640000000000001</v>
      </c>
      <c r="I217" s="64">
        <f>8.5641 * CHOOSE(CONTROL!$C$22, $C$13, 100%, $E$13)</f>
        <v>8.5640999999999998</v>
      </c>
      <c r="J217" s="64">
        <f>4.6056 * CHOOSE(CONTROL!$C$22, $C$13, 100%, $E$13)</f>
        <v>4.6055999999999999</v>
      </c>
      <c r="K217" s="64">
        <f>4.6058 * CHOOSE(CONTROL!$C$22, $C$13, 100%, $E$13)</f>
        <v>4.6058000000000003</v>
      </c>
    </row>
    <row r="218" spans="1:11" ht="15">
      <c r="A218" s="13">
        <v>48274</v>
      </c>
      <c r="B218" s="63">
        <f>4.0607 * CHOOSE(CONTROL!$C$22, $C$13, 100%, $E$13)</f>
        <v>4.0606999999999998</v>
      </c>
      <c r="C218" s="63">
        <f>4.0607 * CHOOSE(CONTROL!$C$22, $C$13, 100%, $E$13)</f>
        <v>4.0606999999999998</v>
      </c>
      <c r="D218" s="63">
        <f>4.078 * CHOOSE(CONTROL!$C$22, $C$13, 100%, $E$13)</f>
        <v>4.0780000000000003</v>
      </c>
      <c r="E218" s="64">
        <f>4.6442 * CHOOSE(CONTROL!$C$22, $C$13, 100%, $E$13)</f>
        <v>4.6441999999999997</v>
      </c>
      <c r="F218" s="64">
        <f>4.6442 * CHOOSE(CONTROL!$C$22, $C$13, 100%, $E$13)</f>
        <v>4.6441999999999997</v>
      </c>
      <c r="G218" s="64">
        <f>4.6444 * CHOOSE(CONTROL!$C$22, $C$13, 100%, $E$13)</f>
        <v>4.6444000000000001</v>
      </c>
      <c r="H218" s="64">
        <f>8.5818* CHOOSE(CONTROL!$C$22, $C$13, 100%, $E$13)</f>
        <v>8.5817999999999994</v>
      </c>
      <c r="I218" s="64">
        <f>8.582 * CHOOSE(CONTROL!$C$22, $C$13, 100%, $E$13)</f>
        <v>8.5820000000000007</v>
      </c>
      <c r="J218" s="64">
        <f>4.6442 * CHOOSE(CONTROL!$C$22, $C$13, 100%, $E$13)</f>
        <v>4.6441999999999997</v>
      </c>
      <c r="K218" s="64">
        <f>4.6444 * CHOOSE(CONTROL!$C$22, $C$13, 100%, $E$13)</f>
        <v>4.6444000000000001</v>
      </c>
    </row>
    <row r="219" spans="1:11" ht="15">
      <c r="A219" s="13">
        <v>48305</v>
      </c>
      <c r="B219" s="63">
        <f>4.0585 * CHOOSE(CONTROL!$C$22, $C$13, 100%, $E$13)</f>
        <v>4.0585000000000004</v>
      </c>
      <c r="C219" s="63">
        <f>4.0585 * CHOOSE(CONTROL!$C$22, $C$13, 100%, $E$13)</f>
        <v>4.0585000000000004</v>
      </c>
      <c r="D219" s="63">
        <f>4.0758 * CHOOSE(CONTROL!$C$22, $C$13, 100%, $E$13)</f>
        <v>4.0758000000000001</v>
      </c>
      <c r="E219" s="64">
        <f>4.6837 * CHOOSE(CONTROL!$C$22, $C$13, 100%, $E$13)</f>
        <v>4.6837</v>
      </c>
      <c r="F219" s="64">
        <f>4.6837 * CHOOSE(CONTROL!$C$22, $C$13, 100%, $E$13)</f>
        <v>4.6837</v>
      </c>
      <c r="G219" s="64">
        <f>4.6838 * CHOOSE(CONTROL!$C$22, $C$13, 100%, $E$13)</f>
        <v>4.6837999999999997</v>
      </c>
      <c r="H219" s="64">
        <f>8.5997* CHOOSE(CONTROL!$C$22, $C$13, 100%, $E$13)</f>
        <v>8.5997000000000003</v>
      </c>
      <c r="I219" s="64">
        <f>8.5999 * CHOOSE(CONTROL!$C$22, $C$13, 100%, $E$13)</f>
        <v>8.5998999999999999</v>
      </c>
      <c r="J219" s="64">
        <f>4.6837 * CHOOSE(CONTROL!$C$22, $C$13, 100%, $E$13)</f>
        <v>4.6837</v>
      </c>
      <c r="K219" s="64">
        <f>4.6838 * CHOOSE(CONTROL!$C$22, $C$13, 100%, $E$13)</f>
        <v>4.6837999999999997</v>
      </c>
    </row>
    <row r="220" spans="1:11" ht="15">
      <c r="A220" s="13">
        <v>48335</v>
      </c>
      <c r="B220" s="63">
        <f>4.0585 * CHOOSE(CONTROL!$C$22, $C$13, 100%, $E$13)</f>
        <v>4.0585000000000004</v>
      </c>
      <c r="C220" s="63">
        <f>4.0585 * CHOOSE(CONTROL!$C$22, $C$13, 100%, $E$13)</f>
        <v>4.0585000000000004</v>
      </c>
      <c r="D220" s="63">
        <f>4.0931 * CHOOSE(CONTROL!$C$22, $C$13, 100%, $E$13)</f>
        <v>4.0930999999999997</v>
      </c>
      <c r="E220" s="64">
        <f>4.7 * CHOOSE(CONTROL!$C$22, $C$13, 100%, $E$13)</f>
        <v>4.7</v>
      </c>
      <c r="F220" s="64">
        <f>4.7 * CHOOSE(CONTROL!$C$22, $C$13, 100%, $E$13)</f>
        <v>4.7</v>
      </c>
      <c r="G220" s="64">
        <f>4.7022 * CHOOSE(CONTROL!$C$22, $C$13, 100%, $E$13)</f>
        <v>4.7022000000000004</v>
      </c>
      <c r="H220" s="64">
        <f>8.6176* CHOOSE(CONTROL!$C$22, $C$13, 100%, $E$13)</f>
        <v>8.6175999999999995</v>
      </c>
      <c r="I220" s="64">
        <f>8.6197 * CHOOSE(CONTROL!$C$22, $C$13, 100%, $E$13)</f>
        <v>8.6196999999999999</v>
      </c>
      <c r="J220" s="64">
        <f>4.7 * CHOOSE(CONTROL!$C$22, $C$13, 100%, $E$13)</f>
        <v>4.7</v>
      </c>
      <c r="K220" s="64">
        <f>4.7022 * CHOOSE(CONTROL!$C$22, $C$13, 100%, $E$13)</f>
        <v>4.7022000000000004</v>
      </c>
    </row>
    <row r="221" spans="1:11" ht="15">
      <c r="A221" s="13">
        <v>48366</v>
      </c>
      <c r="B221" s="63">
        <f>4.0646 * CHOOSE(CONTROL!$C$22, $C$13, 100%, $E$13)</f>
        <v>4.0646000000000004</v>
      </c>
      <c r="C221" s="63">
        <f>4.0646 * CHOOSE(CONTROL!$C$22, $C$13, 100%, $E$13)</f>
        <v>4.0646000000000004</v>
      </c>
      <c r="D221" s="63">
        <f>4.0992 * CHOOSE(CONTROL!$C$22, $C$13, 100%, $E$13)</f>
        <v>4.0991999999999997</v>
      </c>
      <c r="E221" s="64">
        <f>4.6879 * CHOOSE(CONTROL!$C$22, $C$13, 100%, $E$13)</f>
        <v>4.6879</v>
      </c>
      <c r="F221" s="64">
        <f>4.6879 * CHOOSE(CONTROL!$C$22, $C$13, 100%, $E$13)</f>
        <v>4.6879</v>
      </c>
      <c r="G221" s="64">
        <f>4.69 * CHOOSE(CONTROL!$C$22, $C$13, 100%, $E$13)</f>
        <v>4.6900000000000004</v>
      </c>
      <c r="H221" s="64">
        <f>8.6355* CHOOSE(CONTROL!$C$22, $C$13, 100%, $E$13)</f>
        <v>8.6355000000000004</v>
      </c>
      <c r="I221" s="64">
        <f>8.6377 * CHOOSE(CONTROL!$C$22, $C$13, 100%, $E$13)</f>
        <v>8.6377000000000006</v>
      </c>
      <c r="J221" s="64">
        <f>4.6879 * CHOOSE(CONTROL!$C$22, $C$13, 100%, $E$13)</f>
        <v>4.6879</v>
      </c>
      <c r="K221" s="64">
        <f>4.69 * CHOOSE(CONTROL!$C$22, $C$13, 100%, $E$13)</f>
        <v>4.6900000000000004</v>
      </c>
    </row>
    <row r="222" spans="1:11" ht="15">
      <c r="A222" s="13">
        <v>48396</v>
      </c>
      <c r="B222" s="63">
        <f>4.1497 * CHOOSE(CONTROL!$C$22, $C$13, 100%, $E$13)</f>
        <v>4.1497000000000002</v>
      </c>
      <c r="C222" s="63">
        <f>4.1497 * CHOOSE(CONTROL!$C$22, $C$13, 100%, $E$13)</f>
        <v>4.1497000000000002</v>
      </c>
      <c r="D222" s="63">
        <f>4.1843 * CHOOSE(CONTROL!$C$22, $C$13, 100%, $E$13)</f>
        <v>4.1843000000000004</v>
      </c>
      <c r="E222" s="64">
        <f>4.7922 * CHOOSE(CONTROL!$C$22, $C$13, 100%, $E$13)</f>
        <v>4.7922000000000002</v>
      </c>
      <c r="F222" s="64">
        <f>4.7922 * CHOOSE(CONTROL!$C$22, $C$13, 100%, $E$13)</f>
        <v>4.7922000000000002</v>
      </c>
      <c r="G222" s="64">
        <f>4.7943 * CHOOSE(CONTROL!$C$22, $C$13, 100%, $E$13)</f>
        <v>4.7942999999999998</v>
      </c>
      <c r="H222" s="64">
        <f>8.6535* CHOOSE(CONTROL!$C$22, $C$13, 100%, $E$13)</f>
        <v>8.6534999999999993</v>
      </c>
      <c r="I222" s="64">
        <f>8.6557 * CHOOSE(CONTROL!$C$22, $C$13, 100%, $E$13)</f>
        <v>8.6556999999999995</v>
      </c>
      <c r="J222" s="64">
        <f>4.7922 * CHOOSE(CONTROL!$C$22, $C$13, 100%, $E$13)</f>
        <v>4.7922000000000002</v>
      </c>
      <c r="K222" s="64">
        <f>4.7943 * CHOOSE(CONTROL!$C$22, $C$13, 100%, $E$13)</f>
        <v>4.7942999999999998</v>
      </c>
    </row>
    <row r="223" spans="1:11" ht="15">
      <c r="A223" s="13">
        <v>48427</v>
      </c>
      <c r="B223" s="63">
        <f>4.1564 * CHOOSE(CONTROL!$C$22, $C$13, 100%, $E$13)</f>
        <v>4.1563999999999997</v>
      </c>
      <c r="C223" s="63">
        <f>4.1564 * CHOOSE(CONTROL!$C$22, $C$13, 100%, $E$13)</f>
        <v>4.1563999999999997</v>
      </c>
      <c r="D223" s="63">
        <f>4.191 * CHOOSE(CONTROL!$C$22, $C$13, 100%, $E$13)</f>
        <v>4.1909999999999998</v>
      </c>
      <c r="E223" s="64">
        <f>4.7477 * CHOOSE(CONTROL!$C$22, $C$13, 100%, $E$13)</f>
        <v>4.7477</v>
      </c>
      <c r="F223" s="64">
        <f>4.7477 * CHOOSE(CONTROL!$C$22, $C$13, 100%, $E$13)</f>
        <v>4.7477</v>
      </c>
      <c r="G223" s="64">
        <f>4.7498 * CHOOSE(CONTROL!$C$22, $C$13, 100%, $E$13)</f>
        <v>4.7497999999999996</v>
      </c>
      <c r="H223" s="64">
        <f>8.6716* CHOOSE(CONTROL!$C$22, $C$13, 100%, $E$13)</f>
        <v>8.6715999999999998</v>
      </c>
      <c r="I223" s="64">
        <f>8.6737 * CHOOSE(CONTROL!$C$22, $C$13, 100%, $E$13)</f>
        <v>8.6737000000000002</v>
      </c>
      <c r="J223" s="64">
        <f>4.7477 * CHOOSE(CONTROL!$C$22, $C$13, 100%, $E$13)</f>
        <v>4.7477</v>
      </c>
      <c r="K223" s="64">
        <f>4.7498 * CHOOSE(CONTROL!$C$22, $C$13, 100%, $E$13)</f>
        <v>4.7497999999999996</v>
      </c>
    </row>
    <row r="224" spans="1:11" ht="15">
      <c r="A224" s="13">
        <v>48458</v>
      </c>
      <c r="B224" s="63">
        <f>4.1533 * CHOOSE(CONTROL!$C$22, $C$13, 100%, $E$13)</f>
        <v>4.1532999999999998</v>
      </c>
      <c r="C224" s="63">
        <f>4.1533 * CHOOSE(CONTROL!$C$22, $C$13, 100%, $E$13)</f>
        <v>4.1532999999999998</v>
      </c>
      <c r="D224" s="63">
        <f>4.188 * CHOOSE(CONTROL!$C$22, $C$13, 100%, $E$13)</f>
        <v>4.1879999999999997</v>
      </c>
      <c r="E224" s="64">
        <f>4.7401 * CHOOSE(CONTROL!$C$22, $C$13, 100%, $E$13)</f>
        <v>4.7401</v>
      </c>
      <c r="F224" s="64">
        <f>4.7401 * CHOOSE(CONTROL!$C$22, $C$13, 100%, $E$13)</f>
        <v>4.7401</v>
      </c>
      <c r="G224" s="64">
        <f>4.7422 * CHOOSE(CONTROL!$C$22, $C$13, 100%, $E$13)</f>
        <v>4.7422000000000004</v>
      </c>
      <c r="H224" s="64">
        <f>8.6896* CHOOSE(CONTROL!$C$22, $C$13, 100%, $E$13)</f>
        <v>8.6896000000000004</v>
      </c>
      <c r="I224" s="64">
        <f>8.6918 * CHOOSE(CONTROL!$C$22, $C$13, 100%, $E$13)</f>
        <v>8.6918000000000006</v>
      </c>
      <c r="J224" s="64">
        <f>4.7401 * CHOOSE(CONTROL!$C$22, $C$13, 100%, $E$13)</f>
        <v>4.7401</v>
      </c>
      <c r="K224" s="64">
        <f>4.7422 * CHOOSE(CONTROL!$C$22, $C$13, 100%, $E$13)</f>
        <v>4.7422000000000004</v>
      </c>
    </row>
    <row r="225" spans="1:11" ht="15">
      <c r="A225" s="13">
        <v>48488</v>
      </c>
      <c r="B225" s="63">
        <f>4.1491 * CHOOSE(CONTROL!$C$22, $C$13, 100%, $E$13)</f>
        <v>4.1490999999999998</v>
      </c>
      <c r="C225" s="63">
        <f>4.1491 * CHOOSE(CONTROL!$C$22, $C$13, 100%, $E$13)</f>
        <v>4.1490999999999998</v>
      </c>
      <c r="D225" s="63">
        <f>4.1664 * CHOOSE(CONTROL!$C$22, $C$13, 100%, $E$13)</f>
        <v>4.1664000000000003</v>
      </c>
      <c r="E225" s="64">
        <f>4.7485 * CHOOSE(CONTROL!$C$22, $C$13, 100%, $E$13)</f>
        <v>4.7484999999999999</v>
      </c>
      <c r="F225" s="64">
        <f>4.7485 * CHOOSE(CONTROL!$C$22, $C$13, 100%, $E$13)</f>
        <v>4.7484999999999999</v>
      </c>
      <c r="G225" s="64">
        <f>4.7487 * CHOOSE(CONTROL!$C$22, $C$13, 100%, $E$13)</f>
        <v>4.7487000000000004</v>
      </c>
      <c r="H225" s="64">
        <f>8.7077* CHOOSE(CONTROL!$C$22, $C$13, 100%, $E$13)</f>
        <v>8.7077000000000009</v>
      </c>
      <c r="I225" s="64">
        <f>8.7079 * CHOOSE(CONTROL!$C$22, $C$13, 100%, $E$13)</f>
        <v>8.7079000000000004</v>
      </c>
      <c r="J225" s="64">
        <f>4.7485 * CHOOSE(CONTROL!$C$22, $C$13, 100%, $E$13)</f>
        <v>4.7484999999999999</v>
      </c>
      <c r="K225" s="64">
        <f>4.7487 * CHOOSE(CONTROL!$C$22, $C$13, 100%, $E$13)</f>
        <v>4.7487000000000004</v>
      </c>
    </row>
    <row r="226" spans="1:11" ht="15">
      <c r="A226" s="13">
        <v>48519</v>
      </c>
      <c r="B226" s="63">
        <f>4.1522 * CHOOSE(CONTROL!$C$22, $C$13, 100%, $E$13)</f>
        <v>4.1521999999999997</v>
      </c>
      <c r="C226" s="63">
        <f>4.1522 * CHOOSE(CONTROL!$C$22, $C$13, 100%, $E$13)</f>
        <v>4.1521999999999997</v>
      </c>
      <c r="D226" s="63">
        <f>4.1695 * CHOOSE(CONTROL!$C$22, $C$13, 100%, $E$13)</f>
        <v>4.1695000000000002</v>
      </c>
      <c r="E226" s="64">
        <f>4.7616 * CHOOSE(CONTROL!$C$22, $C$13, 100%, $E$13)</f>
        <v>4.7615999999999996</v>
      </c>
      <c r="F226" s="64">
        <f>4.7616 * CHOOSE(CONTROL!$C$22, $C$13, 100%, $E$13)</f>
        <v>4.7615999999999996</v>
      </c>
      <c r="G226" s="64">
        <f>4.7617 * CHOOSE(CONTROL!$C$22, $C$13, 100%, $E$13)</f>
        <v>4.7617000000000003</v>
      </c>
      <c r="H226" s="64">
        <f>8.7259* CHOOSE(CONTROL!$C$22, $C$13, 100%, $E$13)</f>
        <v>8.7258999999999993</v>
      </c>
      <c r="I226" s="64">
        <f>8.7261 * CHOOSE(CONTROL!$C$22, $C$13, 100%, $E$13)</f>
        <v>8.7261000000000006</v>
      </c>
      <c r="J226" s="64">
        <f>4.7616 * CHOOSE(CONTROL!$C$22, $C$13, 100%, $E$13)</f>
        <v>4.7615999999999996</v>
      </c>
      <c r="K226" s="64">
        <f>4.7617 * CHOOSE(CONTROL!$C$22, $C$13, 100%, $E$13)</f>
        <v>4.7617000000000003</v>
      </c>
    </row>
    <row r="227" spans="1:11" ht="15">
      <c r="A227" s="13">
        <v>48549</v>
      </c>
      <c r="B227" s="63">
        <f>4.1522 * CHOOSE(CONTROL!$C$22, $C$13, 100%, $E$13)</f>
        <v>4.1521999999999997</v>
      </c>
      <c r="C227" s="63">
        <f>4.1522 * CHOOSE(CONTROL!$C$22, $C$13, 100%, $E$13)</f>
        <v>4.1521999999999997</v>
      </c>
      <c r="D227" s="63">
        <f>4.1695 * CHOOSE(CONTROL!$C$22, $C$13, 100%, $E$13)</f>
        <v>4.1695000000000002</v>
      </c>
      <c r="E227" s="64">
        <f>4.7343 * CHOOSE(CONTROL!$C$22, $C$13, 100%, $E$13)</f>
        <v>4.7343000000000002</v>
      </c>
      <c r="F227" s="64">
        <f>4.7343 * CHOOSE(CONTROL!$C$22, $C$13, 100%, $E$13)</f>
        <v>4.7343000000000002</v>
      </c>
      <c r="G227" s="64">
        <f>4.7344 * CHOOSE(CONTROL!$C$22, $C$13, 100%, $E$13)</f>
        <v>4.7343999999999999</v>
      </c>
      <c r="H227" s="64">
        <f>8.7441* CHOOSE(CONTROL!$C$22, $C$13, 100%, $E$13)</f>
        <v>8.7440999999999995</v>
      </c>
      <c r="I227" s="64">
        <f>8.7442 * CHOOSE(CONTROL!$C$22, $C$13, 100%, $E$13)</f>
        <v>8.7441999999999993</v>
      </c>
      <c r="J227" s="64">
        <f>4.7343 * CHOOSE(CONTROL!$C$22, $C$13, 100%, $E$13)</f>
        <v>4.7343000000000002</v>
      </c>
      <c r="K227" s="64">
        <f>4.7344 * CHOOSE(CONTROL!$C$22, $C$13, 100%, $E$13)</f>
        <v>4.7343999999999999</v>
      </c>
    </row>
    <row r="228" spans="1:11" ht="15">
      <c r="A228" s="13">
        <v>48580</v>
      </c>
      <c r="B228" s="63">
        <f>4.1941 * CHOOSE(CONTROL!$C$22, $C$13, 100%, $E$13)</f>
        <v>4.1940999999999997</v>
      </c>
      <c r="C228" s="63">
        <f>4.1941 * CHOOSE(CONTROL!$C$22, $C$13, 100%, $E$13)</f>
        <v>4.1940999999999997</v>
      </c>
      <c r="D228" s="63">
        <f>4.2114 * CHOOSE(CONTROL!$C$22, $C$13, 100%, $E$13)</f>
        <v>4.2114000000000003</v>
      </c>
      <c r="E228" s="64">
        <f>4.8032 * CHOOSE(CONTROL!$C$22, $C$13, 100%, $E$13)</f>
        <v>4.8032000000000004</v>
      </c>
      <c r="F228" s="64">
        <f>4.8032 * CHOOSE(CONTROL!$C$22, $C$13, 100%, $E$13)</f>
        <v>4.8032000000000004</v>
      </c>
      <c r="G228" s="64">
        <f>4.8033 * CHOOSE(CONTROL!$C$22, $C$13, 100%, $E$13)</f>
        <v>4.8033000000000001</v>
      </c>
      <c r="H228" s="64">
        <f>8.7623* CHOOSE(CONTROL!$C$22, $C$13, 100%, $E$13)</f>
        <v>8.7622999999999998</v>
      </c>
      <c r="I228" s="64">
        <f>8.7624 * CHOOSE(CONTROL!$C$22, $C$13, 100%, $E$13)</f>
        <v>8.7623999999999995</v>
      </c>
      <c r="J228" s="64">
        <f>4.8032 * CHOOSE(CONTROL!$C$22, $C$13, 100%, $E$13)</f>
        <v>4.8032000000000004</v>
      </c>
      <c r="K228" s="64">
        <f>4.8033 * CHOOSE(CONTROL!$C$22, $C$13, 100%, $E$13)</f>
        <v>4.8033000000000001</v>
      </c>
    </row>
    <row r="229" spans="1:11" ht="15">
      <c r="A229" s="13">
        <v>48611</v>
      </c>
      <c r="B229" s="63">
        <f>4.191 * CHOOSE(CONTROL!$C$22, $C$13, 100%, $E$13)</f>
        <v>4.1909999999999998</v>
      </c>
      <c r="C229" s="63">
        <f>4.191 * CHOOSE(CONTROL!$C$22, $C$13, 100%, $E$13)</f>
        <v>4.1909999999999998</v>
      </c>
      <c r="D229" s="63">
        <f>4.2083 * CHOOSE(CONTROL!$C$22, $C$13, 100%, $E$13)</f>
        <v>4.2083000000000004</v>
      </c>
      <c r="E229" s="64">
        <f>4.7481 * CHOOSE(CONTROL!$C$22, $C$13, 100%, $E$13)</f>
        <v>4.7481</v>
      </c>
      <c r="F229" s="64">
        <f>4.7481 * CHOOSE(CONTROL!$C$22, $C$13, 100%, $E$13)</f>
        <v>4.7481</v>
      </c>
      <c r="G229" s="64">
        <f>4.7483 * CHOOSE(CONTROL!$C$22, $C$13, 100%, $E$13)</f>
        <v>4.7483000000000004</v>
      </c>
      <c r="H229" s="64">
        <f>8.7805* CHOOSE(CONTROL!$C$22, $C$13, 100%, $E$13)</f>
        <v>8.7805</v>
      </c>
      <c r="I229" s="64">
        <f>8.7807 * CHOOSE(CONTROL!$C$22, $C$13, 100%, $E$13)</f>
        <v>8.7806999999999995</v>
      </c>
      <c r="J229" s="64">
        <f>4.7481 * CHOOSE(CONTROL!$C$22, $C$13, 100%, $E$13)</f>
        <v>4.7481</v>
      </c>
      <c r="K229" s="64">
        <f>4.7483 * CHOOSE(CONTROL!$C$22, $C$13, 100%, $E$13)</f>
        <v>4.7483000000000004</v>
      </c>
    </row>
    <row r="230" spans="1:11" ht="15">
      <c r="A230" s="13">
        <v>48639</v>
      </c>
      <c r="B230" s="63">
        <f>4.188 * CHOOSE(CONTROL!$C$22, $C$13, 100%, $E$13)</f>
        <v>4.1879999999999997</v>
      </c>
      <c r="C230" s="63">
        <f>4.188 * CHOOSE(CONTROL!$C$22, $C$13, 100%, $E$13)</f>
        <v>4.1879999999999997</v>
      </c>
      <c r="D230" s="63">
        <f>4.2053 * CHOOSE(CONTROL!$C$22, $C$13, 100%, $E$13)</f>
        <v>4.2053000000000003</v>
      </c>
      <c r="E230" s="64">
        <f>4.7877 * CHOOSE(CONTROL!$C$22, $C$13, 100%, $E$13)</f>
        <v>4.7877000000000001</v>
      </c>
      <c r="F230" s="64">
        <f>4.7877 * CHOOSE(CONTROL!$C$22, $C$13, 100%, $E$13)</f>
        <v>4.7877000000000001</v>
      </c>
      <c r="G230" s="64">
        <f>4.7879 * CHOOSE(CONTROL!$C$22, $C$13, 100%, $E$13)</f>
        <v>4.7878999999999996</v>
      </c>
      <c r="H230" s="64">
        <f>8.7988* CHOOSE(CONTROL!$C$22, $C$13, 100%, $E$13)</f>
        <v>8.7988</v>
      </c>
      <c r="I230" s="64">
        <f>8.799 * CHOOSE(CONTROL!$C$22, $C$13, 100%, $E$13)</f>
        <v>8.7989999999999995</v>
      </c>
      <c r="J230" s="64">
        <f>4.7877 * CHOOSE(CONTROL!$C$22, $C$13, 100%, $E$13)</f>
        <v>4.7877000000000001</v>
      </c>
      <c r="K230" s="64">
        <f>4.7879 * CHOOSE(CONTROL!$C$22, $C$13, 100%, $E$13)</f>
        <v>4.7878999999999996</v>
      </c>
    </row>
    <row r="231" spans="1:11" ht="15">
      <c r="A231" s="13">
        <v>48670</v>
      </c>
      <c r="B231" s="63">
        <f>4.1858 * CHOOSE(CONTROL!$C$22, $C$13, 100%, $E$13)</f>
        <v>4.1858000000000004</v>
      </c>
      <c r="C231" s="63">
        <f>4.1858 * CHOOSE(CONTROL!$C$22, $C$13, 100%, $E$13)</f>
        <v>4.1858000000000004</v>
      </c>
      <c r="D231" s="63">
        <f>4.2032 * CHOOSE(CONTROL!$C$22, $C$13, 100%, $E$13)</f>
        <v>4.2031999999999998</v>
      </c>
      <c r="E231" s="64">
        <f>4.8283 * CHOOSE(CONTROL!$C$22, $C$13, 100%, $E$13)</f>
        <v>4.8282999999999996</v>
      </c>
      <c r="F231" s="64">
        <f>4.8283 * CHOOSE(CONTROL!$C$22, $C$13, 100%, $E$13)</f>
        <v>4.8282999999999996</v>
      </c>
      <c r="G231" s="64">
        <f>4.8285 * CHOOSE(CONTROL!$C$22, $C$13, 100%, $E$13)</f>
        <v>4.8285</v>
      </c>
      <c r="H231" s="64">
        <f>8.8171* CHOOSE(CONTROL!$C$22, $C$13, 100%, $E$13)</f>
        <v>8.8170999999999999</v>
      </c>
      <c r="I231" s="64">
        <f>8.8173 * CHOOSE(CONTROL!$C$22, $C$13, 100%, $E$13)</f>
        <v>8.8172999999999995</v>
      </c>
      <c r="J231" s="64">
        <f>4.8283 * CHOOSE(CONTROL!$C$22, $C$13, 100%, $E$13)</f>
        <v>4.8282999999999996</v>
      </c>
      <c r="K231" s="64">
        <f>4.8285 * CHOOSE(CONTROL!$C$22, $C$13, 100%, $E$13)</f>
        <v>4.8285</v>
      </c>
    </row>
    <row r="232" spans="1:11" ht="15">
      <c r="A232" s="13">
        <v>48700</v>
      </c>
      <c r="B232" s="63">
        <f>4.1858 * CHOOSE(CONTROL!$C$22, $C$13, 100%, $E$13)</f>
        <v>4.1858000000000004</v>
      </c>
      <c r="C232" s="63">
        <f>4.1858 * CHOOSE(CONTROL!$C$22, $C$13, 100%, $E$13)</f>
        <v>4.1858000000000004</v>
      </c>
      <c r="D232" s="63">
        <f>4.2205 * CHOOSE(CONTROL!$C$22, $C$13, 100%, $E$13)</f>
        <v>4.2205000000000004</v>
      </c>
      <c r="E232" s="64">
        <f>4.8452 * CHOOSE(CONTROL!$C$22, $C$13, 100%, $E$13)</f>
        <v>4.8452000000000002</v>
      </c>
      <c r="F232" s="64">
        <f>4.8452 * CHOOSE(CONTROL!$C$22, $C$13, 100%, $E$13)</f>
        <v>4.8452000000000002</v>
      </c>
      <c r="G232" s="64">
        <f>4.8473 * CHOOSE(CONTROL!$C$22, $C$13, 100%, $E$13)</f>
        <v>4.8472999999999997</v>
      </c>
      <c r="H232" s="64">
        <f>8.8355* CHOOSE(CONTROL!$C$22, $C$13, 100%, $E$13)</f>
        <v>8.8354999999999997</v>
      </c>
      <c r="I232" s="64">
        <f>8.8377 * CHOOSE(CONTROL!$C$22, $C$13, 100%, $E$13)</f>
        <v>8.8376999999999999</v>
      </c>
      <c r="J232" s="64">
        <f>4.8452 * CHOOSE(CONTROL!$C$22, $C$13, 100%, $E$13)</f>
        <v>4.8452000000000002</v>
      </c>
      <c r="K232" s="64">
        <f>4.8473 * CHOOSE(CONTROL!$C$22, $C$13, 100%, $E$13)</f>
        <v>4.8472999999999997</v>
      </c>
    </row>
    <row r="233" spans="1:11" ht="15">
      <c r="A233" s="13">
        <v>48731</v>
      </c>
      <c r="B233" s="63">
        <f>4.1919 * CHOOSE(CONTROL!$C$22, $C$13, 100%, $E$13)</f>
        <v>4.1919000000000004</v>
      </c>
      <c r="C233" s="63">
        <f>4.1919 * CHOOSE(CONTROL!$C$22, $C$13, 100%, $E$13)</f>
        <v>4.1919000000000004</v>
      </c>
      <c r="D233" s="63">
        <f>4.2266 * CHOOSE(CONTROL!$C$22, $C$13, 100%, $E$13)</f>
        <v>4.2266000000000004</v>
      </c>
      <c r="E233" s="64">
        <f>4.8326 * CHOOSE(CONTROL!$C$22, $C$13, 100%, $E$13)</f>
        <v>4.8326000000000002</v>
      </c>
      <c r="F233" s="64">
        <f>4.8326 * CHOOSE(CONTROL!$C$22, $C$13, 100%, $E$13)</f>
        <v>4.8326000000000002</v>
      </c>
      <c r="G233" s="64">
        <f>4.8347 * CHOOSE(CONTROL!$C$22, $C$13, 100%, $E$13)</f>
        <v>4.8346999999999998</v>
      </c>
      <c r="H233" s="64">
        <f>8.8539* CHOOSE(CONTROL!$C$22, $C$13, 100%, $E$13)</f>
        <v>8.8538999999999994</v>
      </c>
      <c r="I233" s="64">
        <f>8.8561 * CHOOSE(CONTROL!$C$22, $C$13, 100%, $E$13)</f>
        <v>8.8560999999999996</v>
      </c>
      <c r="J233" s="64">
        <f>4.8326 * CHOOSE(CONTROL!$C$22, $C$13, 100%, $E$13)</f>
        <v>4.8326000000000002</v>
      </c>
      <c r="K233" s="64">
        <f>4.8347 * CHOOSE(CONTROL!$C$22, $C$13, 100%, $E$13)</f>
        <v>4.8346999999999998</v>
      </c>
    </row>
    <row r="234" spans="1:11" ht="15">
      <c r="A234" s="13">
        <v>48761</v>
      </c>
      <c r="B234" s="63">
        <f>4.2719 * CHOOSE(CONTROL!$C$22, $C$13, 100%, $E$13)</f>
        <v>4.2718999999999996</v>
      </c>
      <c r="C234" s="63">
        <f>4.2719 * CHOOSE(CONTROL!$C$22, $C$13, 100%, $E$13)</f>
        <v>4.2718999999999996</v>
      </c>
      <c r="D234" s="63">
        <f>4.3066 * CHOOSE(CONTROL!$C$22, $C$13, 100%, $E$13)</f>
        <v>4.3066000000000004</v>
      </c>
      <c r="E234" s="64">
        <f>4.9466 * CHOOSE(CONTROL!$C$22, $C$13, 100%, $E$13)</f>
        <v>4.9466000000000001</v>
      </c>
      <c r="F234" s="64">
        <f>4.9466 * CHOOSE(CONTROL!$C$22, $C$13, 100%, $E$13)</f>
        <v>4.9466000000000001</v>
      </c>
      <c r="G234" s="64">
        <f>4.9488 * CHOOSE(CONTROL!$C$22, $C$13, 100%, $E$13)</f>
        <v>4.9488000000000003</v>
      </c>
      <c r="H234" s="64">
        <f>8.8724* CHOOSE(CONTROL!$C$22, $C$13, 100%, $E$13)</f>
        <v>8.8724000000000007</v>
      </c>
      <c r="I234" s="64">
        <f>8.8745 * CHOOSE(CONTROL!$C$22, $C$13, 100%, $E$13)</f>
        <v>8.8744999999999994</v>
      </c>
      <c r="J234" s="64">
        <f>4.9466 * CHOOSE(CONTROL!$C$22, $C$13, 100%, $E$13)</f>
        <v>4.9466000000000001</v>
      </c>
      <c r="K234" s="64">
        <f>4.9488 * CHOOSE(CONTROL!$C$22, $C$13, 100%, $E$13)</f>
        <v>4.9488000000000003</v>
      </c>
    </row>
    <row r="235" spans="1:11" ht="15">
      <c r="A235" s="13">
        <v>48792</v>
      </c>
      <c r="B235" s="63">
        <f>4.2786 * CHOOSE(CONTROL!$C$22, $C$13, 100%, $E$13)</f>
        <v>4.2786</v>
      </c>
      <c r="C235" s="63">
        <f>4.2786 * CHOOSE(CONTROL!$C$22, $C$13, 100%, $E$13)</f>
        <v>4.2786</v>
      </c>
      <c r="D235" s="63">
        <f>4.3133 * CHOOSE(CONTROL!$C$22, $C$13, 100%, $E$13)</f>
        <v>4.3132999999999999</v>
      </c>
      <c r="E235" s="64">
        <f>4.9008 * CHOOSE(CONTROL!$C$22, $C$13, 100%, $E$13)</f>
        <v>4.9008000000000003</v>
      </c>
      <c r="F235" s="64">
        <f>4.9008 * CHOOSE(CONTROL!$C$22, $C$13, 100%, $E$13)</f>
        <v>4.9008000000000003</v>
      </c>
      <c r="G235" s="64">
        <f>4.903 * CHOOSE(CONTROL!$C$22, $C$13, 100%, $E$13)</f>
        <v>4.9029999999999996</v>
      </c>
      <c r="H235" s="64">
        <f>8.8909* CHOOSE(CONTROL!$C$22, $C$13, 100%, $E$13)</f>
        <v>8.8909000000000002</v>
      </c>
      <c r="I235" s="64">
        <f>8.893 * CHOOSE(CONTROL!$C$22, $C$13, 100%, $E$13)</f>
        <v>8.8930000000000007</v>
      </c>
      <c r="J235" s="64">
        <f>4.9008 * CHOOSE(CONTROL!$C$22, $C$13, 100%, $E$13)</f>
        <v>4.9008000000000003</v>
      </c>
      <c r="K235" s="64">
        <f>4.903 * CHOOSE(CONTROL!$C$22, $C$13, 100%, $E$13)</f>
        <v>4.9029999999999996</v>
      </c>
    </row>
    <row r="236" spans="1:11" ht="15">
      <c r="A236" s="13">
        <v>48823</v>
      </c>
      <c r="B236" s="63">
        <f>4.2756 * CHOOSE(CONTROL!$C$22, $C$13, 100%, $E$13)</f>
        <v>4.2755999999999998</v>
      </c>
      <c r="C236" s="63">
        <f>4.2756 * CHOOSE(CONTROL!$C$22, $C$13, 100%, $E$13)</f>
        <v>4.2755999999999998</v>
      </c>
      <c r="D236" s="63">
        <f>4.3102 * CHOOSE(CONTROL!$C$22, $C$13, 100%, $E$13)</f>
        <v>4.3102</v>
      </c>
      <c r="E236" s="64">
        <f>4.8931 * CHOOSE(CONTROL!$C$22, $C$13, 100%, $E$13)</f>
        <v>4.8930999999999996</v>
      </c>
      <c r="F236" s="64">
        <f>4.8931 * CHOOSE(CONTROL!$C$22, $C$13, 100%, $E$13)</f>
        <v>4.8930999999999996</v>
      </c>
      <c r="G236" s="64">
        <f>4.8952 * CHOOSE(CONTROL!$C$22, $C$13, 100%, $E$13)</f>
        <v>4.8952</v>
      </c>
      <c r="H236" s="64">
        <f>8.9094* CHOOSE(CONTROL!$C$22, $C$13, 100%, $E$13)</f>
        <v>8.9093999999999998</v>
      </c>
      <c r="I236" s="64">
        <f>8.9115 * CHOOSE(CONTROL!$C$22, $C$13, 100%, $E$13)</f>
        <v>8.9115000000000002</v>
      </c>
      <c r="J236" s="64">
        <f>4.8931 * CHOOSE(CONTROL!$C$22, $C$13, 100%, $E$13)</f>
        <v>4.8930999999999996</v>
      </c>
      <c r="K236" s="64">
        <f>4.8952 * CHOOSE(CONTROL!$C$22, $C$13, 100%, $E$13)</f>
        <v>4.8952</v>
      </c>
    </row>
    <row r="237" spans="1:11" ht="15">
      <c r="A237" s="13">
        <v>48853</v>
      </c>
      <c r="B237" s="63">
        <f>4.2718 * CHOOSE(CONTROL!$C$22, $C$13, 100%, $E$13)</f>
        <v>4.2717999999999998</v>
      </c>
      <c r="C237" s="63">
        <f>4.2718 * CHOOSE(CONTROL!$C$22, $C$13, 100%, $E$13)</f>
        <v>4.2717999999999998</v>
      </c>
      <c r="D237" s="63">
        <f>4.2891 * CHOOSE(CONTROL!$C$22, $C$13, 100%, $E$13)</f>
        <v>4.2891000000000004</v>
      </c>
      <c r="E237" s="64">
        <f>4.9021 * CHOOSE(CONTROL!$C$22, $C$13, 100%, $E$13)</f>
        <v>4.9020999999999999</v>
      </c>
      <c r="F237" s="64">
        <f>4.9021 * CHOOSE(CONTROL!$C$22, $C$13, 100%, $E$13)</f>
        <v>4.9020999999999999</v>
      </c>
      <c r="G237" s="64">
        <f>4.9023 * CHOOSE(CONTROL!$C$22, $C$13, 100%, $E$13)</f>
        <v>4.9023000000000003</v>
      </c>
      <c r="H237" s="64">
        <f>8.9279* CHOOSE(CONTROL!$C$22, $C$13, 100%, $E$13)</f>
        <v>8.9278999999999993</v>
      </c>
      <c r="I237" s="64">
        <f>8.9281 * CHOOSE(CONTROL!$C$22, $C$13, 100%, $E$13)</f>
        <v>8.9281000000000006</v>
      </c>
      <c r="J237" s="64">
        <f>4.9021 * CHOOSE(CONTROL!$C$22, $C$13, 100%, $E$13)</f>
        <v>4.9020999999999999</v>
      </c>
      <c r="K237" s="64">
        <f>4.9023 * CHOOSE(CONTROL!$C$22, $C$13, 100%, $E$13)</f>
        <v>4.9023000000000003</v>
      </c>
    </row>
    <row r="238" spans="1:11" ht="15">
      <c r="A238" s="13">
        <v>48884</v>
      </c>
      <c r="B238" s="63">
        <f>4.2748 * CHOOSE(CONTROL!$C$22, $C$13, 100%, $E$13)</f>
        <v>4.2747999999999999</v>
      </c>
      <c r="C238" s="63">
        <f>4.2748 * CHOOSE(CONTROL!$C$22, $C$13, 100%, $E$13)</f>
        <v>4.2747999999999999</v>
      </c>
      <c r="D238" s="63">
        <f>4.2921 * CHOOSE(CONTROL!$C$22, $C$13, 100%, $E$13)</f>
        <v>4.2920999999999996</v>
      </c>
      <c r="E238" s="64">
        <f>4.9154 * CHOOSE(CONTROL!$C$22, $C$13, 100%, $E$13)</f>
        <v>4.9154</v>
      </c>
      <c r="F238" s="64">
        <f>4.9154 * CHOOSE(CONTROL!$C$22, $C$13, 100%, $E$13)</f>
        <v>4.9154</v>
      </c>
      <c r="G238" s="64">
        <f>4.9156 * CHOOSE(CONTROL!$C$22, $C$13, 100%, $E$13)</f>
        <v>4.9156000000000004</v>
      </c>
      <c r="H238" s="64">
        <f>8.9465* CHOOSE(CONTROL!$C$22, $C$13, 100%, $E$13)</f>
        <v>8.9465000000000003</v>
      </c>
      <c r="I238" s="64">
        <f>8.9467 * CHOOSE(CONTROL!$C$22, $C$13, 100%, $E$13)</f>
        <v>8.9466999999999999</v>
      </c>
      <c r="J238" s="64">
        <f>4.9154 * CHOOSE(CONTROL!$C$22, $C$13, 100%, $E$13)</f>
        <v>4.9154</v>
      </c>
      <c r="K238" s="64">
        <f>4.9156 * CHOOSE(CONTROL!$C$22, $C$13, 100%, $E$13)</f>
        <v>4.9156000000000004</v>
      </c>
    </row>
    <row r="239" spans="1:11" ht="15">
      <c r="A239" s="13">
        <v>48914</v>
      </c>
      <c r="B239" s="63">
        <f>4.2748 * CHOOSE(CONTROL!$C$22, $C$13, 100%, $E$13)</f>
        <v>4.2747999999999999</v>
      </c>
      <c r="C239" s="63">
        <f>4.2748 * CHOOSE(CONTROL!$C$22, $C$13, 100%, $E$13)</f>
        <v>4.2747999999999999</v>
      </c>
      <c r="D239" s="63">
        <f>4.2921 * CHOOSE(CONTROL!$C$22, $C$13, 100%, $E$13)</f>
        <v>4.2920999999999996</v>
      </c>
      <c r="E239" s="64">
        <f>4.8874 * CHOOSE(CONTROL!$C$22, $C$13, 100%, $E$13)</f>
        <v>4.8874000000000004</v>
      </c>
      <c r="F239" s="64">
        <f>4.8874 * CHOOSE(CONTROL!$C$22, $C$13, 100%, $E$13)</f>
        <v>4.8874000000000004</v>
      </c>
      <c r="G239" s="64">
        <f>4.8876 * CHOOSE(CONTROL!$C$22, $C$13, 100%, $E$13)</f>
        <v>4.8875999999999999</v>
      </c>
      <c r="H239" s="64">
        <f>8.9652* CHOOSE(CONTROL!$C$22, $C$13, 100%, $E$13)</f>
        <v>8.9651999999999994</v>
      </c>
      <c r="I239" s="64">
        <f>8.9654 * CHOOSE(CONTROL!$C$22, $C$13, 100%, $E$13)</f>
        <v>8.9654000000000007</v>
      </c>
      <c r="J239" s="64">
        <f>4.8874 * CHOOSE(CONTROL!$C$22, $C$13, 100%, $E$13)</f>
        <v>4.8874000000000004</v>
      </c>
      <c r="K239" s="64">
        <f>4.8876 * CHOOSE(CONTROL!$C$22, $C$13, 100%, $E$13)</f>
        <v>4.8875999999999999</v>
      </c>
    </row>
    <row r="240" spans="1:11" ht="15">
      <c r="A240" s="13">
        <v>48945</v>
      </c>
      <c r="B240" s="63">
        <f>4.32 * CHOOSE(CONTROL!$C$22, $C$13, 100%, $E$13)</f>
        <v>4.32</v>
      </c>
      <c r="C240" s="63">
        <f>4.32 * CHOOSE(CONTROL!$C$22, $C$13, 100%, $E$13)</f>
        <v>4.32</v>
      </c>
      <c r="D240" s="63">
        <f>4.3373 * CHOOSE(CONTROL!$C$22, $C$13, 100%, $E$13)</f>
        <v>4.3372999999999999</v>
      </c>
      <c r="E240" s="64">
        <f>4.957 * CHOOSE(CONTROL!$C$22, $C$13, 100%, $E$13)</f>
        <v>4.9569999999999999</v>
      </c>
      <c r="F240" s="64">
        <f>4.957 * CHOOSE(CONTROL!$C$22, $C$13, 100%, $E$13)</f>
        <v>4.9569999999999999</v>
      </c>
      <c r="G240" s="64">
        <f>4.9572 * CHOOSE(CONTROL!$C$22, $C$13, 100%, $E$13)</f>
        <v>4.9572000000000003</v>
      </c>
      <c r="H240" s="64">
        <f>8.9839* CHOOSE(CONTROL!$C$22, $C$13, 100%, $E$13)</f>
        <v>8.9839000000000002</v>
      </c>
      <c r="I240" s="64">
        <f>8.984 * CHOOSE(CONTROL!$C$22, $C$13, 100%, $E$13)</f>
        <v>8.984</v>
      </c>
      <c r="J240" s="64">
        <f>4.957 * CHOOSE(CONTROL!$C$22, $C$13, 100%, $E$13)</f>
        <v>4.9569999999999999</v>
      </c>
      <c r="K240" s="64">
        <f>4.9572 * CHOOSE(CONTROL!$C$22, $C$13, 100%, $E$13)</f>
        <v>4.9572000000000003</v>
      </c>
    </row>
    <row r="241" spans="1:11" ht="15">
      <c r="A241" s="13">
        <v>48976</v>
      </c>
      <c r="B241" s="63">
        <f>4.3169 * CHOOSE(CONTROL!$C$22, $C$13, 100%, $E$13)</f>
        <v>4.3169000000000004</v>
      </c>
      <c r="C241" s="63">
        <f>4.3169 * CHOOSE(CONTROL!$C$22, $C$13, 100%, $E$13)</f>
        <v>4.3169000000000004</v>
      </c>
      <c r="D241" s="63">
        <f>4.3343 * CHOOSE(CONTROL!$C$22, $C$13, 100%, $E$13)</f>
        <v>4.3342999999999998</v>
      </c>
      <c r="E241" s="64">
        <f>4.9005 * CHOOSE(CONTROL!$C$22, $C$13, 100%, $E$13)</f>
        <v>4.9005000000000001</v>
      </c>
      <c r="F241" s="64">
        <f>4.9005 * CHOOSE(CONTROL!$C$22, $C$13, 100%, $E$13)</f>
        <v>4.9005000000000001</v>
      </c>
      <c r="G241" s="64">
        <f>4.9007 * CHOOSE(CONTROL!$C$22, $C$13, 100%, $E$13)</f>
        <v>4.9006999999999996</v>
      </c>
      <c r="H241" s="64">
        <f>9.0026* CHOOSE(CONTROL!$C$22, $C$13, 100%, $E$13)</f>
        <v>9.0025999999999993</v>
      </c>
      <c r="I241" s="64">
        <f>9.0027 * CHOOSE(CONTROL!$C$22, $C$13, 100%, $E$13)</f>
        <v>9.0027000000000008</v>
      </c>
      <c r="J241" s="64">
        <f>4.9005 * CHOOSE(CONTROL!$C$22, $C$13, 100%, $E$13)</f>
        <v>4.9005000000000001</v>
      </c>
      <c r="K241" s="64">
        <f>4.9007 * CHOOSE(CONTROL!$C$22, $C$13, 100%, $E$13)</f>
        <v>4.9006999999999996</v>
      </c>
    </row>
    <row r="242" spans="1:11" ht="15">
      <c r="A242" s="13">
        <v>49004</v>
      </c>
      <c r="B242" s="63">
        <f>4.3139 * CHOOSE(CONTROL!$C$22, $C$13, 100%, $E$13)</f>
        <v>4.3139000000000003</v>
      </c>
      <c r="C242" s="63">
        <f>4.3139 * CHOOSE(CONTROL!$C$22, $C$13, 100%, $E$13)</f>
        <v>4.3139000000000003</v>
      </c>
      <c r="D242" s="63">
        <f>4.3312 * CHOOSE(CONTROL!$C$22, $C$13, 100%, $E$13)</f>
        <v>4.3311999999999999</v>
      </c>
      <c r="E242" s="64">
        <f>4.9413 * CHOOSE(CONTROL!$C$22, $C$13, 100%, $E$13)</f>
        <v>4.9413</v>
      </c>
      <c r="F242" s="64">
        <f>4.9413 * CHOOSE(CONTROL!$C$22, $C$13, 100%, $E$13)</f>
        <v>4.9413</v>
      </c>
      <c r="G242" s="64">
        <f>4.9414 * CHOOSE(CONTROL!$C$22, $C$13, 100%, $E$13)</f>
        <v>4.9413999999999998</v>
      </c>
      <c r="H242" s="64">
        <f>9.0213* CHOOSE(CONTROL!$C$22, $C$13, 100%, $E$13)</f>
        <v>9.0213000000000001</v>
      </c>
      <c r="I242" s="64">
        <f>9.0215 * CHOOSE(CONTROL!$C$22, $C$13, 100%, $E$13)</f>
        <v>9.0214999999999996</v>
      </c>
      <c r="J242" s="64">
        <f>4.9413 * CHOOSE(CONTROL!$C$22, $C$13, 100%, $E$13)</f>
        <v>4.9413</v>
      </c>
      <c r="K242" s="64">
        <f>4.9414 * CHOOSE(CONTROL!$C$22, $C$13, 100%, $E$13)</f>
        <v>4.9413999999999998</v>
      </c>
    </row>
    <row r="243" spans="1:11" ht="15">
      <c r="A243" s="13">
        <v>49035</v>
      </c>
      <c r="B243" s="63">
        <f>4.3119 * CHOOSE(CONTROL!$C$22, $C$13, 100%, $E$13)</f>
        <v>4.3118999999999996</v>
      </c>
      <c r="C243" s="63">
        <f>4.3119 * CHOOSE(CONTROL!$C$22, $C$13, 100%, $E$13)</f>
        <v>4.3118999999999996</v>
      </c>
      <c r="D243" s="63">
        <f>4.3292 * CHOOSE(CONTROL!$C$22, $C$13, 100%, $E$13)</f>
        <v>4.3292000000000002</v>
      </c>
      <c r="E243" s="64">
        <f>4.9831 * CHOOSE(CONTROL!$C$22, $C$13, 100%, $E$13)</f>
        <v>4.9831000000000003</v>
      </c>
      <c r="F243" s="64">
        <f>4.9831 * CHOOSE(CONTROL!$C$22, $C$13, 100%, $E$13)</f>
        <v>4.9831000000000003</v>
      </c>
      <c r="G243" s="64">
        <f>4.9833 * CHOOSE(CONTROL!$C$22, $C$13, 100%, $E$13)</f>
        <v>4.9832999999999998</v>
      </c>
      <c r="H243" s="64">
        <f>9.0401* CHOOSE(CONTROL!$C$22, $C$13, 100%, $E$13)</f>
        <v>9.0401000000000007</v>
      </c>
      <c r="I243" s="64">
        <f>9.0403 * CHOOSE(CONTROL!$C$22, $C$13, 100%, $E$13)</f>
        <v>9.0403000000000002</v>
      </c>
      <c r="J243" s="64">
        <f>4.9831 * CHOOSE(CONTROL!$C$22, $C$13, 100%, $E$13)</f>
        <v>4.9831000000000003</v>
      </c>
      <c r="K243" s="64">
        <f>4.9833 * CHOOSE(CONTROL!$C$22, $C$13, 100%, $E$13)</f>
        <v>4.9832999999999998</v>
      </c>
    </row>
    <row r="244" spans="1:11" ht="15">
      <c r="A244" s="13">
        <v>49065</v>
      </c>
      <c r="B244" s="63">
        <f>4.3119 * CHOOSE(CONTROL!$C$22, $C$13, 100%, $E$13)</f>
        <v>4.3118999999999996</v>
      </c>
      <c r="C244" s="63">
        <f>4.3119 * CHOOSE(CONTROL!$C$22, $C$13, 100%, $E$13)</f>
        <v>4.3118999999999996</v>
      </c>
      <c r="D244" s="63">
        <f>4.3465 * CHOOSE(CONTROL!$C$22, $C$13, 100%, $E$13)</f>
        <v>4.3464999999999998</v>
      </c>
      <c r="E244" s="64">
        <f>5.0004 * CHOOSE(CONTROL!$C$22, $C$13, 100%, $E$13)</f>
        <v>5.0004</v>
      </c>
      <c r="F244" s="64">
        <f>5.0004 * CHOOSE(CONTROL!$C$22, $C$13, 100%, $E$13)</f>
        <v>5.0004</v>
      </c>
      <c r="G244" s="64">
        <f>5.0025 * CHOOSE(CONTROL!$C$22, $C$13, 100%, $E$13)</f>
        <v>5.0025000000000004</v>
      </c>
      <c r="H244" s="64">
        <f>9.059* CHOOSE(CONTROL!$C$22, $C$13, 100%, $E$13)</f>
        <v>9.0589999999999993</v>
      </c>
      <c r="I244" s="64">
        <f>9.0611 * CHOOSE(CONTROL!$C$22, $C$13, 100%, $E$13)</f>
        <v>9.0610999999999997</v>
      </c>
      <c r="J244" s="64">
        <f>5.0004 * CHOOSE(CONTROL!$C$22, $C$13, 100%, $E$13)</f>
        <v>5.0004</v>
      </c>
      <c r="K244" s="64">
        <f>5.0025 * CHOOSE(CONTROL!$C$22, $C$13, 100%, $E$13)</f>
        <v>5.0025000000000004</v>
      </c>
    </row>
    <row r="245" spans="1:11" ht="15">
      <c r="A245" s="13">
        <v>49096</v>
      </c>
      <c r="B245" s="63">
        <f>4.3179 * CHOOSE(CONTROL!$C$22, $C$13, 100%, $E$13)</f>
        <v>4.3178999999999998</v>
      </c>
      <c r="C245" s="63">
        <f>4.3179 * CHOOSE(CONTROL!$C$22, $C$13, 100%, $E$13)</f>
        <v>4.3178999999999998</v>
      </c>
      <c r="D245" s="63">
        <f>4.3526 * CHOOSE(CONTROL!$C$22, $C$13, 100%, $E$13)</f>
        <v>4.3525999999999998</v>
      </c>
      <c r="E245" s="64">
        <f>4.9873 * CHOOSE(CONTROL!$C$22, $C$13, 100%, $E$13)</f>
        <v>4.9873000000000003</v>
      </c>
      <c r="F245" s="64">
        <f>4.9873 * CHOOSE(CONTROL!$C$22, $C$13, 100%, $E$13)</f>
        <v>4.9873000000000003</v>
      </c>
      <c r="G245" s="64">
        <f>4.9895 * CHOOSE(CONTROL!$C$22, $C$13, 100%, $E$13)</f>
        <v>4.9894999999999996</v>
      </c>
      <c r="H245" s="64">
        <f>9.0778* CHOOSE(CONTROL!$C$22, $C$13, 100%, $E$13)</f>
        <v>9.0777999999999999</v>
      </c>
      <c r="I245" s="64">
        <f>9.08 * CHOOSE(CONTROL!$C$22, $C$13, 100%, $E$13)</f>
        <v>9.08</v>
      </c>
      <c r="J245" s="64">
        <f>4.9873 * CHOOSE(CONTROL!$C$22, $C$13, 100%, $E$13)</f>
        <v>4.9873000000000003</v>
      </c>
      <c r="K245" s="64">
        <f>4.9895 * CHOOSE(CONTROL!$C$22, $C$13, 100%, $E$13)</f>
        <v>4.9894999999999996</v>
      </c>
    </row>
    <row r="246" spans="1:11" ht="15">
      <c r="A246" s="13">
        <v>49126</v>
      </c>
      <c r="B246" s="63">
        <f>4.4051 * CHOOSE(CONTROL!$C$22, $C$13, 100%, $E$13)</f>
        <v>4.4051</v>
      </c>
      <c r="C246" s="63">
        <f>4.4051 * CHOOSE(CONTROL!$C$22, $C$13, 100%, $E$13)</f>
        <v>4.4051</v>
      </c>
      <c r="D246" s="63">
        <f>4.4398 * CHOOSE(CONTROL!$C$22, $C$13, 100%, $E$13)</f>
        <v>4.4398</v>
      </c>
      <c r="E246" s="64">
        <f>5.1009 * CHOOSE(CONTROL!$C$22, $C$13, 100%, $E$13)</f>
        <v>5.1009000000000002</v>
      </c>
      <c r="F246" s="64">
        <f>5.1009 * CHOOSE(CONTROL!$C$22, $C$13, 100%, $E$13)</f>
        <v>5.1009000000000002</v>
      </c>
      <c r="G246" s="64">
        <f>5.1031 * CHOOSE(CONTROL!$C$22, $C$13, 100%, $E$13)</f>
        <v>5.1031000000000004</v>
      </c>
      <c r="H246" s="64">
        <f>9.0967* CHOOSE(CONTROL!$C$22, $C$13, 100%, $E$13)</f>
        <v>9.0967000000000002</v>
      </c>
      <c r="I246" s="64">
        <f>9.0989 * CHOOSE(CONTROL!$C$22, $C$13, 100%, $E$13)</f>
        <v>9.0989000000000004</v>
      </c>
      <c r="J246" s="64">
        <f>5.1009 * CHOOSE(CONTROL!$C$22, $C$13, 100%, $E$13)</f>
        <v>5.1009000000000002</v>
      </c>
      <c r="K246" s="64">
        <f>5.1031 * CHOOSE(CONTROL!$C$22, $C$13, 100%, $E$13)</f>
        <v>5.1031000000000004</v>
      </c>
    </row>
    <row r="247" spans="1:11" ht="15">
      <c r="A247" s="13">
        <v>49157</v>
      </c>
      <c r="B247" s="63">
        <f>4.4118 * CHOOSE(CONTROL!$C$22, $C$13, 100%, $E$13)</f>
        <v>4.4118000000000004</v>
      </c>
      <c r="C247" s="63">
        <f>4.4118 * CHOOSE(CONTROL!$C$22, $C$13, 100%, $E$13)</f>
        <v>4.4118000000000004</v>
      </c>
      <c r="D247" s="63">
        <f>4.4465 * CHOOSE(CONTROL!$C$22, $C$13, 100%, $E$13)</f>
        <v>4.4465000000000003</v>
      </c>
      <c r="E247" s="64">
        <f>5.0538 * CHOOSE(CONTROL!$C$22, $C$13, 100%, $E$13)</f>
        <v>5.0537999999999998</v>
      </c>
      <c r="F247" s="64">
        <f>5.0538 * CHOOSE(CONTROL!$C$22, $C$13, 100%, $E$13)</f>
        <v>5.0537999999999998</v>
      </c>
      <c r="G247" s="64">
        <f>5.0559 * CHOOSE(CONTROL!$C$22, $C$13, 100%, $E$13)</f>
        <v>5.0559000000000003</v>
      </c>
      <c r="H247" s="64">
        <f>9.1157* CHOOSE(CONTROL!$C$22, $C$13, 100%, $E$13)</f>
        <v>9.1157000000000004</v>
      </c>
      <c r="I247" s="64">
        <f>9.1178 * CHOOSE(CONTROL!$C$22, $C$13, 100%, $E$13)</f>
        <v>9.1178000000000008</v>
      </c>
      <c r="J247" s="64">
        <f>5.0538 * CHOOSE(CONTROL!$C$22, $C$13, 100%, $E$13)</f>
        <v>5.0537999999999998</v>
      </c>
      <c r="K247" s="64">
        <f>5.0559 * CHOOSE(CONTROL!$C$22, $C$13, 100%, $E$13)</f>
        <v>5.0559000000000003</v>
      </c>
    </row>
    <row r="248" spans="1:11" ht="15">
      <c r="A248" s="13">
        <v>49188</v>
      </c>
      <c r="B248" s="63">
        <f>4.4088 * CHOOSE(CONTROL!$C$22, $C$13, 100%, $E$13)</f>
        <v>4.4088000000000003</v>
      </c>
      <c r="C248" s="63">
        <f>4.4088 * CHOOSE(CONTROL!$C$22, $C$13, 100%, $E$13)</f>
        <v>4.4088000000000003</v>
      </c>
      <c r="D248" s="63">
        <f>4.4434 * CHOOSE(CONTROL!$C$22, $C$13, 100%, $E$13)</f>
        <v>4.4433999999999996</v>
      </c>
      <c r="E248" s="64">
        <f>5.0459 * CHOOSE(CONTROL!$C$22, $C$13, 100%, $E$13)</f>
        <v>5.0458999999999996</v>
      </c>
      <c r="F248" s="64">
        <f>5.0459 * CHOOSE(CONTROL!$C$22, $C$13, 100%, $E$13)</f>
        <v>5.0458999999999996</v>
      </c>
      <c r="G248" s="64">
        <f>5.048 * CHOOSE(CONTROL!$C$22, $C$13, 100%, $E$13)</f>
        <v>5.048</v>
      </c>
      <c r="H248" s="64">
        <f>9.1347* CHOOSE(CONTROL!$C$22, $C$13, 100%, $E$13)</f>
        <v>9.1347000000000005</v>
      </c>
      <c r="I248" s="64">
        <f>9.1368 * CHOOSE(CONTROL!$C$22, $C$13, 100%, $E$13)</f>
        <v>9.1367999999999991</v>
      </c>
      <c r="J248" s="64">
        <f>5.0459 * CHOOSE(CONTROL!$C$22, $C$13, 100%, $E$13)</f>
        <v>5.0458999999999996</v>
      </c>
      <c r="K248" s="64">
        <f>5.048 * CHOOSE(CONTROL!$C$22, $C$13, 100%, $E$13)</f>
        <v>5.048</v>
      </c>
    </row>
    <row r="249" spans="1:11" ht="15">
      <c r="A249" s="13">
        <v>49218</v>
      </c>
      <c r="B249" s="63">
        <f>4.4054 * CHOOSE(CONTROL!$C$22, $C$13, 100%, $E$13)</f>
        <v>4.4054000000000002</v>
      </c>
      <c r="C249" s="63">
        <f>4.4054 * CHOOSE(CONTROL!$C$22, $C$13, 100%, $E$13)</f>
        <v>4.4054000000000002</v>
      </c>
      <c r="D249" s="63">
        <f>4.4227 * CHOOSE(CONTROL!$C$22, $C$13, 100%, $E$13)</f>
        <v>4.4226999999999999</v>
      </c>
      <c r="E249" s="64">
        <f>5.0555 * CHOOSE(CONTROL!$C$22, $C$13, 100%, $E$13)</f>
        <v>5.0555000000000003</v>
      </c>
      <c r="F249" s="64">
        <f>5.0555 * CHOOSE(CONTROL!$C$22, $C$13, 100%, $E$13)</f>
        <v>5.0555000000000003</v>
      </c>
      <c r="G249" s="64">
        <f>5.0557 * CHOOSE(CONTROL!$C$22, $C$13, 100%, $E$13)</f>
        <v>5.0556999999999999</v>
      </c>
      <c r="H249" s="64">
        <f>9.1537* CHOOSE(CONTROL!$C$22, $C$13, 100%, $E$13)</f>
        <v>9.1537000000000006</v>
      </c>
      <c r="I249" s="64">
        <f>9.1539 * CHOOSE(CONTROL!$C$22, $C$13, 100%, $E$13)</f>
        <v>9.1539000000000001</v>
      </c>
      <c r="J249" s="64">
        <f>5.0555 * CHOOSE(CONTROL!$C$22, $C$13, 100%, $E$13)</f>
        <v>5.0555000000000003</v>
      </c>
      <c r="K249" s="64">
        <f>5.0557 * CHOOSE(CONTROL!$C$22, $C$13, 100%, $E$13)</f>
        <v>5.0556999999999999</v>
      </c>
    </row>
    <row r="250" spans="1:11" ht="15">
      <c r="A250" s="13">
        <v>49249</v>
      </c>
      <c r="B250" s="63">
        <f>4.4084 * CHOOSE(CONTROL!$C$22, $C$13, 100%, $E$13)</f>
        <v>4.4084000000000003</v>
      </c>
      <c r="C250" s="63">
        <f>4.4084 * CHOOSE(CONTROL!$C$22, $C$13, 100%, $E$13)</f>
        <v>4.4084000000000003</v>
      </c>
      <c r="D250" s="63">
        <f>4.4258 * CHOOSE(CONTROL!$C$22, $C$13, 100%, $E$13)</f>
        <v>4.4257999999999997</v>
      </c>
      <c r="E250" s="64">
        <f>5.0691 * CHOOSE(CONTROL!$C$22, $C$13, 100%, $E$13)</f>
        <v>5.0690999999999997</v>
      </c>
      <c r="F250" s="64">
        <f>5.0691 * CHOOSE(CONTROL!$C$22, $C$13, 100%, $E$13)</f>
        <v>5.0690999999999997</v>
      </c>
      <c r="G250" s="64">
        <f>5.0693 * CHOOSE(CONTROL!$C$22, $C$13, 100%, $E$13)</f>
        <v>5.0693000000000001</v>
      </c>
      <c r="H250" s="64">
        <f>9.1728* CHOOSE(CONTROL!$C$22, $C$13, 100%, $E$13)</f>
        <v>9.1728000000000005</v>
      </c>
      <c r="I250" s="64">
        <f>9.173 * CHOOSE(CONTROL!$C$22, $C$13, 100%, $E$13)</f>
        <v>9.173</v>
      </c>
      <c r="J250" s="64">
        <f>5.0691 * CHOOSE(CONTROL!$C$22, $C$13, 100%, $E$13)</f>
        <v>5.0690999999999997</v>
      </c>
      <c r="K250" s="64">
        <f>5.0693 * CHOOSE(CONTROL!$C$22, $C$13, 100%, $E$13)</f>
        <v>5.0693000000000001</v>
      </c>
    </row>
    <row r="251" spans="1:11" ht="15">
      <c r="A251" s="13">
        <v>49279</v>
      </c>
      <c r="B251" s="63">
        <f>4.4084 * CHOOSE(CONTROL!$C$22, $C$13, 100%, $E$13)</f>
        <v>4.4084000000000003</v>
      </c>
      <c r="C251" s="63">
        <f>4.4084 * CHOOSE(CONTROL!$C$22, $C$13, 100%, $E$13)</f>
        <v>4.4084000000000003</v>
      </c>
      <c r="D251" s="63">
        <f>4.4258 * CHOOSE(CONTROL!$C$22, $C$13, 100%, $E$13)</f>
        <v>4.4257999999999997</v>
      </c>
      <c r="E251" s="64">
        <f>5.0404 * CHOOSE(CONTROL!$C$22, $C$13, 100%, $E$13)</f>
        <v>5.0404</v>
      </c>
      <c r="F251" s="64">
        <f>5.0404 * CHOOSE(CONTROL!$C$22, $C$13, 100%, $E$13)</f>
        <v>5.0404</v>
      </c>
      <c r="G251" s="64">
        <f>5.0405 * CHOOSE(CONTROL!$C$22, $C$13, 100%, $E$13)</f>
        <v>5.0404999999999998</v>
      </c>
      <c r="H251" s="64">
        <f>9.1919* CHOOSE(CONTROL!$C$22, $C$13, 100%, $E$13)</f>
        <v>9.1919000000000004</v>
      </c>
      <c r="I251" s="64">
        <f>9.1921 * CHOOSE(CONTROL!$C$22, $C$13, 100%, $E$13)</f>
        <v>9.1920999999999999</v>
      </c>
      <c r="J251" s="64">
        <f>5.0404 * CHOOSE(CONTROL!$C$22, $C$13, 100%, $E$13)</f>
        <v>5.0404</v>
      </c>
      <c r="K251" s="64">
        <f>5.0405 * CHOOSE(CONTROL!$C$22, $C$13, 100%, $E$13)</f>
        <v>5.0404999999999998</v>
      </c>
    </row>
    <row r="252" spans="1:11" ht="15">
      <c r="A252" s="13">
        <v>49310</v>
      </c>
      <c r="B252" s="63">
        <f>4.4493 * CHOOSE(CONTROL!$C$22, $C$13, 100%, $E$13)</f>
        <v>4.4493</v>
      </c>
      <c r="C252" s="63">
        <f>4.4493 * CHOOSE(CONTROL!$C$22, $C$13, 100%, $E$13)</f>
        <v>4.4493</v>
      </c>
      <c r="D252" s="63">
        <f>4.4666 * CHOOSE(CONTROL!$C$22, $C$13, 100%, $E$13)</f>
        <v>4.4665999999999997</v>
      </c>
      <c r="E252" s="64">
        <f>5.1042 * CHOOSE(CONTROL!$C$22, $C$13, 100%, $E$13)</f>
        <v>5.1041999999999996</v>
      </c>
      <c r="F252" s="64">
        <f>5.1042 * CHOOSE(CONTROL!$C$22, $C$13, 100%, $E$13)</f>
        <v>5.1041999999999996</v>
      </c>
      <c r="G252" s="64">
        <f>5.1043 * CHOOSE(CONTROL!$C$22, $C$13, 100%, $E$13)</f>
        <v>5.1043000000000003</v>
      </c>
      <c r="H252" s="64">
        <f>9.211* CHOOSE(CONTROL!$C$22, $C$13, 100%, $E$13)</f>
        <v>9.2110000000000003</v>
      </c>
      <c r="I252" s="64">
        <f>9.2112 * CHOOSE(CONTROL!$C$22, $C$13, 100%, $E$13)</f>
        <v>9.2111999999999998</v>
      </c>
      <c r="J252" s="64">
        <f>5.1042 * CHOOSE(CONTROL!$C$22, $C$13, 100%, $E$13)</f>
        <v>5.1041999999999996</v>
      </c>
      <c r="K252" s="64">
        <f>5.1043 * CHOOSE(CONTROL!$C$22, $C$13, 100%, $E$13)</f>
        <v>5.1043000000000003</v>
      </c>
    </row>
    <row r="253" spans="1:11" ht="15">
      <c r="A253" s="13">
        <v>49341</v>
      </c>
      <c r="B253" s="63">
        <f>4.4463 * CHOOSE(CONTROL!$C$22, $C$13, 100%, $E$13)</f>
        <v>4.4462999999999999</v>
      </c>
      <c r="C253" s="63">
        <f>4.4463 * CHOOSE(CONTROL!$C$22, $C$13, 100%, $E$13)</f>
        <v>4.4462999999999999</v>
      </c>
      <c r="D253" s="63">
        <f>4.4636 * CHOOSE(CONTROL!$C$22, $C$13, 100%, $E$13)</f>
        <v>4.4635999999999996</v>
      </c>
      <c r="E253" s="64">
        <f>5.0462 * CHOOSE(CONTROL!$C$22, $C$13, 100%, $E$13)</f>
        <v>5.0461999999999998</v>
      </c>
      <c r="F253" s="64">
        <f>5.0462 * CHOOSE(CONTROL!$C$22, $C$13, 100%, $E$13)</f>
        <v>5.0461999999999998</v>
      </c>
      <c r="G253" s="64">
        <f>5.0464 * CHOOSE(CONTROL!$C$22, $C$13, 100%, $E$13)</f>
        <v>5.0464000000000002</v>
      </c>
      <c r="H253" s="64">
        <f>9.2302* CHOOSE(CONTROL!$C$22, $C$13, 100%, $E$13)</f>
        <v>9.2302</v>
      </c>
      <c r="I253" s="64">
        <f>9.2304 * CHOOSE(CONTROL!$C$22, $C$13, 100%, $E$13)</f>
        <v>9.2303999999999995</v>
      </c>
      <c r="J253" s="64">
        <f>5.0462 * CHOOSE(CONTROL!$C$22, $C$13, 100%, $E$13)</f>
        <v>5.0461999999999998</v>
      </c>
      <c r="K253" s="64">
        <f>5.0464 * CHOOSE(CONTROL!$C$22, $C$13, 100%, $E$13)</f>
        <v>5.0464000000000002</v>
      </c>
    </row>
    <row r="254" spans="1:11" ht="15">
      <c r="A254" s="13">
        <v>49369</v>
      </c>
      <c r="B254" s="63">
        <f>4.4432 * CHOOSE(CONTROL!$C$22, $C$13, 100%, $E$13)</f>
        <v>4.4432</v>
      </c>
      <c r="C254" s="63">
        <f>4.4432 * CHOOSE(CONTROL!$C$22, $C$13, 100%, $E$13)</f>
        <v>4.4432</v>
      </c>
      <c r="D254" s="63">
        <f>4.4606 * CHOOSE(CONTROL!$C$22, $C$13, 100%, $E$13)</f>
        <v>4.4606000000000003</v>
      </c>
      <c r="E254" s="64">
        <f>5.0881 * CHOOSE(CONTROL!$C$22, $C$13, 100%, $E$13)</f>
        <v>5.0880999999999998</v>
      </c>
      <c r="F254" s="64">
        <f>5.0881 * CHOOSE(CONTROL!$C$22, $C$13, 100%, $E$13)</f>
        <v>5.0880999999999998</v>
      </c>
      <c r="G254" s="64">
        <f>5.0883 * CHOOSE(CONTROL!$C$22, $C$13, 100%, $E$13)</f>
        <v>5.0883000000000003</v>
      </c>
      <c r="H254" s="64">
        <f>9.2495* CHOOSE(CONTROL!$C$22, $C$13, 100%, $E$13)</f>
        <v>9.2494999999999994</v>
      </c>
      <c r="I254" s="64">
        <f>9.2496 * CHOOSE(CONTROL!$C$22, $C$13, 100%, $E$13)</f>
        <v>9.2495999999999992</v>
      </c>
      <c r="J254" s="64">
        <f>5.0881 * CHOOSE(CONTROL!$C$22, $C$13, 100%, $E$13)</f>
        <v>5.0880999999999998</v>
      </c>
      <c r="K254" s="64">
        <f>5.0883 * CHOOSE(CONTROL!$C$22, $C$13, 100%, $E$13)</f>
        <v>5.0883000000000003</v>
      </c>
    </row>
    <row r="255" spans="1:11" ht="15">
      <c r="A255" s="13">
        <v>49400</v>
      </c>
      <c r="B255" s="63">
        <f>4.4413 * CHOOSE(CONTROL!$C$22, $C$13, 100%, $E$13)</f>
        <v>4.4413</v>
      </c>
      <c r="C255" s="63">
        <f>4.4413 * CHOOSE(CONTROL!$C$22, $C$13, 100%, $E$13)</f>
        <v>4.4413</v>
      </c>
      <c r="D255" s="63">
        <f>4.4587 * CHOOSE(CONTROL!$C$22, $C$13, 100%, $E$13)</f>
        <v>4.4587000000000003</v>
      </c>
      <c r="E255" s="64">
        <f>5.1311 * CHOOSE(CONTROL!$C$22, $C$13, 100%, $E$13)</f>
        <v>5.1311</v>
      </c>
      <c r="F255" s="64">
        <f>5.1311 * CHOOSE(CONTROL!$C$22, $C$13, 100%, $E$13)</f>
        <v>5.1311</v>
      </c>
      <c r="G255" s="64">
        <f>5.1313 * CHOOSE(CONTROL!$C$22, $C$13, 100%, $E$13)</f>
        <v>5.1313000000000004</v>
      </c>
      <c r="H255" s="64">
        <f>9.2687* CHOOSE(CONTROL!$C$22, $C$13, 100%, $E$13)</f>
        <v>9.2687000000000008</v>
      </c>
      <c r="I255" s="64">
        <f>9.2689 * CHOOSE(CONTROL!$C$22, $C$13, 100%, $E$13)</f>
        <v>9.2689000000000004</v>
      </c>
      <c r="J255" s="64">
        <f>5.1311 * CHOOSE(CONTROL!$C$22, $C$13, 100%, $E$13)</f>
        <v>5.1311</v>
      </c>
      <c r="K255" s="64">
        <f>5.1313 * CHOOSE(CONTROL!$C$22, $C$13, 100%, $E$13)</f>
        <v>5.1313000000000004</v>
      </c>
    </row>
    <row r="256" spans="1:11" ht="15">
      <c r="A256" s="13">
        <v>49430</v>
      </c>
      <c r="B256" s="63">
        <f>4.4413 * CHOOSE(CONTROL!$C$22, $C$13, 100%, $E$13)</f>
        <v>4.4413</v>
      </c>
      <c r="C256" s="63">
        <f>4.4413 * CHOOSE(CONTROL!$C$22, $C$13, 100%, $E$13)</f>
        <v>4.4413</v>
      </c>
      <c r="D256" s="63">
        <f>4.476 * CHOOSE(CONTROL!$C$22, $C$13, 100%, $E$13)</f>
        <v>4.476</v>
      </c>
      <c r="E256" s="64">
        <f>5.1489 * CHOOSE(CONTROL!$C$22, $C$13, 100%, $E$13)</f>
        <v>5.1489000000000003</v>
      </c>
      <c r="F256" s="64">
        <f>5.1489 * CHOOSE(CONTROL!$C$22, $C$13, 100%, $E$13)</f>
        <v>5.1489000000000003</v>
      </c>
      <c r="G256" s="64">
        <f>5.151 * CHOOSE(CONTROL!$C$22, $C$13, 100%, $E$13)</f>
        <v>5.1509999999999998</v>
      </c>
      <c r="H256" s="64">
        <f>9.288* CHOOSE(CONTROL!$C$22, $C$13, 100%, $E$13)</f>
        <v>9.2880000000000003</v>
      </c>
      <c r="I256" s="64">
        <f>9.2902 * CHOOSE(CONTROL!$C$22, $C$13, 100%, $E$13)</f>
        <v>9.2902000000000005</v>
      </c>
      <c r="J256" s="64">
        <f>5.1489 * CHOOSE(CONTROL!$C$22, $C$13, 100%, $E$13)</f>
        <v>5.1489000000000003</v>
      </c>
      <c r="K256" s="64">
        <f>5.151 * CHOOSE(CONTROL!$C$22, $C$13, 100%, $E$13)</f>
        <v>5.1509999999999998</v>
      </c>
    </row>
    <row r="257" spans="1:11" ht="15">
      <c r="A257" s="13">
        <v>49461</v>
      </c>
      <c r="B257" s="63">
        <f>4.4474 * CHOOSE(CONTROL!$C$22, $C$13, 100%, $E$13)</f>
        <v>4.4474</v>
      </c>
      <c r="C257" s="63">
        <f>4.4474 * CHOOSE(CONTROL!$C$22, $C$13, 100%, $E$13)</f>
        <v>4.4474</v>
      </c>
      <c r="D257" s="63">
        <f>4.4821 * CHOOSE(CONTROL!$C$22, $C$13, 100%, $E$13)</f>
        <v>4.4821</v>
      </c>
      <c r="E257" s="64">
        <f>5.1354 * CHOOSE(CONTROL!$C$22, $C$13, 100%, $E$13)</f>
        <v>5.1353999999999997</v>
      </c>
      <c r="F257" s="64">
        <f>5.1354 * CHOOSE(CONTROL!$C$22, $C$13, 100%, $E$13)</f>
        <v>5.1353999999999997</v>
      </c>
      <c r="G257" s="64">
        <f>5.1375 * CHOOSE(CONTROL!$C$22, $C$13, 100%, $E$13)</f>
        <v>5.1375000000000002</v>
      </c>
      <c r="H257" s="64">
        <f>9.3074* CHOOSE(CONTROL!$C$22, $C$13, 100%, $E$13)</f>
        <v>9.3073999999999995</v>
      </c>
      <c r="I257" s="64">
        <f>9.3095 * CHOOSE(CONTROL!$C$22, $C$13, 100%, $E$13)</f>
        <v>9.3094999999999999</v>
      </c>
      <c r="J257" s="64">
        <f>5.1354 * CHOOSE(CONTROL!$C$22, $C$13, 100%, $E$13)</f>
        <v>5.1353999999999997</v>
      </c>
      <c r="K257" s="64">
        <f>5.1375 * CHOOSE(CONTROL!$C$22, $C$13, 100%, $E$13)</f>
        <v>5.1375000000000002</v>
      </c>
    </row>
    <row r="258" spans="1:11" ht="15">
      <c r="A258" s="13">
        <v>49491</v>
      </c>
      <c r="B258" s="63">
        <f>4.5237 * CHOOSE(CONTROL!$C$22, $C$13, 100%, $E$13)</f>
        <v>4.5236999999999998</v>
      </c>
      <c r="C258" s="63">
        <f>4.5237 * CHOOSE(CONTROL!$C$22, $C$13, 100%, $E$13)</f>
        <v>4.5236999999999998</v>
      </c>
      <c r="D258" s="63">
        <f>4.5584 * CHOOSE(CONTROL!$C$22, $C$13, 100%, $E$13)</f>
        <v>4.5583999999999998</v>
      </c>
      <c r="E258" s="64">
        <f>5.2334 * CHOOSE(CONTROL!$C$22, $C$13, 100%, $E$13)</f>
        <v>5.2333999999999996</v>
      </c>
      <c r="F258" s="64">
        <f>5.2334 * CHOOSE(CONTROL!$C$22, $C$13, 100%, $E$13)</f>
        <v>5.2333999999999996</v>
      </c>
      <c r="G258" s="64">
        <f>5.2356 * CHOOSE(CONTROL!$C$22, $C$13, 100%, $E$13)</f>
        <v>5.2355999999999998</v>
      </c>
      <c r="H258" s="64">
        <f>9.3268* CHOOSE(CONTROL!$C$22, $C$13, 100%, $E$13)</f>
        <v>9.3268000000000004</v>
      </c>
      <c r="I258" s="64">
        <f>9.3289 * CHOOSE(CONTROL!$C$22, $C$13, 100%, $E$13)</f>
        <v>9.3289000000000009</v>
      </c>
      <c r="J258" s="64">
        <f>5.2334 * CHOOSE(CONTROL!$C$22, $C$13, 100%, $E$13)</f>
        <v>5.2333999999999996</v>
      </c>
      <c r="K258" s="64">
        <f>5.2356 * CHOOSE(CONTROL!$C$22, $C$13, 100%, $E$13)</f>
        <v>5.2355999999999998</v>
      </c>
    </row>
    <row r="259" spans="1:11" ht="15">
      <c r="A259" s="13">
        <v>49522</v>
      </c>
      <c r="B259" s="63">
        <f>4.5304 * CHOOSE(CONTROL!$C$22, $C$13, 100%, $E$13)</f>
        <v>4.5304000000000002</v>
      </c>
      <c r="C259" s="63">
        <f>4.5304 * CHOOSE(CONTROL!$C$22, $C$13, 100%, $E$13)</f>
        <v>4.5304000000000002</v>
      </c>
      <c r="D259" s="63">
        <f>4.5651 * CHOOSE(CONTROL!$C$22, $C$13, 100%, $E$13)</f>
        <v>4.5651000000000002</v>
      </c>
      <c r="E259" s="64">
        <f>5.1849 * CHOOSE(CONTROL!$C$22, $C$13, 100%, $E$13)</f>
        <v>5.1848999999999998</v>
      </c>
      <c r="F259" s="64">
        <f>5.1849 * CHOOSE(CONTROL!$C$22, $C$13, 100%, $E$13)</f>
        <v>5.1848999999999998</v>
      </c>
      <c r="G259" s="64">
        <f>5.187 * CHOOSE(CONTROL!$C$22, $C$13, 100%, $E$13)</f>
        <v>5.1870000000000003</v>
      </c>
      <c r="H259" s="64">
        <f>9.3462* CHOOSE(CONTROL!$C$22, $C$13, 100%, $E$13)</f>
        <v>9.3461999999999996</v>
      </c>
      <c r="I259" s="64">
        <f>9.3484 * CHOOSE(CONTROL!$C$22, $C$13, 100%, $E$13)</f>
        <v>9.3483999999999998</v>
      </c>
      <c r="J259" s="64">
        <f>5.1849 * CHOOSE(CONTROL!$C$22, $C$13, 100%, $E$13)</f>
        <v>5.1848999999999998</v>
      </c>
      <c r="K259" s="64">
        <f>5.187 * CHOOSE(CONTROL!$C$22, $C$13, 100%, $E$13)</f>
        <v>5.1870000000000003</v>
      </c>
    </row>
    <row r="260" spans="1:11" ht="15">
      <c r="A260" s="13">
        <v>49553</v>
      </c>
      <c r="B260" s="63">
        <f>4.5274 * CHOOSE(CONTROL!$C$22, $C$13, 100%, $E$13)</f>
        <v>4.5274000000000001</v>
      </c>
      <c r="C260" s="63">
        <f>4.5274 * CHOOSE(CONTROL!$C$22, $C$13, 100%, $E$13)</f>
        <v>4.5274000000000001</v>
      </c>
      <c r="D260" s="63">
        <f>4.562 * CHOOSE(CONTROL!$C$22, $C$13, 100%, $E$13)</f>
        <v>4.5620000000000003</v>
      </c>
      <c r="E260" s="64">
        <f>5.1768 * CHOOSE(CONTROL!$C$22, $C$13, 100%, $E$13)</f>
        <v>5.1768000000000001</v>
      </c>
      <c r="F260" s="64">
        <f>5.1768 * CHOOSE(CONTROL!$C$22, $C$13, 100%, $E$13)</f>
        <v>5.1768000000000001</v>
      </c>
      <c r="G260" s="64">
        <f>5.179 * CHOOSE(CONTROL!$C$22, $C$13, 100%, $E$13)</f>
        <v>5.1790000000000003</v>
      </c>
      <c r="H260" s="64">
        <f>9.3657* CHOOSE(CONTROL!$C$22, $C$13, 100%, $E$13)</f>
        <v>9.3657000000000004</v>
      </c>
      <c r="I260" s="64">
        <f>9.3678 * CHOOSE(CONTROL!$C$22, $C$13, 100%, $E$13)</f>
        <v>9.3678000000000008</v>
      </c>
      <c r="J260" s="64">
        <f>5.1768 * CHOOSE(CONTROL!$C$22, $C$13, 100%, $E$13)</f>
        <v>5.1768000000000001</v>
      </c>
      <c r="K260" s="64">
        <f>5.179 * CHOOSE(CONTROL!$C$22, $C$13, 100%, $E$13)</f>
        <v>5.1790000000000003</v>
      </c>
    </row>
    <row r="261" spans="1:11" ht="15">
      <c r="A261" s="13">
        <v>49583</v>
      </c>
      <c r="B261" s="63">
        <f>4.5244 * CHOOSE(CONTROL!$C$22, $C$13, 100%, $E$13)</f>
        <v>4.5244</v>
      </c>
      <c r="C261" s="63">
        <f>4.5244 * CHOOSE(CONTROL!$C$22, $C$13, 100%, $E$13)</f>
        <v>4.5244</v>
      </c>
      <c r="D261" s="63">
        <f>4.5417 * CHOOSE(CONTROL!$C$22, $C$13, 100%, $E$13)</f>
        <v>4.5416999999999996</v>
      </c>
      <c r="E261" s="64">
        <f>5.1871 * CHOOSE(CONTROL!$C$22, $C$13, 100%, $E$13)</f>
        <v>5.1871</v>
      </c>
      <c r="F261" s="64">
        <f>5.1871 * CHOOSE(CONTROL!$C$22, $C$13, 100%, $E$13)</f>
        <v>5.1871</v>
      </c>
      <c r="G261" s="64">
        <f>5.1872 * CHOOSE(CONTROL!$C$22, $C$13, 100%, $E$13)</f>
        <v>5.1871999999999998</v>
      </c>
      <c r="H261" s="64">
        <f>9.3852* CHOOSE(CONTROL!$C$22, $C$13, 100%, $E$13)</f>
        <v>9.3851999999999993</v>
      </c>
      <c r="I261" s="64">
        <f>9.3854 * CHOOSE(CONTROL!$C$22, $C$13, 100%, $E$13)</f>
        <v>9.3854000000000006</v>
      </c>
      <c r="J261" s="64">
        <f>5.1871 * CHOOSE(CONTROL!$C$22, $C$13, 100%, $E$13)</f>
        <v>5.1871</v>
      </c>
      <c r="K261" s="64">
        <f>5.1872 * CHOOSE(CONTROL!$C$22, $C$13, 100%, $E$13)</f>
        <v>5.1871999999999998</v>
      </c>
    </row>
    <row r="262" spans="1:11" ht="15">
      <c r="A262" s="13">
        <v>49614</v>
      </c>
      <c r="B262" s="63">
        <f>4.5275 * CHOOSE(CONTROL!$C$22, $C$13, 100%, $E$13)</f>
        <v>4.5274999999999999</v>
      </c>
      <c r="C262" s="63">
        <f>4.5275 * CHOOSE(CONTROL!$C$22, $C$13, 100%, $E$13)</f>
        <v>4.5274999999999999</v>
      </c>
      <c r="D262" s="63">
        <f>4.5448 * CHOOSE(CONTROL!$C$22, $C$13, 100%, $E$13)</f>
        <v>4.5448000000000004</v>
      </c>
      <c r="E262" s="64">
        <f>5.201 * CHOOSE(CONTROL!$C$22, $C$13, 100%, $E$13)</f>
        <v>5.2009999999999996</v>
      </c>
      <c r="F262" s="64">
        <f>5.201 * CHOOSE(CONTROL!$C$22, $C$13, 100%, $E$13)</f>
        <v>5.2009999999999996</v>
      </c>
      <c r="G262" s="64">
        <f>5.2012 * CHOOSE(CONTROL!$C$22, $C$13, 100%, $E$13)</f>
        <v>5.2012</v>
      </c>
      <c r="H262" s="64">
        <f>9.4047* CHOOSE(CONTROL!$C$22, $C$13, 100%, $E$13)</f>
        <v>9.4047000000000001</v>
      </c>
      <c r="I262" s="64">
        <f>9.4049 * CHOOSE(CONTROL!$C$22, $C$13, 100%, $E$13)</f>
        <v>9.4048999999999996</v>
      </c>
      <c r="J262" s="64">
        <f>5.201 * CHOOSE(CONTROL!$C$22, $C$13, 100%, $E$13)</f>
        <v>5.2009999999999996</v>
      </c>
      <c r="K262" s="64">
        <f>5.2012 * CHOOSE(CONTROL!$C$22, $C$13, 100%, $E$13)</f>
        <v>5.2012</v>
      </c>
    </row>
    <row r="263" spans="1:11" ht="15">
      <c r="A263" s="13">
        <v>49644</v>
      </c>
      <c r="B263" s="63">
        <f>4.5275 * CHOOSE(CONTROL!$C$22, $C$13, 100%, $E$13)</f>
        <v>4.5274999999999999</v>
      </c>
      <c r="C263" s="63">
        <f>4.5275 * CHOOSE(CONTROL!$C$22, $C$13, 100%, $E$13)</f>
        <v>4.5274999999999999</v>
      </c>
      <c r="D263" s="63">
        <f>4.5448 * CHOOSE(CONTROL!$C$22, $C$13, 100%, $E$13)</f>
        <v>4.5448000000000004</v>
      </c>
      <c r="E263" s="64">
        <f>5.1715 * CHOOSE(CONTROL!$C$22, $C$13, 100%, $E$13)</f>
        <v>5.1715</v>
      </c>
      <c r="F263" s="64">
        <f>5.1715 * CHOOSE(CONTROL!$C$22, $C$13, 100%, $E$13)</f>
        <v>5.1715</v>
      </c>
      <c r="G263" s="64">
        <f>5.1716 * CHOOSE(CONTROL!$C$22, $C$13, 100%, $E$13)</f>
        <v>5.1715999999999998</v>
      </c>
      <c r="H263" s="64">
        <f>9.4243* CHOOSE(CONTROL!$C$22, $C$13, 100%, $E$13)</f>
        <v>9.4243000000000006</v>
      </c>
      <c r="I263" s="64">
        <f>9.4245 * CHOOSE(CONTROL!$C$22, $C$13, 100%, $E$13)</f>
        <v>9.4245000000000001</v>
      </c>
      <c r="J263" s="64">
        <f>5.1715 * CHOOSE(CONTROL!$C$22, $C$13, 100%, $E$13)</f>
        <v>5.1715</v>
      </c>
      <c r="K263" s="64">
        <f>5.1716 * CHOOSE(CONTROL!$C$22, $C$13, 100%, $E$13)</f>
        <v>5.1715999999999998</v>
      </c>
    </row>
    <row r="264" spans="1:11" ht="15">
      <c r="A264" s="13">
        <v>49675</v>
      </c>
      <c r="B264" s="63">
        <f>4.5704 * CHOOSE(CONTROL!$C$22, $C$13, 100%, $E$13)</f>
        <v>4.5704000000000002</v>
      </c>
      <c r="C264" s="63">
        <f>4.5704 * CHOOSE(CONTROL!$C$22, $C$13, 100%, $E$13)</f>
        <v>4.5704000000000002</v>
      </c>
      <c r="D264" s="63">
        <f>4.5877 * CHOOSE(CONTROL!$C$22, $C$13, 100%, $E$13)</f>
        <v>4.5876999999999999</v>
      </c>
      <c r="E264" s="64">
        <f>5.2414 * CHOOSE(CONTROL!$C$22, $C$13, 100%, $E$13)</f>
        <v>5.2413999999999996</v>
      </c>
      <c r="F264" s="64">
        <f>5.2414 * CHOOSE(CONTROL!$C$22, $C$13, 100%, $E$13)</f>
        <v>5.2413999999999996</v>
      </c>
      <c r="G264" s="64">
        <f>5.2415 * CHOOSE(CONTROL!$C$22, $C$13, 100%, $E$13)</f>
        <v>5.2415000000000003</v>
      </c>
      <c r="H264" s="64">
        <f>9.444* CHOOSE(CONTROL!$C$22, $C$13, 100%, $E$13)</f>
        <v>9.4440000000000008</v>
      </c>
      <c r="I264" s="64">
        <f>9.4442 * CHOOSE(CONTROL!$C$22, $C$13, 100%, $E$13)</f>
        <v>9.4442000000000004</v>
      </c>
      <c r="J264" s="64">
        <f>5.2414 * CHOOSE(CONTROL!$C$22, $C$13, 100%, $E$13)</f>
        <v>5.2413999999999996</v>
      </c>
      <c r="K264" s="64">
        <f>5.2415 * CHOOSE(CONTROL!$C$22, $C$13, 100%, $E$13)</f>
        <v>5.2415000000000003</v>
      </c>
    </row>
    <row r="265" spans="1:11" ht="15">
      <c r="A265" s="13">
        <v>49706</v>
      </c>
      <c r="B265" s="63">
        <f>4.5673 * CHOOSE(CONTROL!$C$22, $C$13, 100%, $E$13)</f>
        <v>4.5673000000000004</v>
      </c>
      <c r="C265" s="63">
        <f>4.5673 * CHOOSE(CONTROL!$C$22, $C$13, 100%, $E$13)</f>
        <v>4.5673000000000004</v>
      </c>
      <c r="D265" s="63">
        <f>4.5847 * CHOOSE(CONTROL!$C$22, $C$13, 100%, $E$13)</f>
        <v>4.5846999999999998</v>
      </c>
      <c r="E265" s="64">
        <f>5.1819 * CHOOSE(CONTROL!$C$22, $C$13, 100%, $E$13)</f>
        <v>5.1818999999999997</v>
      </c>
      <c r="F265" s="64">
        <f>5.1819 * CHOOSE(CONTROL!$C$22, $C$13, 100%, $E$13)</f>
        <v>5.1818999999999997</v>
      </c>
      <c r="G265" s="64">
        <f>5.182 * CHOOSE(CONTROL!$C$22, $C$13, 100%, $E$13)</f>
        <v>5.1820000000000004</v>
      </c>
      <c r="H265" s="64">
        <f>9.4636* CHOOSE(CONTROL!$C$22, $C$13, 100%, $E$13)</f>
        <v>9.4635999999999996</v>
      </c>
      <c r="I265" s="64">
        <f>9.4638 * CHOOSE(CONTROL!$C$22, $C$13, 100%, $E$13)</f>
        <v>9.4638000000000009</v>
      </c>
      <c r="J265" s="64">
        <f>5.1819 * CHOOSE(CONTROL!$C$22, $C$13, 100%, $E$13)</f>
        <v>5.1818999999999997</v>
      </c>
      <c r="K265" s="64">
        <f>5.182 * CHOOSE(CONTROL!$C$22, $C$13, 100%, $E$13)</f>
        <v>5.1820000000000004</v>
      </c>
    </row>
    <row r="266" spans="1:11" ht="15">
      <c r="A266" s="13">
        <v>49735</v>
      </c>
      <c r="B266" s="63">
        <f>4.5643 * CHOOSE(CONTROL!$C$22, $C$13, 100%, $E$13)</f>
        <v>4.5643000000000002</v>
      </c>
      <c r="C266" s="63">
        <f>4.5643 * CHOOSE(CONTROL!$C$22, $C$13, 100%, $E$13)</f>
        <v>4.5643000000000002</v>
      </c>
      <c r="D266" s="63">
        <f>4.5816 * CHOOSE(CONTROL!$C$22, $C$13, 100%, $E$13)</f>
        <v>4.5815999999999999</v>
      </c>
      <c r="E266" s="64">
        <f>5.225 * CHOOSE(CONTROL!$C$22, $C$13, 100%, $E$13)</f>
        <v>5.2249999999999996</v>
      </c>
      <c r="F266" s="64">
        <f>5.225 * CHOOSE(CONTROL!$C$22, $C$13, 100%, $E$13)</f>
        <v>5.2249999999999996</v>
      </c>
      <c r="G266" s="64">
        <f>5.2251 * CHOOSE(CONTROL!$C$22, $C$13, 100%, $E$13)</f>
        <v>5.2251000000000003</v>
      </c>
      <c r="H266" s="64">
        <f>9.4834* CHOOSE(CONTROL!$C$22, $C$13, 100%, $E$13)</f>
        <v>9.4833999999999996</v>
      </c>
      <c r="I266" s="64">
        <f>9.4835 * CHOOSE(CONTROL!$C$22, $C$13, 100%, $E$13)</f>
        <v>9.4834999999999994</v>
      </c>
      <c r="J266" s="64">
        <f>5.225 * CHOOSE(CONTROL!$C$22, $C$13, 100%, $E$13)</f>
        <v>5.2249999999999996</v>
      </c>
      <c r="K266" s="64">
        <f>5.2251 * CHOOSE(CONTROL!$C$22, $C$13, 100%, $E$13)</f>
        <v>5.2251000000000003</v>
      </c>
    </row>
    <row r="267" spans="1:11" ht="15">
      <c r="A267" s="13">
        <v>49766</v>
      </c>
      <c r="B267" s="63">
        <f>4.5625 * CHOOSE(CONTROL!$C$22, $C$13, 100%, $E$13)</f>
        <v>4.5625</v>
      </c>
      <c r="C267" s="63">
        <f>4.5625 * CHOOSE(CONTROL!$C$22, $C$13, 100%, $E$13)</f>
        <v>4.5625</v>
      </c>
      <c r="D267" s="63">
        <f>4.5798 * CHOOSE(CONTROL!$C$22, $C$13, 100%, $E$13)</f>
        <v>4.5797999999999996</v>
      </c>
      <c r="E267" s="64">
        <f>5.2693 * CHOOSE(CONTROL!$C$22, $C$13, 100%, $E$13)</f>
        <v>5.2693000000000003</v>
      </c>
      <c r="F267" s="64">
        <f>5.2693 * CHOOSE(CONTROL!$C$22, $C$13, 100%, $E$13)</f>
        <v>5.2693000000000003</v>
      </c>
      <c r="G267" s="64">
        <f>5.2695 * CHOOSE(CONTROL!$C$22, $C$13, 100%, $E$13)</f>
        <v>5.2694999999999999</v>
      </c>
      <c r="H267" s="64">
        <f>9.5031* CHOOSE(CONTROL!$C$22, $C$13, 100%, $E$13)</f>
        <v>9.5030999999999999</v>
      </c>
      <c r="I267" s="64">
        <f>9.5033 * CHOOSE(CONTROL!$C$22, $C$13, 100%, $E$13)</f>
        <v>9.5032999999999994</v>
      </c>
      <c r="J267" s="64">
        <f>5.2693 * CHOOSE(CONTROL!$C$22, $C$13, 100%, $E$13)</f>
        <v>5.2693000000000003</v>
      </c>
      <c r="K267" s="64">
        <f>5.2695 * CHOOSE(CONTROL!$C$22, $C$13, 100%, $E$13)</f>
        <v>5.2694999999999999</v>
      </c>
    </row>
    <row r="268" spans="1:11" ht="15">
      <c r="A268" s="13">
        <v>49796</v>
      </c>
      <c r="B268" s="63">
        <f>4.5625 * CHOOSE(CONTROL!$C$22, $C$13, 100%, $E$13)</f>
        <v>4.5625</v>
      </c>
      <c r="C268" s="63">
        <f>4.5625 * CHOOSE(CONTROL!$C$22, $C$13, 100%, $E$13)</f>
        <v>4.5625</v>
      </c>
      <c r="D268" s="63">
        <f>4.5971 * CHOOSE(CONTROL!$C$22, $C$13, 100%, $E$13)</f>
        <v>4.5971000000000002</v>
      </c>
      <c r="E268" s="64">
        <f>5.2875 * CHOOSE(CONTROL!$C$22, $C$13, 100%, $E$13)</f>
        <v>5.2874999999999996</v>
      </c>
      <c r="F268" s="64">
        <f>5.2875 * CHOOSE(CONTROL!$C$22, $C$13, 100%, $E$13)</f>
        <v>5.2874999999999996</v>
      </c>
      <c r="G268" s="64">
        <f>5.2897 * CHOOSE(CONTROL!$C$22, $C$13, 100%, $E$13)</f>
        <v>5.2896999999999998</v>
      </c>
      <c r="H268" s="64">
        <f>9.5229* CHOOSE(CONTROL!$C$22, $C$13, 100%, $E$13)</f>
        <v>9.5228999999999999</v>
      </c>
      <c r="I268" s="64">
        <f>9.5251 * CHOOSE(CONTROL!$C$22, $C$13, 100%, $E$13)</f>
        <v>9.5251000000000001</v>
      </c>
      <c r="J268" s="64">
        <f>5.2875 * CHOOSE(CONTROL!$C$22, $C$13, 100%, $E$13)</f>
        <v>5.2874999999999996</v>
      </c>
      <c r="K268" s="64">
        <f>5.2897 * CHOOSE(CONTROL!$C$22, $C$13, 100%, $E$13)</f>
        <v>5.2896999999999998</v>
      </c>
    </row>
    <row r="269" spans="1:11" ht="15">
      <c r="A269" s="13">
        <v>49827</v>
      </c>
      <c r="B269" s="63">
        <f>4.5686 * CHOOSE(CONTROL!$C$22, $C$13, 100%, $E$13)</f>
        <v>4.5686</v>
      </c>
      <c r="C269" s="63">
        <f>4.5686 * CHOOSE(CONTROL!$C$22, $C$13, 100%, $E$13)</f>
        <v>4.5686</v>
      </c>
      <c r="D269" s="63">
        <f>4.6032 * CHOOSE(CONTROL!$C$22, $C$13, 100%, $E$13)</f>
        <v>4.6032000000000002</v>
      </c>
      <c r="E269" s="64">
        <f>5.2735 * CHOOSE(CONTROL!$C$22, $C$13, 100%, $E$13)</f>
        <v>5.2735000000000003</v>
      </c>
      <c r="F269" s="64">
        <f>5.2735 * CHOOSE(CONTROL!$C$22, $C$13, 100%, $E$13)</f>
        <v>5.2735000000000003</v>
      </c>
      <c r="G269" s="64">
        <f>5.2757 * CHOOSE(CONTROL!$C$22, $C$13, 100%, $E$13)</f>
        <v>5.2756999999999996</v>
      </c>
      <c r="H269" s="64">
        <f>9.5428* CHOOSE(CONTROL!$C$22, $C$13, 100%, $E$13)</f>
        <v>9.5427999999999997</v>
      </c>
      <c r="I269" s="64">
        <f>9.5449 * CHOOSE(CONTROL!$C$22, $C$13, 100%, $E$13)</f>
        <v>9.5449000000000002</v>
      </c>
      <c r="J269" s="64">
        <f>5.2735 * CHOOSE(CONTROL!$C$22, $C$13, 100%, $E$13)</f>
        <v>5.2735000000000003</v>
      </c>
      <c r="K269" s="64">
        <f>5.2757 * CHOOSE(CONTROL!$C$22, $C$13, 100%, $E$13)</f>
        <v>5.2756999999999996</v>
      </c>
    </row>
    <row r="270" spans="1:11" ht="15">
      <c r="A270" s="13">
        <v>49857</v>
      </c>
      <c r="B270" s="63">
        <f>4.6492 * CHOOSE(CONTROL!$C$22, $C$13, 100%, $E$13)</f>
        <v>4.6492000000000004</v>
      </c>
      <c r="C270" s="63">
        <f>4.6492 * CHOOSE(CONTROL!$C$22, $C$13, 100%, $E$13)</f>
        <v>4.6492000000000004</v>
      </c>
      <c r="D270" s="63">
        <f>4.6838 * CHOOSE(CONTROL!$C$22, $C$13, 100%, $E$13)</f>
        <v>4.6837999999999997</v>
      </c>
      <c r="E270" s="64">
        <f>5.3842 * CHOOSE(CONTROL!$C$22, $C$13, 100%, $E$13)</f>
        <v>5.3841999999999999</v>
      </c>
      <c r="F270" s="64">
        <f>5.3842 * CHOOSE(CONTROL!$C$22, $C$13, 100%, $E$13)</f>
        <v>5.3841999999999999</v>
      </c>
      <c r="G270" s="64">
        <f>5.3864 * CHOOSE(CONTROL!$C$22, $C$13, 100%, $E$13)</f>
        <v>5.3864000000000001</v>
      </c>
      <c r="H270" s="64">
        <f>9.5626* CHOOSE(CONTROL!$C$22, $C$13, 100%, $E$13)</f>
        <v>9.5625999999999998</v>
      </c>
      <c r="I270" s="64">
        <f>9.5648 * CHOOSE(CONTROL!$C$22, $C$13, 100%, $E$13)</f>
        <v>9.5648</v>
      </c>
      <c r="J270" s="64">
        <f>5.3842 * CHOOSE(CONTROL!$C$22, $C$13, 100%, $E$13)</f>
        <v>5.3841999999999999</v>
      </c>
      <c r="K270" s="64">
        <f>5.3864 * CHOOSE(CONTROL!$C$22, $C$13, 100%, $E$13)</f>
        <v>5.3864000000000001</v>
      </c>
    </row>
    <row r="271" spans="1:11" ht="15">
      <c r="A271" s="13">
        <v>49888</v>
      </c>
      <c r="B271" s="63">
        <f>4.6559 * CHOOSE(CONTROL!$C$22, $C$13, 100%, $E$13)</f>
        <v>4.6558999999999999</v>
      </c>
      <c r="C271" s="63">
        <f>4.6559 * CHOOSE(CONTROL!$C$22, $C$13, 100%, $E$13)</f>
        <v>4.6558999999999999</v>
      </c>
      <c r="D271" s="63">
        <f>4.6905 * CHOOSE(CONTROL!$C$22, $C$13, 100%, $E$13)</f>
        <v>4.6905000000000001</v>
      </c>
      <c r="E271" s="64">
        <f>5.3342 * CHOOSE(CONTROL!$C$22, $C$13, 100%, $E$13)</f>
        <v>5.3342000000000001</v>
      </c>
      <c r="F271" s="64">
        <f>5.3342 * CHOOSE(CONTROL!$C$22, $C$13, 100%, $E$13)</f>
        <v>5.3342000000000001</v>
      </c>
      <c r="G271" s="64">
        <f>5.3364 * CHOOSE(CONTROL!$C$22, $C$13, 100%, $E$13)</f>
        <v>5.3364000000000003</v>
      </c>
      <c r="H271" s="64">
        <f>9.5826* CHOOSE(CONTROL!$C$22, $C$13, 100%, $E$13)</f>
        <v>9.5825999999999993</v>
      </c>
      <c r="I271" s="64">
        <f>9.5847 * CHOOSE(CONTROL!$C$22, $C$13, 100%, $E$13)</f>
        <v>9.5846999999999998</v>
      </c>
      <c r="J271" s="64">
        <f>5.3342 * CHOOSE(CONTROL!$C$22, $C$13, 100%, $E$13)</f>
        <v>5.3342000000000001</v>
      </c>
      <c r="K271" s="64">
        <f>5.3364 * CHOOSE(CONTROL!$C$22, $C$13, 100%, $E$13)</f>
        <v>5.3364000000000003</v>
      </c>
    </row>
    <row r="272" spans="1:11" ht="15">
      <c r="A272" s="13">
        <v>49919</v>
      </c>
      <c r="B272" s="63">
        <f>4.6528 * CHOOSE(CONTROL!$C$22, $C$13, 100%, $E$13)</f>
        <v>4.6528</v>
      </c>
      <c r="C272" s="63">
        <f>4.6528 * CHOOSE(CONTROL!$C$22, $C$13, 100%, $E$13)</f>
        <v>4.6528</v>
      </c>
      <c r="D272" s="63">
        <f>4.6875 * CHOOSE(CONTROL!$C$22, $C$13, 100%, $E$13)</f>
        <v>4.6875</v>
      </c>
      <c r="E272" s="64">
        <f>5.326 * CHOOSE(CONTROL!$C$22, $C$13, 100%, $E$13)</f>
        <v>5.3259999999999996</v>
      </c>
      <c r="F272" s="64">
        <f>5.326 * CHOOSE(CONTROL!$C$22, $C$13, 100%, $E$13)</f>
        <v>5.3259999999999996</v>
      </c>
      <c r="G272" s="64">
        <f>5.3282 * CHOOSE(CONTROL!$C$22, $C$13, 100%, $E$13)</f>
        <v>5.3281999999999998</v>
      </c>
      <c r="H272" s="64">
        <f>9.6025* CHOOSE(CONTROL!$C$22, $C$13, 100%, $E$13)</f>
        <v>9.6024999999999991</v>
      </c>
      <c r="I272" s="64">
        <f>9.6047 * CHOOSE(CONTROL!$C$22, $C$13, 100%, $E$13)</f>
        <v>9.6046999999999993</v>
      </c>
      <c r="J272" s="64">
        <f>5.326 * CHOOSE(CONTROL!$C$22, $C$13, 100%, $E$13)</f>
        <v>5.3259999999999996</v>
      </c>
      <c r="K272" s="64">
        <f>5.3282 * CHOOSE(CONTROL!$C$22, $C$13, 100%, $E$13)</f>
        <v>5.3281999999999998</v>
      </c>
    </row>
    <row r="273" spans="1:11" ht="15">
      <c r="A273" s="13">
        <v>49949</v>
      </c>
      <c r="B273" s="63">
        <f>4.6503 * CHOOSE(CONTROL!$C$22, $C$13, 100%, $E$13)</f>
        <v>4.6502999999999997</v>
      </c>
      <c r="C273" s="63">
        <f>4.6503 * CHOOSE(CONTROL!$C$22, $C$13, 100%, $E$13)</f>
        <v>4.6502999999999997</v>
      </c>
      <c r="D273" s="63">
        <f>4.6676 * CHOOSE(CONTROL!$C$22, $C$13, 100%, $E$13)</f>
        <v>4.6676000000000002</v>
      </c>
      <c r="E273" s="64">
        <f>5.3369 * CHOOSE(CONTROL!$C$22, $C$13, 100%, $E$13)</f>
        <v>5.3369</v>
      </c>
      <c r="F273" s="64">
        <f>5.3369 * CHOOSE(CONTROL!$C$22, $C$13, 100%, $E$13)</f>
        <v>5.3369</v>
      </c>
      <c r="G273" s="64">
        <f>5.3371 * CHOOSE(CONTROL!$C$22, $C$13, 100%, $E$13)</f>
        <v>5.3371000000000004</v>
      </c>
      <c r="H273" s="64">
        <f>9.6225* CHOOSE(CONTROL!$C$22, $C$13, 100%, $E$13)</f>
        <v>9.6225000000000005</v>
      </c>
      <c r="I273" s="64">
        <f>9.6227 * CHOOSE(CONTROL!$C$22, $C$13, 100%, $E$13)</f>
        <v>9.6227</v>
      </c>
      <c r="J273" s="64">
        <f>5.3369 * CHOOSE(CONTROL!$C$22, $C$13, 100%, $E$13)</f>
        <v>5.3369</v>
      </c>
      <c r="K273" s="64">
        <f>5.3371 * CHOOSE(CONTROL!$C$22, $C$13, 100%, $E$13)</f>
        <v>5.3371000000000004</v>
      </c>
    </row>
    <row r="274" spans="1:11" ht="15">
      <c r="A274" s="13">
        <v>49980</v>
      </c>
      <c r="B274" s="63">
        <f>4.6533 * CHOOSE(CONTROL!$C$22, $C$13, 100%, $E$13)</f>
        <v>4.6532999999999998</v>
      </c>
      <c r="C274" s="63">
        <f>4.6533 * CHOOSE(CONTROL!$C$22, $C$13, 100%, $E$13)</f>
        <v>4.6532999999999998</v>
      </c>
      <c r="D274" s="63">
        <f>4.6707 * CHOOSE(CONTROL!$C$22, $C$13, 100%, $E$13)</f>
        <v>4.6707000000000001</v>
      </c>
      <c r="E274" s="64">
        <f>5.3512 * CHOOSE(CONTROL!$C$22, $C$13, 100%, $E$13)</f>
        <v>5.3512000000000004</v>
      </c>
      <c r="F274" s="64">
        <f>5.3512 * CHOOSE(CONTROL!$C$22, $C$13, 100%, $E$13)</f>
        <v>5.3512000000000004</v>
      </c>
      <c r="G274" s="64">
        <f>5.3513 * CHOOSE(CONTROL!$C$22, $C$13, 100%, $E$13)</f>
        <v>5.3513000000000002</v>
      </c>
      <c r="H274" s="64">
        <f>9.6426* CHOOSE(CONTROL!$C$22, $C$13, 100%, $E$13)</f>
        <v>9.6425999999999998</v>
      </c>
      <c r="I274" s="64">
        <f>9.6428 * CHOOSE(CONTROL!$C$22, $C$13, 100%, $E$13)</f>
        <v>9.6427999999999994</v>
      </c>
      <c r="J274" s="64">
        <f>5.3512 * CHOOSE(CONTROL!$C$22, $C$13, 100%, $E$13)</f>
        <v>5.3512000000000004</v>
      </c>
      <c r="K274" s="64">
        <f>5.3513 * CHOOSE(CONTROL!$C$22, $C$13, 100%, $E$13)</f>
        <v>5.3513000000000002</v>
      </c>
    </row>
    <row r="275" spans="1:11" ht="15">
      <c r="A275" s="13">
        <v>50010</v>
      </c>
      <c r="B275" s="63">
        <f>4.6533 * CHOOSE(CONTROL!$C$22, $C$13, 100%, $E$13)</f>
        <v>4.6532999999999998</v>
      </c>
      <c r="C275" s="63">
        <f>4.6533 * CHOOSE(CONTROL!$C$22, $C$13, 100%, $E$13)</f>
        <v>4.6532999999999998</v>
      </c>
      <c r="D275" s="63">
        <f>4.6707 * CHOOSE(CONTROL!$C$22, $C$13, 100%, $E$13)</f>
        <v>4.6707000000000001</v>
      </c>
      <c r="E275" s="64">
        <f>5.3208 * CHOOSE(CONTROL!$C$22, $C$13, 100%, $E$13)</f>
        <v>5.3208000000000002</v>
      </c>
      <c r="F275" s="64">
        <f>5.3208 * CHOOSE(CONTROL!$C$22, $C$13, 100%, $E$13)</f>
        <v>5.3208000000000002</v>
      </c>
      <c r="G275" s="64">
        <f>5.321 * CHOOSE(CONTROL!$C$22, $C$13, 100%, $E$13)</f>
        <v>5.3209999999999997</v>
      </c>
      <c r="H275" s="64">
        <f>9.6627* CHOOSE(CONTROL!$C$22, $C$13, 100%, $E$13)</f>
        <v>9.6626999999999992</v>
      </c>
      <c r="I275" s="64">
        <f>9.6628 * CHOOSE(CONTROL!$C$22, $C$13, 100%, $E$13)</f>
        <v>9.6628000000000007</v>
      </c>
      <c r="J275" s="64">
        <f>5.3208 * CHOOSE(CONTROL!$C$22, $C$13, 100%, $E$13)</f>
        <v>5.3208000000000002</v>
      </c>
      <c r="K275" s="64">
        <f>5.321 * CHOOSE(CONTROL!$C$22, $C$13, 100%, $E$13)</f>
        <v>5.3209999999999997</v>
      </c>
    </row>
    <row r="276" spans="1:11" ht="15">
      <c r="A276" s="13">
        <v>50041</v>
      </c>
      <c r="B276" s="63">
        <f>4.6966 * CHOOSE(CONTROL!$C$22, $C$13, 100%, $E$13)</f>
        <v>4.6966000000000001</v>
      </c>
      <c r="C276" s="63">
        <f>4.6966 * CHOOSE(CONTROL!$C$22, $C$13, 100%, $E$13)</f>
        <v>4.6966000000000001</v>
      </c>
      <c r="D276" s="63">
        <f>4.7139 * CHOOSE(CONTROL!$C$22, $C$13, 100%, $E$13)</f>
        <v>4.7138999999999998</v>
      </c>
      <c r="E276" s="64">
        <f>5.3901 * CHOOSE(CONTROL!$C$22, $C$13, 100%, $E$13)</f>
        <v>5.3901000000000003</v>
      </c>
      <c r="F276" s="64">
        <f>5.3901 * CHOOSE(CONTROL!$C$22, $C$13, 100%, $E$13)</f>
        <v>5.3901000000000003</v>
      </c>
      <c r="G276" s="64">
        <f>5.3903 * CHOOSE(CONTROL!$C$22, $C$13, 100%, $E$13)</f>
        <v>5.3902999999999999</v>
      </c>
      <c r="H276" s="64">
        <f>9.6828* CHOOSE(CONTROL!$C$22, $C$13, 100%, $E$13)</f>
        <v>9.6828000000000003</v>
      </c>
      <c r="I276" s="64">
        <f>9.683 * CHOOSE(CONTROL!$C$22, $C$13, 100%, $E$13)</f>
        <v>9.6829999999999998</v>
      </c>
      <c r="J276" s="64">
        <f>5.3901 * CHOOSE(CONTROL!$C$22, $C$13, 100%, $E$13)</f>
        <v>5.3901000000000003</v>
      </c>
      <c r="K276" s="64">
        <f>5.3903 * CHOOSE(CONTROL!$C$22, $C$13, 100%, $E$13)</f>
        <v>5.3902999999999999</v>
      </c>
    </row>
    <row r="277" spans="1:11" ht="15">
      <c r="A277" s="13">
        <v>50072</v>
      </c>
      <c r="B277" s="63">
        <f>4.6936 * CHOOSE(CONTROL!$C$22, $C$13, 100%, $E$13)</f>
        <v>4.6936</v>
      </c>
      <c r="C277" s="63">
        <f>4.6936 * CHOOSE(CONTROL!$C$22, $C$13, 100%, $E$13)</f>
        <v>4.6936</v>
      </c>
      <c r="D277" s="63">
        <f>4.7109 * CHOOSE(CONTROL!$C$22, $C$13, 100%, $E$13)</f>
        <v>4.7108999999999996</v>
      </c>
      <c r="E277" s="64">
        <f>5.3291 * CHOOSE(CONTROL!$C$22, $C$13, 100%, $E$13)</f>
        <v>5.3291000000000004</v>
      </c>
      <c r="F277" s="64">
        <f>5.3291 * CHOOSE(CONTROL!$C$22, $C$13, 100%, $E$13)</f>
        <v>5.3291000000000004</v>
      </c>
      <c r="G277" s="64">
        <f>5.3293 * CHOOSE(CONTROL!$C$22, $C$13, 100%, $E$13)</f>
        <v>5.3292999999999999</v>
      </c>
      <c r="H277" s="64">
        <f>9.703* CHOOSE(CONTROL!$C$22, $C$13, 100%, $E$13)</f>
        <v>9.7029999999999994</v>
      </c>
      <c r="I277" s="64">
        <f>9.7031 * CHOOSE(CONTROL!$C$22, $C$13, 100%, $E$13)</f>
        <v>9.7030999999999992</v>
      </c>
      <c r="J277" s="64">
        <f>5.3291 * CHOOSE(CONTROL!$C$22, $C$13, 100%, $E$13)</f>
        <v>5.3291000000000004</v>
      </c>
      <c r="K277" s="64">
        <f>5.3293 * CHOOSE(CONTROL!$C$22, $C$13, 100%, $E$13)</f>
        <v>5.3292999999999999</v>
      </c>
    </row>
    <row r="278" spans="1:11" ht="15">
      <c r="A278" s="13">
        <v>50100</v>
      </c>
      <c r="B278" s="63">
        <f>4.6905 * CHOOSE(CONTROL!$C$22, $C$13, 100%, $E$13)</f>
        <v>4.6905000000000001</v>
      </c>
      <c r="C278" s="63">
        <f>4.6905 * CHOOSE(CONTROL!$C$22, $C$13, 100%, $E$13)</f>
        <v>4.6905000000000001</v>
      </c>
      <c r="D278" s="63">
        <f>4.7079 * CHOOSE(CONTROL!$C$22, $C$13, 100%, $E$13)</f>
        <v>4.7079000000000004</v>
      </c>
      <c r="E278" s="64">
        <f>5.3734 * CHOOSE(CONTROL!$C$22, $C$13, 100%, $E$13)</f>
        <v>5.3734000000000002</v>
      </c>
      <c r="F278" s="64">
        <f>5.3734 * CHOOSE(CONTROL!$C$22, $C$13, 100%, $E$13)</f>
        <v>5.3734000000000002</v>
      </c>
      <c r="G278" s="64">
        <f>5.3736 * CHOOSE(CONTROL!$C$22, $C$13, 100%, $E$13)</f>
        <v>5.3735999999999997</v>
      </c>
      <c r="H278" s="64">
        <f>9.7232* CHOOSE(CONTROL!$C$22, $C$13, 100%, $E$13)</f>
        <v>9.7232000000000003</v>
      </c>
      <c r="I278" s="64">
        <f>9.7234 * CHOOSE(CONTROL!$C$22, $C$13, 100%, $E$13)</f>
        <v>9.7233999999999998</v>
      </c>
      <c r="J278" s="64">
        <f>5.3734 * CHOOSE(CONTROL!$C$22, $C$13, 100%, $E$13)</f>
        <v>5.3734000000000002</v>
      </c>
      <c r="K278" s="64">
        <f>5.3736 * CHOOSE(CONTROL!$C$22, $C$13, 100%, $E$13)</f>
        <v>5.3735999999999997</v>
      </c>
    </row>
    <row r="279" spans="1:11" ht="15">
      <c r="A279" s="13">
        <v>50131</v>
      </c>
      <c r="B279" s="63">
        <f>4.6888 * CHOOSE(CONTROL!$C$22, $C$13, 100%, $E$13)</f>
        <v>4.6887999999999996</v>
      </c>
      <c r="C279" s="63">
        <f>4.6888 * CHOOSE(CONTROL!$C$22, $C$13, 100%, $E$13)</f>
        <v>4.6887999999999996</v>
      </c>
      <c r="D279" s="63">
        <f>4.7062 * CHOOSE(CONTROL!$C$22, $C$13, 100%, $E$13)</f>
        <v>4.7061999999999999</v>
      </c>
      <c r="E279" s="64">
        <f>5.4191 * CHOOSE(CONTROL!$C$22, $C$13, 100%, $E$13)</f>
        <v>5.4191000000000003</v>
      </c>
      <c r="F279" s="64">
        <f>5.4191 * CHOOSE(CONTROL!$C$22, $C$13, 100%, $E$13)</f>
        <v>5.4191000000000003</v>
      </c>
      <c r="G279" s="64">
        <f>5.4192 * CHOOSE(CONTROL!$C$22, $C$13, 100%, $E$13)</f>
        <v>5.4192</v>
      </c>
      <c r="H279" s="64">
        <f>9.7434* CHOOSE(CONTROL!$C$22, $C$13, 100%, $E$13)</f>
        <v>9.7433999999999994</v>
      </c>
      <c r="I279" s="64">
        <f>9.7436 * CHOOSE(CONTROL!$C$22, $C$13, 100%, $E$13)</f>
        <v>9.7436000000000007</v>
      </c>
      <c r="J279" s="64">
        <f>5.4191 * CHOOSE(CONTROL!$C$22, $C$13, 100%, $E$13)</f>
        <v>5.4191000000000003</v>
      </c>
      <c r="K279" s="64">
        <f>5.4192 * CHOOSE(CONTROL!$C$22, $C$13, 100%, $E$13)</f>
        <v>5.4192</v>
      </c>
    </row>
    <row r="280" spans="1:11" ht="15">
      <c r="A280" s="13">
        <v>50161</v>
      </c>
      <c r="B280" s="63">
        <f>4.6888 * CHOOSE(CONTROL!$C$22, $C$13, 100%, $E$13)</f>
        <v>4.6887999999999996</v>
      </c>
      <c r="C280" s="63">
        <f>4.6888 * CHOOSE(CONTROL!$C$22, $C$13, 100%, $E$13)</f>
        <v>4.6887999999999996</v>
      </c>
      <c r="D280" s="63">
        <f>4.7235 * CHOOSE(CONTROL!$C$22, $C$13, 100%, $E$13)</f>
        <v>4.7234999999999996</v>
      </c>
      <c r="E280" s="64">
        <f>5.4378 * CHOOSE(CONTROL!$C$22, $C$13, 100%, $E$13)</f>
        <v>5.4378000000000002</v>
      </c>
      <c r="F280" s="64">
        <f>5.4378 * CHOOSE(CONTROL!$C$22, $C$13, 100%, $E$13)</f>
        <v>5.4378000000000002</v>
      </c>
      <c r="G280" s="64">
        <f>5.4399 * CHOOSE(CONTROL!$C$22, $C$13, 100%, $E$13)</f>
        <v>5.4398999999999997</v>
      </c>
      <c r="H280" s="64">
        <f>9.7637* CHOOSE(CONTROL!$C$22, $C$13, 100%, $E$13)</f>
        <v>9.7637</v>
      </c>
      <c r="I280" s="64">
        <f>9.7659 * CHOOSE(CONTROL!$C$22, $C$13, 100%, $E$13)</f>
        <v>9.7659000000000002</v>
      </c>
      <c r="J280" s="64">
        <f>5.4378 * CHOOSE(CONTROL!$C$22, $C$13, 100%, $E$13)</f>
        <v>5.4378000000000002</v>
      </c>
      <c r="K280" s="64">
        <f>5.4399 * CHOOSE(CONTROL!$C$22, $C$13, 100%, $E$13)</f>
        <v>5.4398999999999997</v>
      </c>
    </row>
    <row r="281" spans="1:11" ht="15">
      <c r="A281" s="13">
        <v>50192</v>
      </c>
      <c r="B281" s="63">
        <f>4.6949 * CHOOSE(CONTROL!$C$22, $C$13, 100%, $E$13)</f>
        <v>4.6948999999999996</v>
      </c>
      <c r="C281" s="63">
        <f>4.6949 * CHOOSE(CONTROL!$C$22, $C$13, 100%, $E$13)</f>
        <v>4.6948999999999996</v>
      </c>
      <c r="D281" s="63">
        <f>4.7296 * CHOOSE(CONTROL!$C$22, $C$13, 100%, $E$13)</f>
        <v>4.7295999999999996</v>
      </c>
      <c r="E281" s="64">
        <f>5.4233 * CHOOSE(CONTROL!$C$22, $C$13, 100%, $E$13)</f>
        <v>5.4233000000000002</v>
      </c>
      <c r="F281" s="64">
        <f>5.4233 * CHOOSE(CONTROL!$C$22, $C$13, 100%, $E$13)</f>
        <v>5.4233000000000002</v>
      </c>
      <c r="G281" s="64">
        <f>5.4254 * CHOOSE(CONTROL!$C$22, $C$13, 100%, $E$13)</f>
        <v>5.4253999999999998</v>
      </c>
      <c r="H281" s="64">
        <f>9.7841* CHOOSE(CONTROL!$C$22, $C$13, 100%, $E$13)</f>
        <v>9.7841000000000005</v>
      </c>
      <c r="I281" s="64">
        <f>9.7862 * CHOOSE(CONTROL!$C$22, $C$13, 100%, $E$13)</f>
        <v>9.7861999999999991</v>
      </c>
      <c r="J281" s="64">
        <f>5.4233 * CHOOSE(CONTROL!$C$22, $C$13, 100%, $E$13)</f>
        <v>5.4233000000000002</v>
      </c>
      <c r="K281" s="64">
        <f>5.4254 * CHOOSE(CONTROL!$C$22, $C$13, 100%, $E$13)</f>
        <v>5.4253999999999998</v>
      </c>
    </row>
    <row r="282" spans="1:11" ht="15">
      <c r="A282" s="13">
        <v>50222</v>
      </c>
      <c r="B282" s="63">
        <f>4.7758 * CHOOSE(CONTROL!$C$22, $C$13, 100%, $E$13)</f>
        <v>4.7758000000000003</v>
      </c>
      <c r="C282" s="63">
        <f>4.7758 * CHOOSE(CONTROL!$C$22, $C$13, 100%, $E$13)</f>
        <v>4.7758000000000003</v>
      </c>
      <c r="D282" s="63">
        <f>4.8104 * CHOOSE(CONTROL!$C$22, $C$13, 100%, $E$13)</f>
        <v>4.8103999999999996</v>
      </c>
      <c r="E282" s="64">
        <f>5.5312 * CHOOSE(CONTROL!$C$22, $C$13, 100%, $E$13)</f>
        <v>5.5312000000000001</v>
      </c>
      <c r="F282" s="64">
        <f>5.5312 * CHOOSE(CONTROL!$C$22, $C$13, 100%, $E$13)</f>
        <v>5.5312000000000001</v>
      </c>
      <c r="G282" s="64">
        <f>5.5333 * CHOOSE(CONTROL!$C$22, $C$13, 100%, $E$13)</f>
        <v>5.5332999999999997</v>
      </c>
      <c r="H282" s="64">
        <f>9.8045* CHOOSE(CONTROL!$C$22, $C$13, 100%, $E$13)</f>
        <v>9.8045000000000009</v>
      </c>
      <c r="I282" s="64">
        <f>9.8066 * CHOOSE(CONTROL!$C$22, $C$13, 100%, $E$13)</f>
        <v>9.8065999999999995</v>
      </c>
      <c r="J282" s="64">
        <f>5.5312 * CHOOSE(CONTROL!$C$22, $C$13, 100%, $E$13)</f>
        <v>5.5312000000000001</v>
      </c>
      <c r="K282" s="64">
        <f>5.5333 * CHOOSE(CONTROL!$C$22, $C$13, 100%, $E$13)</f>
        <v>5.5332999999999997</v>
      </c>
    </row>
    <row r="283" spans="1:11" ht="15">
      <c r="A283" s="13">
        <v>50253</v>
      </c>
      <c r="B283" s="63">
        <f>4.7825 * CHOOSE(CONTROL!$C$22, $C$13, 100%, $E$13)</f>
        <v>4.7824999999999998</v>
      </c>
      <c r="C283" s="63">
        <f>4.7825 * CHOOSE(CONTROL!$C$22, $C$13, 100%, $E$13)</f>
        <v>4.7824999999999998</v>
      </c>
      <c r="D283" s="63">
        <f>4.8171 * CHOOSE(CONTROL!$C$22, $C$13, 100%, $E$13)</f>
        <v>4.8170999999999999</v>
      </c>
      <c r="E283" s="64">
        <f>5.4797 * CHOOSE(CONTROL!$C$22, $C$13, 100%, $E$13)</f>
        <v>5.4797000000000002</v>
      </c>
      <c r="F283" s="64">
        <f>5.4797 * CHOOSE(CONTROL!$C$22, $C$13, 100%, $E$13)</f>
        <v>5.4797000000000002</v>
      </c>
      <c r="G283" s="64">
        <f>5.4819 * CHOOSE(CONTROL!$C$22, $C$13, 100%, $E$13)</f>
        <v>5.4819000000000004</v>
      </c>
      <c r="H283" s="64">
        <f>9.8249* CHOOSE(CONTROL!$C$22, $C$13, 100%, $E$13)</f>
        <v>9.8248999999999995</v>
      </c>
      <c r="I283" s="64">
        <f>9.827 * CHOOSE(CONTROL!$C$22, $C$13, 100%, $E$13)</f>
        <v>9.827</v>
      </c>
      <c r="J283" s="64">
        <f>5.4797 * CHOOSE(CONTROL!$C$22, $C$13, 100%, $E$13)</f>
        <v>5.4797000000000002</v>
      </c>
      <c r="K283" s="64">
        <f>5.4819 * CHOOSE(CONTROL!$C$22, $C$13, 100%, $E$13)</f>
        <v>5.4819000000000004</v>
      </c>
    </row>
    <row r="284" spans="1:11" ht="15">
      <c r="A284" s="13">
        <v>50284</v>
      </c>
      <c r="B284" s="63">
        <f>4.7794 * CHOOSE(CONTROL!$C$22, $C$13, 100%, $E$13)</f>
        <v>4.7793999999999999</v>
      </c>
      <c r="C284" s="63">
        <f>4.7794 * CHOOSE(CONTROL!$C$22, $C$13, 100%, $E$13)</f>
        <v>4.7793999999999999</v>
      </c>
      <c r="D284" s="63">
        <f>4.8141 * CHOOSE(CONTROL!$C$22, $C$13, 100%, $E$13)</f>
        <v>4.8140999999999998</v>
      </c>
      <c r="E284" s="64">
        <f>5.4714 * CHOOSE(CONTROL!$C$22, $C$13, 100%, $E$13)</f>
        <v>5.4714</v>
      </c>
      <c r="F284" s="64">
        <f>5.4714 * CHOOSE(CONTROL!$C$22, $C$13, 100%, $E$13)</f>
        <v>5.4714</v>
      </c>
      <c r="G284" s="64">
        <f>5.4735 * CHOOSE(CONTROL!$C$22, $C$13, 100%, $E$13)</f>
        <v>5.4734999999999996</v>
      </c>
      <c r="H284" s="64">
        <f>9.8454* CHOOSE(CONTROL!$C$22, $C$13, 100%, $E$13)</f>
        <v>9.8453999999999997</v>
      </c>
      <c r="I284" s="64">
        <f>9.8475 * CHOOSE(CONTROL!$C$22, $C$13, 100%, $E$13)</f>
        <v>9.8475000000000001</v>
      </c>
      <c r="J284" s="64">
        <f>5.4714 * CHOOSE(CONTROL!$C$22, $C$13, 100%, $E$13)</f>
        <v>5.4714</v>
      </c>
      <c r="K284" s="64">
        <f>5.4735 * CHOOSE(CONTROL!$C$22, $C$13, 100%, $E$13)</f>
        <v>5.4734999999999996</v>
      </c>
    </row>
    <row r="285" spans="1:11" ht="15">
      <c r="A285" s="13">
        <v>50314</v>
      </c>
      <c r="B285" s="63">
        <f>4.7773 * CHOOSE(CONTROL!$C$22, $C$13, 100%, $E$13)</f>
        <v>4.7773000000000003</v>
      </c>
      <c r="C285" s="63">
        <f>4.7773 * CHOOSE(CONTROL!$C$22, $C$13, 100%, $E$13)</f>
        <v>4.7773000000000003</v>
      </c>
      <c r="D285" s="63">
        <f>4.7946 * CHOOSE(CONTROL!$C$22, $C$13, 100%, $E$13)</f>
        <v>4.7946</v>
      </c>
      <c r="E285" s="64">
        <f>5.4829 * CHOOSE(CONTROL!$C$22, $C$13, 100%, $E$13)</f>
        <v>5.4828999999999999</v>
      </c>
      <c r="F285" s="64">
        <f>5.4829 * CHOOSE(CONTROL!$C$22, $C$13, 100%, $E$13)</f>
        <v>5.4828999999999999</v>
      </c>
      <c r="G285" s="64">
        <f>5.4831 * CHOOSE(CONTROL!$C$22, $C$13, 100%, $E$13)</f>
        <v>5.4831000000000003</v>
      </c>
      <c r="H285" s="64">
        <f>9.8659* CHOOSE(CONTROL!$C$22, $C$13, 100%, $E$13)</f>
        <v>9.8658999999999999</v>
      </c>
      <c r="I285" s="64">
        <f>9.866 * CHOOSE(CONTROL!$C$22, $C$13, 100%, $E$13)</f>
        <v>9.8659999999999997</v>
      </c>
      <c r="J285" s="64">
        <f>5.4829 * CHOOSE(CONTROL!$C$22, $C$13, 100%, $E$13)</f>
        <v>5.4828999999999999</v>
      </c>
      <c r="K285" s="64">
        <f>5.4831 * CHOOSE(CONTROL!$C$22, $C$13, 100%, $E$13)</f>
        <v>5.4831000000000003</v>
      </c>
    </row>
    <row r="286" spans="1:11" ht="15">
      <c r="A286" s="13">
        <v>50345</v>
      </c>
      <c r="B286" s="63">
        <f>4.7804 * CHOOSE(CONTROL!$C$22, $C$13, 100%, $E$13)</f>
        <v>4.7804000000000002</v>
      </c>
      <c r="C286" s="63">
        <f>4.7804 * CHOOSE(CONTROL!$C$22, $C$13, 100%, $E$13)</f>
        <v>4.7804000000000002</v>
      </c>
      <c r="D286" s="63">
        <f>4.7977 * CHOOSE(CONTROL!$C$22, $C$13, 100%, $E$13)</f>
        <v>4.7976999999999999</v>
      </c>
      <c r="E286" s="64">
        <f>5.4975 * CHOOSE(CONTROL!$C$22, $C$13, 100%, $E$13)</f>
        <v>5.4974999999999996</v>
      </c>
      <c r="F286" s="64">
        <f>5.4975 * CHOOSE(CONTROL!$C$22, $C$13, 100%, $E$13)</f>
        <v>5.4974999999999996</v>
      </c>
      <c r="G286" s="64">
        <f>5.4977 * CHOOSE(CONTROL!$C$22, $C$13, 100%, $E$13)</f>
        <v>5.4977</v>
      </c>
      <c r="H286" s="64">
        <f>9.8864* CHOOSE(CONTROL!$C$22, $C$13, 100%, $E$13)</f>
        <v>9.8864000000000001</v>
      </c>
      <c r="I286" s="64">
        <f>9.8866 * CHOOSE(CONTROL!$C$22, $C$13, 100%, $E$13)</f>
        <v>9.8865999999999996</v>
      </c>
      <c r="J286" s="64">
        <f>5.4975 * CHOOSE(CONTROL!$C$22, $C$13, 100%, $E$13)</f>
        <v>5.4974999999999996</v>
      </c>
      <c r="K286" s="64">
        <f>5.4977 * CHOOSE(CONTROL!$C$22, $C$13, 100%, $E$13)</f>
        <v>5.4977</v>
      </c>
    </row>
    <row r="287" spans="1:11" ht="15">
      <c r="A287" s="13">
        <v>50375</v>
      </c>
      <c r="B287" s="63">
        <f>4.7804 * CHOOSE(CONTROL!$C$22, $C$13, 100%, $E$13)</f>
        <v>4.7804000000000002</v>
      </c>
      <c r="C287" s="63">
        <f>4.7804 * CHOOSE(CONTROL!$C$22, $C$13, 100%, $E$13)</f>
        <v>4.7804000000000002</v>
      </c>
      <c r="D287" s="63">
        <f>4.7977 * CHOOSE(CONTROL!$C$22, $C$13, 100%, $E$13)</f>
        <v>4.7976999999999999</v>
      </c>
      <c r="E287" s="64">
        <f>5.4663 * CHOOSE(CONTROL!$C$22, $C$13, 100%, $E$13)</f>
        <v>5.4663000000000004</v>
      </c>
      <c r="F287" s="64">
        <f>5.4663 * CHOOSE(CONTROL!$C$22, $C$13, 100%, $E$13)</f>
        <v>5.4663000000000004</v>
      </c>
      <c r="G287" s="64">
        <f>5.4665 * CHOOSE(CONTROL!$C$22, $C$13, 100%, $E$13)</f>
        <v>5.4664999999999999</v>
      </c>
      <c r="H287" s="64">
        <f>9.907* CHOOSE(CONTROL!$C$22, $C$13, 100%, $E$13)</f>
        <v>9.907</v>
      </c>
      <c r="I287" s="64">
        <f>9.9072 * CHOOSE(CONTROL!$C$22, $C$13, 100%, $E$13)</f>
        <v>9.9071999999999996</v>
      </c>
      <c r="J287" s="64">
        <f>5.4663 * CHOOSE(CONTROL!$C$22, $C$13, 100%, $E$13)</f>
        <v>5.4663000000000004</v>
      </c>
      <c r="K287" s="64">
        <f>5.4665 * CHOOSE(CONTROL!$C$22, $C$13, 100%, $E$13)</f>
        <v>5.4664999999999999</v>
      </c>
    </row>
    <row r="288" spans="1:11" ht="15">
      <c r="A288" s="13">
        <v>50406</v>
      </c>
      <c r="B288" s="63">
        <f>4.8249 * CHOOSE(CONTROL!$C$22, $C$13, 100%, $E$13)</f>
        <v>4.8249000000000004</v>
      </c>
      <c r="C288" s="63">
        <f>4.8249 * CHOOSE(CONTROL!$C$22, $C$13, 100%, $E$13)</f>
        <v>4.8249000000000004</v>
      </c>
      <c r="D288" s="63">
        <f>4.8422 * CHOOSE(CONTROL!$C$22, $C$13, 100%, $E$13)</f>
        <v>4.8422000000000001</v>
      </c>
      <c r="E288" s="64">
        <f>5.5383 * CHOOSE(CONTROL!$C$22, $C$13, 100%, $E$13)</f>
        <v>5.5382999999999996</v>
      </c>
      <c r="F288" s="64">
        <f>5.5383 * CHOOSE(CONTROL!$C$22, $C$13, 100%, $E$13)</f>
        <v>5.5382999999999996</v>
      </c>
      <c r="G288" s="64">
        <f>5.5385 * CHOOSE(CONTROL!$C$22, $C$13, 100%, $E$13)</f>
        <v>5.5385</v>
      </c>
      <c r="H288" s="64">
        <f>9.9277* CHOOSE(CONTROL!$C$22, $C$13, 100%, $E$13)</f>
        <v>9.9276999999999997</v>
      </c>
      <c r="I288" s="64">
        <f>9.9278 * CHOOSE(CONTROL!$C$22, $C$13, 100%, $E$13)</f>
        <v>9.9277999999999995</v>
      </c>
      <c r="J288" s="64">
        <f>5.5383 * CHOOSE(CONTROL!$C$22, $C$13, 100%, $E$13)</f>
        <v>5.5382999999999996</v>
      </c>
      <c r="K288" s="64">
        <f>5.5385 * CHOOSE(CONTROL!$C$22, $C$13, 100%, $E$13)</f>
        <v>5.5385</v>
      </c>
    </row>
    <row r="289" spans="1:11" ht="15">
      <c r="A289" s="13">
        <v>50437</v>
      </c>
      <c r="B289" s="63">
        <f>4.8219 * CHOOSE(CONTROL!$C$22, $C$13, 100%, $E$13)</f>
        <v>4.8219000000000003</v>
      </c>
      <c r="C289" s="63">
        <f>4.8219 * CHOOSE(CONTROL!$C$22, $C$13, 100%, $E$13)</f>
        <v>4.8219000000000003</v>
      </c>
      <c r="D289" s="63">
        <f>4.8392 * CHOOSE(CONTROL!$C$22, $C$13, 100%, $E$13)</f>
        <v>4.8391999999999999</v>
      </c>
      <c r="E289" s="64">
        <f>5.4757 * CHOOSE(CONTROL!$C$22, $C$13, 100%, $E$13)</f>
        <v>5.4756999999999998</v>
      </c>
      <c r="F289" s="64">
        <f>5.4757 * CHOOSE(CONTROL!$C$22, $C$13, 100%, $E$13)</f>
        <v>5.4756999999999998</v>
      </c>
      <c r="G289" s="64">
        <f>5.4759 * CHOOSE(CONTROL!$C$22, $C$13, 100%, $E$13)</f>
        <v>5.4759000000000002</v>
      </c>
      <c r="H289" s="64">
        <f>9.9483* CHOOSE(CONTROL!$C$22, $C$13, 100%, $E$13)</f>
        <v>9.9482999999999997</v>
      </c>
      <c r="I289" s="64">
        <f>9.9485 * CHOOSE(CONTROL!$C$22, $C$13, 100%, $E$13)</f>
        <v>9.9484999999999992</v>
      </c>
      <c r="J289" s="64">
        <f>5.4757 * CHOOSE(CONTROL!$C$22, $C$13, 100%, $E$13)</f>
        <v>5.4756999999999998</v>
      </c>
      <c r="K289" s="64">
        <f>5.4759 * CHOOSE(CONTROL!$C$22, $C$13, 100%, $E$13)</f>
        <v>5.4759000000000002</v>
      </c>
    </row>
    <row r="290" spans="1:11" ht="15">
      <c r="A290" s="13">
        <v>50465</v>
      </c>
      <c r="B290" s="63">
        <f>4.8188 * CHOOSE(CONTROL!$C$22, $C$13, 100%, $E$13)</f>
        <v>4.8188000000000004</v>
      </c>
      <c r="C290" s="63">
        <f>4.8188 * CHOOSE(CONTROL!$C$22, $C$13, 100%, $E$13)</f>
        <v>4.8188000000000004</v>
      </c>
      <c r="D290" s="63">
        <f>4.8361 * CHOOSE(CONTROL!$C$22, $C$13, 100%, $E$13)</f>
        <v>4.8361000000000001</v>
      </c>
      <c r="E290" s="64">
        <f>5.5212 * CHOOSE(CONTROL!$C$22, $C$13, 100%, $E$13)</f>
        <v>5.5212000000000003</v>
      </c>
      <c r="F290" s="64">
        <f>5.5212 * CHOOSE(CONTROL!$C$22, $C$13, 100%, $E$13)</f>
        <v>5.5212000000000003</v>
      </c>
      <c r="G290" s="64">
        <f>5.5214 * CHOOSE(CONTROL!$C$22, $C$13, 100%, $E$13)</f>
        <v>5.5213999999999999</v>
      </c>
      <c r="H290" s="64">
        <f>9.9691* CHOOSE(CONTROL!$C$22, $C$13, 100%, $E$13)</f>
        <v>9.9690999999999992</v>
      </c>
      <c r="I290" s="64">
        <f>9.9692 * CHOOSE(CONTROL!$C$22, $C$13, 100%, $E$13)</f>
        <v>9.9692000000000007</v>
      </c>
      <c r="J290" s="64">
        <f>5.5212 * CHOOSE(CONTROL!$C$22, $C$13, 100%, $E$13)</f>
        <v>5.5212000000000003</v>
      </c>
      <c r="K290" s="64">
        <f>5.5214 * CHOOSE(CONTROL!$C$22, $C$13, 100%, $E$13)</f>
        <v>5.5213999999999999</v>
      </c>
    </row>
    <row r="291" spans="1:11" ht="15">
      <c r="A291" s="13">
        <v>50496</v>
      </c>
      <c r="B291" s="63">
        <f>4.8172 * CHOOSE(CONTROL!$C$22, $C$13, 100%, $E$13)</f>
        <v>4.8171999999999997</v>
      </c>
      <c r="C291" s="63">
        <f>4.8172 * CHOOSE(CONTROL!$C$22, $C$13, 100%, $E$13)</f>
        <v>4.8171999999999997</v>
      </c>
      <c r="D291" s="63">
        <f>4.8346 * CHOOSE(CONTROL!$C$22, $C$13, 100%, $E$13)</f>
        <v>4.8346</v>
      </c>
      <c r="E291" s="64">
        <f>5.5682 * CHOOSE(CONTROL!$C$22, $C$13, 100%, $E$13)</f>
        <v>5.5682</v>
      </c>
      <c r="F291" s="64">
        <f>5.5682 * CHOOSE(CONTROL!$C$22, $C$13, 100%, $E$13)</f>
        <v>5.5682</v>
      </c>
      <c r="G291" s="64">
        <f>5.5684 * CHOOSE(CONTROL!$C$22, $C$13, 100%, $E$13)</f>
        <v>5.5683999999999996</v>
      </c>
      <c r="H291" s="64">
        <f>9.9898* CHOOSE(CONTROL!$C$22, $C$13, 100%, $E$13)</f>
        <v>9.9898000000000007</v>
      </c>
      <c r="I291" s="64">
        <f>9.99 * CHOOSE(CONTROL!$C$22, $C$13, 100%, $E$13)</f>
        <v>9.99</v>
      </c>
      <c r="J291" s="64">
        <f>5.5682 * CHOOSE(CONTROL!$C$22, $C$13, 100%, $E$13)</f>
        <v>5.5682</v>
      </c>
      <c r="K291" s="64">
        <f>5.5684 * CHOOSE(CONTROL!$C$22, $C$13, 100%, $E$13)</f>
        <v>5.5683999999999996</v>
      </c>
    </row>
    <row r="292" spans="1:11" ht="15">
      <c r="A292" s="13">
        <v>50526</v>
      </c>
      <c r="B292" s="63">
        <f>4.8172 * CHOOSE(CONTROL!$C$22, $C$13, 100%, $E$13)</f>
        <v>4.8171999999999997</v>
      </c>
      <c r="C292" s="63">
        <f>4.8172 * CHOOSE(CONTROL!$C$22, $C$13, 100%, $E$13)</f>
        <v>4.8171999999999997</v>
      </c>
      <c r="D292" s="63">
        <f>4.8519 * CHOOSE(CONTROL!$C$22, $C$13, 100%, $E$13)</f>
        <v>4.8518999999999997</v>
      </c>
      <c r="E292" s="64">
        <f>5.5874 * CHOOSE(CONTROL!$C$22, $C$13, 100%, $E$13)</f>
        <v>5.5873999999999997</v>
      </c>
      <c r="F292" s="64">
        <f>5.5874 * CHOOSE(CONTROL!$C$22, $C$13, 100%, $E$13)</f>
        <v>5.5873999999999997</v>
      </c>
      <c r="G292" s="64">
        <f>5.5896 * CHOOSE(CONTROL!$C$22, $C$13, 100%, $E$13)</f>
        <v>5.5895999999999999</v>
      </c>
      <c r="H292" s="64">
        <f>10.0107* CHOOSE(CONTROL!$C$22, $C$13, 100%, $E$13)</f>
        <v>10.0107</v>
      </c>
      <c r="I292" s="64">
        <f>10.0128 * CHOOSE(CONTROL!$C$22, $C$13, 100%, $E$13)</f>
        <v>10.0128</v>
      </c>
      <c r="J292" s="64">
        <f>5.5874 * CHOOSE(CONTROL!$C$22, $C$13, 100%, $E$13)</f>
        <v>5.5873999999999997</v>
      </c>
      <c r="K292" s="64">
        <f>5.5896 * CHOOSE(CONTROL!$C$22, $C$13, 100%, $E$13)</f>
        <v>5.5895999999999999</v>
      </c>
    </row>
    <row r="293" spans="1:11" ht="15">
      <c r="A293" s="13">
        <v>50557</v>
      </c>
      <c r="B293" s="63">
        <f>4.8233 * CHOOSE(CONTROL!$C$22, $C$13, 100%, $E$13)</f>
        <v>4.8232999999999997</v>
      </c>
      <c r="C293" s="63">
        <f>4.8233 * CHOOSE(CONTROL!$C$22, $C$13, 100%, $E$13)</f>
        <v>4.8232999999999997</v>
      </c>
      <c r="D293" s="63">
        <f>4.858 * CHOOSE(CONTROL!$C$22, $C$13, 100%, $E$13)</f>
        <v>4.8579999999999997</v>
      </c>
      <c r="E293" s="64">
        <f>5.5724 * CHOOSE(CONTROL!$C$22, $C$13, 100%, $E$13)</f>
        <v>5.5724</v>
      </c>
      <c r="F293" s="64">
        <f>5.5724 * CHOOSE(CONTROL!$C$22, $C$13, 100%, $E$13)</f>
        <v>5.5724</v>
      </c>
      <c r="G293" s="64">
        <f>5.5746 * CHOOSE(CONTROL!$C$22, $C$13, 100%, $E$13)</f>
        <v>5.5746000000000002</v>
      </c>
      <c r="H293" s="64">
        <f>10.0315* CHOOSE(CONTROL!$C$22, $C$13, 100%, $E$13)</f>
        <v>10.031499999999999</v>
      </c>
      <c r="I293" s="64">
        <f>10.0337 * CHOOSE(CONTROL!$C$22, $C$13, 100%, $E$13)</f>
        <v>10.0337</v>
      </c>
      <c r="J293" s="64">
        <f>5.5724 * CHOOSE(CONTROL!$C$22, $C$13, 100%, $E$13)</f>
        <v>5.5724</v>
      </c>
      <c r="K293" s="64">
        <f>5.5746 * CHOOSE(CONTROL!$C$22, $C$13, 100%, $E$13)</f>
        <v>5.5746000000000002</v>
      </c>
    </row>
    <row r="294" spans="1:11" ht="15">
      <c r="A294" s="13">
        <v>50587</v>
      </c>
      <c r="B294" s="63">
        <f>4.9066 * CHOOSE(CONTROL!$C$22, $C$13, 100%, $E$13)</f>
        <v>4.9066000000000001</v>
      </c>
      <c r="C294" s="63">
        <f>4.9066 * CHOOSE(CONTROL!$C$22, $C$13, 100%, $E$13)</f>
        <v>4.9066000000000001</v>
      </c>
      <c r="D294" s="63">
        <f>4.9412 * CHOOSE(CONTROL!$C$22, $C$13, 100%, $E$13)</f>
        <v>4.9412000000000003</v>
      </c>
      <c r="E294" s="64">
        <f>5.6862 * CHOOSE(CONTROL!$C$22, $C$13, 100%, $E$13)</f>
        <v>5.6862000000000004</v>
      </c>
      <c r="F294" s="64">
        <f>5.6862 * CHOOSE(CONTROL!$C$22, $C$13, 100%, $E$13)</f>
        <v>5.6862000000000004</v>
      </c>
      <c r="G294" s="64">
        <f>5.6883 * CHOOSE(CONTROL!$C$22, $C$13, 100%, $E$13)</f>
        <v>5.6882999999999999</v>
      </c>
      <c r="H294" s="64">
        <f>10.0524* CHOOSE(CONTROL!$C$22, $C$13, 100%, $E$13)</f>
        <v>10.0524</v>
      </c>
      <c r="I294" s="64">
        <f>10.0546 * CHOOSE(CONTROL!$C$22, $C$13, 100%, $E$13)</f>
        <v>10.054600000000001</v>
      </c>
      <c r="J294" s="64">
        <f>5.6862 * CHOOSE(CONTROL!$C$22, $C$13, 100%, $E$13)</f>
        <v>5.6862000000000004</v>
      </c>
      <c r="K294" s="64">
        <f>5.6883 * CHOOSE(CONTROL!$C$22, $C$13, 100%, $E$13)</f>
        <v>5.6882999999999999</v>
      </c>
    </row>
    <row r="295" spans="1:11" ht="15">
      <c r="A295" s="13">
        <v>50618</v>
      </c>
      <c r="B295" s="63">
        <f>4.9133 * CHOOSE(CONTROL!$C$22, $C$13, 100%, $E$13)</f>
        <v>4.9132999999999996</v>
      </c>
      <c r="C295" s="63">
        <f>4.9133 * CHOOSE(CONTROL!$C$22, $C$13, 100%, $E$13)</f>
        <v>4.9132999999999996</v>
      </c>
      <c r="D295" s="63">
        <f>4.9479 * CHOOSE(CONTROL!$C$22, $C$13, 100%, $E$13)</f>
        <v>4.9478999999999997</v>
      </c>
      <c r="E295" s="64">
        <f>5.6332 * CHOOSE(CONTROL!$C$22, $C$13, 100%, $E$13)</f>
        <v>5.6332000000000004</v>
      </c>
      <c r="F295" s="64">
        <f>5.6332 * CHOOSE(CONTROL!$C$22, $C$13, 100%, $E$13)</f>
        <v>5.6332000000000004</v>
      </c>
      <c r="G295" s="64">
        <f>5.6354 * CHOOSE(CONTROL!$C$22, $C$13, 100%, $E$13)</f>
        <v>5.6353999999999997</v>
      </c>
      <c r="H295" s="64">
        <f>10.0733* CHOOSE(CONTROL!$C$22, $C$13, 100%, $E$13)</f>
        <v>10.0733</v>
      </c>
      <c r="I295" s="64">
        <f>10.0755 * CHOOSE(CONTROL!$C$22, $C$13, 100%, $E$13)</f>
        <v>10.0755</v>
      </c>
      <c r="J295" s="64">
        <f>5.6332 * CHOOSE(CONTROL!$C$22, $C$13, 100%, $E$13)</f>
        <v>5.6332000000000004</v>
      </c>
      <c r="K295" s="64">
        <f>5.6354 * CHOOSE(CONTROL!$C$22, $C$13, 100%, $E$13)</f>
        <v>5.6353999999999997</v>
      </c>
    </row>
    <row r="296" spans="1:11" ht="15">
      <c r="A296" s="13">
        <v>50649</v>
      </c>
      <c r="B296" s="63">
        <f>4.9102 * CHOOSE(CONTROL!$C$22, $C$13, 100%, $E$13)</f>
        <v>4.9101999999999997</v>
      </c>
      <c r="C296" s="63">
        <f>4.9102 * CHOOSE(CONTROL!$C$22, $C$13, 100%, $E$13)</f>
        <v>4.9101999999999997</v>
      </c>
      <c r="D296" s="63">
        <f>4.9449 * CHOOSE(CONTROL!$C$22, $C$13, 100%, $E$13)</f>
        <v>4.9448999999999996</v>
      </c>
      <c r="E296" s="64">
        <f>5.6247 * CHOOSE(CONTROL!$C$22, $C$13, 100%, $E$13)</f>
        <v>5.6246999999999998</v>
      </c>
      <c r="F296" s="64">
        <f>5.6247 * CHOOSE(CONTROL!$C$22, $C$13, 100%, $E$13)</f>
        <v>5.6246999999999998</v>
      </c>
      <c r="G296" s="64">
        <f>5.6269 * CHOOSE(CONTROL!$C$22, $C$13, 100%, $E$13)</f>
        <v>5.6269</v>
      </c>
      <c r="H296" s="64">
        <f>10.0943* CHOOSE(CONTROL!$C$22, $C$13, 100%, $E$13)</f>
        <v>10.0943</v>
      </c>
      <c r="I296" s="64">
        <f>10.0965 * CHOOSE(CONTROL!$C$22, $C$13, 100%, $E$13)</f>
        <v>10.096500000000001</v>
      </c>
      <c r="J296" s="64">
        <f>5.6247 * CHOOSE(CONTROL!$C$22, $C$13, 100%, $E$13)</f>
        <v>5.6246999999999998</v>
      </c>
      <c r="K296" s="64">
        <f>5.6269 * CHOOSE(CONTROL!$C$22, $C$13, 100%, $E$13)</f>
        <v>5.6269</v>
      </c>
    </row>
    <row r="297" spans="1:11" ht="15">
      <c r="A297" s="13">
        <v>50679</v>
      </c>
      <c r="B297" s="63">
        <f>4.9086 * CHOOSE(CONTROL!$C$22, $C$13, 100%, $E$13)</f>
        <v>4.9085999999999999</v>
      </c>
      <c r="C297" s="63">
        <f>4.9086 * CHOOSE(CONTROL!$C$22, $C$13, 100%, $E$13)</f>
        <v>4.9085999999999999</v>
      </c>
      <c r="D297" s="63">
        <f>4.9259 * CHOOSE(CONTROL!$C$22, $C$13, 100%, $E$13)</f>
        <v>4.9259000000000004</v>
      </c>
      <c r="E297" s="64">
        <f>5.6369 * CHOOSE(CONTROL!$C$22, $C$13, 100%, $E$13)</f>
        <v>5.6368999999999998</v>
      </c>
      <c r="F297" s="64">
        <f>5.6369 * CHOOSE(CONTROL!$C$22, $C$13, 100%, $E$13)</f>
        <v>5.6368999999999998</v>
      </c>
      <c r="G297" s="64">
        <f>5.6371 * CHOOSE(CONTROL!$C$22, $C$13, 100%, $E$13)</f>
        <v>5.6371000000000002</v>
      </c>
      <c r="H297" s="64">
        <f>10.1154* CHOOSE(CONTROL!$C$22, $C$13, 100%, $E$13)</f>
        <v>10.115399999999999</v>
      </c>
      <c r="I297" s="64">
        <f>10.1155 * CHOOSE(CONTROL!$C$22, $C$13, 100%, $E$13)</f>
        <v>10.115500000000001</v>
      </c>
      <c r="J297" s="64">
        <f>5.6369 * CHOOSE(CONTROL!$C$22, $C$13, 100%, $E$13)</f>
        <v>5.6368999999999998</v>
      </c>
      <c r="K297" s="64">
        <f>5.6371 * CHOOSE(CONTROL!$C$22, $C$13, 100%, $E$13)</f>
        <v>5.6371000000000002</v>
      </c>
    </row>
    <row r="298" spans="1:11" ht="15">
      <c r="A298" s="13">
        <v>50710</v>
      </c>
      <c r="B298" s="63">
        <f>4.9116 * CHOOSE(CONTROL!$C$22, $C$13, 100%, $E$13)</f>
        <v>4.9116</v>
      </c>
      <c r="C298" s="63">
        <f>4.9116 * CHOOSE(CONTROL!$C$22, $C$13, 100%, $E$13)</f>
        <v>4.9116</v>
      </c>
      <c r="D298" s="63">
        <f>4.9289 * CHOOSE(CONTROL!$C$22, $C$13, 100%, $E$13)</f>
        <v>4.9288999999999996</v>
      </c>
      <c r="E298" s="64">
        <f>5.6518 * CHOOSE(CONTROL!$C$22, $C$13, 100%, $E$13)</f>
        <v>5.6517999999999997</v>
      </c>
      <c r="F298" s="64">
        <f>5.6518 * CHOOSE(CONTROL!$C$22, $C$13, 100%, $E$13)</f>
        <v>5.6517999999999997</v>
      </c>
      <c r="G298" s="64">
        <f>5.652 * CHOOSE(CONTROL!$C$22, $C$13, 100%, $E$13)</f>
        <v>5.6520000000000001</v>
      </c>
      <c r="H298" s="64">
        <f>10.1364* CHOOSE(CONTROL!$C$22, $C$13, 100%, $E$13)</f>
        <v>10.1364</v>
      </c>
      <c r="I298" s="64">
        <f>10.1366 * CHOOSE(CONTROL!$C$22, $C$13, 100%, $E$13)</f>
        <v>10.1366</v>
      </c>
      <c r="J298" s="64">
        <f>5.6518 * CHOOSE(CONTROL!$C$22, $C$13, 100%, $E$13)</f>
        <v>5.6517999999999997</v>
      </c>
      <c r="K298" s="64">
        <f>5.652 * CHOOSE(CONTROL!$C$22, $C$13, 100%, $E$13)</f>
        <v>5.6520000000000001</v>
      </c>
    </row>
    <row r="299" spans="1:11" ht="15">
      <c r="A299" s="13">
        <v>50740</v>
      </c>
      <c r="B299" s="63">
        <f>4.9116 * CHOOSE(CONTROL!$C$22, $C$13, 100%, $E$13)</f>
        <v>4.9116</v>
      </c>
      <c r="C299" s="63">
        <f>4.9116 * CHOOSE(CONTROL!$C$22, $C$13, 100%, $E$13)</f>
        <v>4.9116</v>
      </c>
      <c r="D299" s="63">
        <f>4.9289 * CHOOSE(CONTROL!$C$22, $C$13, 100%, $E$13)</f>
        <v>4.9288999999999996</v>
      </c>
      <c r="E299" s="64">
        <f>5.6369 * CHOOSE(CONTROL!$C$22, $C$13, 100%, $E$13)</f>
        <v>5.6368999999999998</v>
      </c>
      <c r="F299" s="64">
        <f>5.6369 * CHOOSE(CONTROL!$C$22, $C$13, 100%, $E$13)</f>
        <v>5.6368999999999998</v>
      </c>
      <c r="G299" s="64">
        <f>5.6371 * CHOOSE(CONTROL!$C$22, $C$13, 100%, $E$13)</f>
        <v>5.6371000000000002</v>
      </c>
      <c r="H299" s="64">
        <f>10.1576* CHOOSE(CONTROL!$C$22, $C$13, 100%, $E$13)</f>
        <v>10.1576</v>
      </c>
      <c r="I299" s="64">
        <f>10.1577 * CHOOSE(CONTROL!$C$22, $C$13, 100%, $E$13)</f>
        <v>10.1577</v>
      </c>
      <c r="J299" s="64">
        <f>5.6369 * CHOOSE(CONTROL!$C$22, $C$13, 100%, $E$13)</f>
        <v>5.6368999999999998</v>
      </c>
      <c r="K299" s="64">
        <f>5.6371 * CHOOSE(CONTROL!$C$22, $C$13, 100%, $E$13)</f>
        <v>5.6371000000000002</v>
      </c>
    </row>
    <row r="300" spans="1:11" ht="15">
      <c r="A300" s="13">
        <v>50771</v>
      </c>
      <c r="B300" s="63">
        <f>4.9579 * CHOOSE(CONTROL!$C$22, $C$13, 100%, $E$13)</f>
        <v>4.9579000000000004</v>
      </c>
      <c r="C300" s="63">
        <f>4.9579 * CHOOSE(CONTROL!$C$22, $C$13, 100%, $E$13)</f>
        <v>4.9579000000000004</v>
      </c>
      <c r="D300" s="63">
        <f>4.9753 * CHOOSE(CONTROL!$C$22, $C$13, 100%, $E$13)</f>
        <v>4.9752999999999998</v>
      </c>
      <c r="E300" s="64">
        <f>5.6938 * CHOOSE(CONTROL!$C$22, $C$13, 100%, $E$13)</f>
        <v>5.6938000000000004</v>
      </c>
      <c r="F300" s="64">
        <f>5.6938 * CHOOSE(CONTROL!$C$22, $C$13, 100%, $E$13)</f>
        <v>5.6938000000000004</v>
      </c>
      <c r="G300" s="64">
        <f>5.6939 * CHOOSE(CONTROL!$C$22, $C$13, 100%, $E$13)</f>
        <v>5.6939000000000002</v>
      </c>
      <c r="H300" s="64">
        <f>10.1787* CHOOSE(CONTROL!$C$22, $C$13, 100%, $E$13)</f>
        <v>10.178699999999999</v>
      </c>
      <c r="I300" s="64">
        <f>10.1789 * CHOOSE(CONTROL!$C$22, $C$13, 100%, $E$13)</f>
        <v>10.178900000000001</v>
      </c>
      <c r="J300" s="64">
        <f>5.6938 * CHOOSE(CONTROL!$C$22, $C$13, 100%, $E$13)</f>
        <v>5.6938000000000004</v>
      </c>
      <c r="K300" s="64">
        <f>5.6939 * CHOOSE(CONTROL!$C$22, $C$13, 100%, $E$13)</f>
        <v>5.6939000000000002</v>
      </c>
    </row>
    <row r="301" spans="1:11" ht="15">
      <c r="A301" s="13">
        <v>50802</v>
      </c>
      <c r="B301" s="63">
        <f>4.9549 * CHOOSE(CONTROL!$C$22, $C$13, 100%, $E$13)</f>
        <v>4.9549000000000003</v>
      </c>
      <c r="C301" s="63">
        <f>4.9549 * CHOOSE(CONTROL!$C$22, $C$13, 100%, $E$13)</f>
        <v>4.9549000000000003</v>
      </c>
      <c r="D301" s="63">
        <f>4.9722 * CHOOSE(CONTROL!$C$22, $C$13, 100%, $E$13)</f>
        <v>4.9722</v>
      </c>
      <c r="E301" s="64">
        <f>5.6295 * CHOOSE(CONTROL!$C$22, $C$13, 100%, $E$13)</f>
        <v>5.6295000000000002</v>
      </c>
      <c r="F301" s="64">
        <f>5.6295 * CHOOSE(CONTROL!$C$22, $C$13, 100%, $E$13)</f>
        <v>5.6295000000000002</v>
      </c>
      <c r="G301" s="64">
        <f>5.6297 * CHOOSE(CONTROL!$C$22, $C$13, 100%, $E$13)</f>
        <v>5.6296999999999997</v>
      </c>
      <c r="H301" s="64">
        <f>10.1999* CHOOSE(CONTROL!$C$22, $C$13, 100%, $E$13)</f>
        <v>10.1999</v>
      </c>
      <c r="I301" s="64">
        <f>10.2001 * CHOOSE(CONTROL!$C$22, $C$13, 100%, $E$13)</f>
        <v>10.200100000000001</v>
      </c>
      <c r="J301" s="64">
        <f>5.6295 * CHOOSE(CONTROL!$C$22, $C$13, 100%, $E$13)</f>
        <v>5.6295000000000002</v>
      </c>
      <c r="K301" s="64">
        <f>5.6297 * CHOOSE(CONTROL!$C$22, $C$13, 100%, $E$13)</f>
        <v>5.6296999999999997</v>
      </c>
    </row>
    <row r="302" spans="1:11" ht="15">
      <c r="A302" s="13">
        <v>50830</v>
      </c>
      <c r="B302" s="63">
        <f>4.9518 * CHOOSE(CONTROL!$C$22, $C$13, 100%, $E$13)</f>
        <v>4.9518000000000004</v>
      </c>
      <c r="C302" s="63">
        <f>4.9518 * CHOOSE(CONTROL!$C$22, $C$13, 100%, $E$13)</f>
        <v>4.9518000000000004</v>
      </c>
      <c r="D302" s="63">
        <f>4.9692 * CHOOSE(CONTROL!$C$22, $C$13, 100%, $E$13)</f>
        <v>4.9691999999999998</v>
      </c>
      <c r="E302" s="64">
        <f>5.6764 * CHOOSE(CONTROL!$C$22, $C$13, 100%, $E$13)</f>
        <v>5.6764000000000001</v>
      </c>
      <c r="F302" s="64">
        <f>5.6764 * CHOOSE(CONTROL!$C$22, $C$13, 100%, $E$13)</f>
        <v>5.6764000000000001</v>
      </c>
      <c r="G302" s="64">
        <f>5.6766 * CHOOSE(CONTROL!$C$22, $C$13, 100%, $E$13)</f>
        <v>5.6765999999999996</v>
      </c>
      <c r="H302" s="64">
        <f>10.2212* CHOOSE(CONTROL!$C$22, $C$13, 100%, $E$13)</f>
        <v>10.2212</v>
      </c>
      <c r="I302" s="64">
        <f>10.2213 * CHOOSE(CONTROL!$C$22, $C$13, 100%, $E$13)</f>
        <v>10.221299999999999</v>
      </c>
      <c r="J302" s="64">
        <f>5.6764 * CHOOSE(CONTROL!$C$22, $C$13, 100%, $E$13)</f>
        <v>5.6764000000000001</v>
      </c>
      <c r="K302" s="64">
        <f>5.6766 * CHOOSE(CONTROL!$C$22, $C$13, 100%, $E$13)</f>
        <v>5.6765999999999996</v>
      </c>
    </row>
    <row r="303" spans="1:11" ht="15">
      <c r="A303" s="13">
        <v>50861</v>
      </c>
      <c r="B303" s="63">
        <f>4.9504 * CHOOSE(CONTROL!$C$22, $C$13, 100%, $E$13)</f>
        <v>4.9504000000000001</v>
      </c>
      <c r="C303" s="63">
        <f>4.9504 * CHOOSE(CONTROL!$C$22, $C$13, 100%, $E$13)</f>
        <v>4.9504000000000001</v>
      </c>
      <c r="D303" s="63">
        <f>4.9677 * CHOOSE(CONTROL!$C$22, $C$13, 100%, $E$13)</f>
        <v>4.9676999999999998</v>
      </c>
      <c r="E303" s="64">
        <f>5.7247 * CHOOSE(CONTROL!$C$22, $C$13, 100%, $E$13)</f>
        <v>5.7247000000000003</v>
      </c>
      <c r="F303" s="64">
        <f>5.7247 * CHOOSE(CONTROL!$C$22, $C$13, 100%, $E$13)</f>
        <v>5.7247000000000003</v>
      </c>
      <c r="G303" s="64">
        <f>5.7249 * CHOOSE(CONTROL!$C$22, $C$13, 100%, $E$13)</f>
        <v>5.7248999999999999</v>
      </c>
      <c r="H303" s="64">
        <f>10.2425* CHOOSE(CONTROL!$C$22, $C$13, 100%, $E$13)</f>
        <v>10.2425</v>
      </c>
      <c r="I303" s="64">
        <f>10.2426 * CHOOSE(CONTROL!$C$22, $C$13, 100%, $E$13)</f>
        <v>10.242599999999999</v>
      </c>
      <c r="J303" s="64">
        <f>5.7247 * CHOOSE(CONTROL!$C$22, $C$13, 100%, $E$13)</f>
        <v>5.7247000000000003</v>
      </c>
      <c r="K303" s="64">
        <f>5.7249 * CHOOSE(CONTROL!$C$22, $C$13, 100%, $E$13)</f>
        <v>5.7248999999999999</v>
      </c>
    </row>
    <row r="304" spans="1:11" ht="15">
      <c r="A304" s="13">
        <v>50891</v>
      </c>
      <c r="B304" s="63">
        <f>4.9504 * CHOOSE(CONTROL!$C$22, $C$13, 100%, $E$13)</f>
        <v>4.9504000000000001</v>
      </c>
      <c r="C304" s="63">
        <f>4.9504 * CHOOSE(CONTROL!$C$22, $C$13, 100%, $E$13)</f>
        <v>4.9504000000000001</v>
      </c>
      <c r="D304" s="63">
        <f>4.985 * CHOOSE(CONTROL!$C$22, $C$13, 100%, $E$13)</f>
        <v>4.9850000000000003</v>
      </c>
      <c r="E304" s="64">
        <f>5.7445 * CHOOSE(CONTROL!$C$22, $C$13, 100%, $E$13)</f>
        <v>5.7445000000000004</v>
      </c>
      <c r="F304" s="64">
        <f>5.7445 * CHOOSE(CONTROL!$C$22, $C$13, 100%, $E$13)</f>
        <v>5.7445000000000004</v>
      </c>
      <c r="G304" s="64">
        <f>5.7466 * CHOOSE(CONTROL!$C$22, $C$13, 100%, $E$13)</f>
        <v>5.7465999999999999</v>
      </c>
      <c r="H304" s="64">
        <f>10.2638* CHOOSE(CONTROL!$C$22, $C$13, 100%, $E$13)</f>
        <v>10.2638</v>
      </c>
      <c r="I304" s="64">
        <f>10.2659 * CHOOSE(CONTROL!$C$22, $C$13, 100%, $E$13)</f>
        <v>10.2659</v>
      </c>
      <c r="J304" s="64">
        <f>5.7445 * CHOOSE(CONTROL!$C$22, $C$13, 100%, $E$13)</f>
        <v>5.7445000000000004</v>
      </c>
      <c r="K304" s="64">
        <f>5.7466 * CHOOSE(CONTROL!$C$22, $C$13, 100%, $E$13)</f>
        <v>5.7465999999999999</v>
      </c>
    </row>
    <row r="305" spans="1:11" ht="15">
      <c r="A305" s="13">
        <v>50922</v>
      </c>
      <c r="B305" s="63">
        <f>4.9565 * CHOOSE(CONTROL!$C$22, $C$13, 100%, $E$13)</f>
        <v>4.9565000000000001</v>
      </c>
      <c r="C305" s="63">
        <f>4.9565 * CHOOSE(CONTROL!$C$22, $C$13, 100%, $E$13)</f>
        <v>4.9565000000000001</v>
      </c>
      <c r="D305" s="63">
        <f>4.9911 * CHOOSE(CONTROL!$C$22, $C$13, 100%, $E$13)</f>
        <v>4.9911000000000003</v>
      </c>
      <c r="E305" s="64">
        <f>5.729 * CHOOSE(CONTROL!$C$22, $C$13, 100%, $E$13)</f>
        <v>5.7290000000000001</v>
      </c>
      <c r="F305" s="64">
        <f>5.729 * CHOOSE(CONTROL!$C$22, $C$13, 100%, $E$13)</f>
        <v>5.7290000000000001</v>
      </c>
      <c r="G305" s="64">
        <f>5.7311 * CHOOSE(CONTROL!$C$22, $C$13, 100%, $E$13)</f>
        <v>5.7310999999999996</v>
      </c>
      <c r="H305" s="64">
        <f>10.2852* CHOOSE(CONTROL!$C$22, $C$13, 100%, $E$13)</f>
        <v>10.2852</v>
      </c>
      <c r="I305" s="64">
        <f>10.2873 * CHOOSE(CONTROL!$C$22, $C$13, 100%, $E$13)</f>
        <v>10.2873</v>
      </c>
      <c r="J305" s="64">
        <f>5.729 * CHOOSE(CONTROL!$C$22, $C$13, 100%, $E$13)</f>
        <v>5.7290000000000001</v>
      </c>
      <c r="K305" s="64">
        <f>5.7311 * CHOOSE(CONTROL!$C$22, $C$13, 100%, $E$13)</f>
        <v>5.7310999999999996</v>
      </c>
    </row>
    <row r="306" spans="1:11" ht="15">
      <c r="A306" s="13">
        <v>50952</v>
      </c>
      <c r="B306" s="63">
        <f>5.043 * CHOOSE(CONTROL!$C$22, $C$13, 100%, $E$13)</f>
        <v>5.0430000000000001</v>
      </c>
      <c r="C306" s="63">
        <f>5.043 * CHOOSE(CONTROL!$C$22, $C$13, 100%, $E$13)</f>
        <v>5.0430000000000001</v>
      </c>
      <c r="D306" s="63">
        <f>5.0777 * CHOOSE(CONTROL!$C$22, $C$13, 100%, $E$13)</f>
        <v>5.0777000000000001</v>
      </c>
      <c r="E306" s="64">
        <f>5.8439 * CHOOSE(CONTROL!$C$22, $C$13, 100%, $E$13)</f>
        <v>5.8438999999999997</v>
      </c>
      <c r="F306" s="64">
        <f>5.8439 * CHOOSE(CONTROL!$C$22, $C$13, 100%, $E$13)</f>
        <v>5.8438999999999997</v>
      </c>
      <c r="G306" s="64">
        <f>5.8461 * CHOOSE(CONTROL!$C$22, $C$13, 100%, $E$13)</f>
        <v>5.8460999999999999</v>
      </c>
      <c r="H306" s="64">
        <f>10.3066* CHOOSE(CONTROL!$C$22, $C$13, 100%, $E$13)</f>
        <v>10.3066</v>
      </c>
      <c r="I306" s="64">
        <f>10.3088 * CHOOSE(CONTROL!$C$22, $C$13, 100%, $E$13)</f>
        <v>10.3088</v>
      </c>
      <c r="J306" s="64">
        <f>5.8439 * CHOOSE(CONTROL!$C$22, $C$13, 100%, $E$13)</f>
        <v>5.8438999999999997</v>
      </c>
      <c r="K306" s="64">
        <f>5.8461 * CHOOSE(CONTROL!$C$22, $C$13, 100%, $E$13)</f>
        <v>5.8460999999999999</v>
      </c>
    </row>
    <row r="307" spans="1:11" ht="15">
      <c r="A307" s="13">
        <v>50983</v>
      </c>
      <c r="B307" s="63">
        <f>5.0497 * CHOOSE(CONTROL!$C$22, $C$13, 100%, $E$13)</f>
        <v>5.0496999999999996</v>
      </c>
      <c r="C307" s="63">
        <f>5.0497 * CHOOSE(CONTROL!$C$22, $C$13, 100%, $E$13)</f>
        <v>5.0496999999999996</v>
      </c>
      <c r="D307" s="63">
        <f>5.0844 * CHOOSE(CONTROL!$C$22, $C$13, 100%, $E$13)</f>
        <v>5.0843999999999996</v>
      </c>
      <c r="E307" s="64">
        <f>5.7894 * CHOOSE(CONTROL!$C$22, $C$13, 100%, $E$13)</f>
        <v>5.7893999999999997</v>
      </c>
      <c r="F307" s="64">
        <f>5.7894 * CHOOSE(CONTROL!$C$22, $C$13, 100%, $E$13)</f>
        <v>5.7893999999999997</v>
      </c>
      <c r="G307" s="64">
        <f>5.7916 * CHOOSE(CONTROL!$C$22, $C$13, 100%, $E$13)</f>
        <v>5.7915999999999999</v>
      </c>
      <c r="H307" s="64">
        <f>10.3281* CHOOSE(CONTROL!$C$22, $C$13, 100%, $E$13)</f>
        <v>10.328099999999999</v>
      </c>
      <c r="I307" s="64">
        <f>10.3302 * CHOOSE(CONTROL!$C$22, $C$13, 100%, $E$13)</f>
        <v>10.3302</v>
      </c>
      <c r="J307" s="64">
        <f>5.7894 * CHOOSE(CONTROL!$C$22, $C$13, 100%, $E$13)</f>
        <v>5.7893999999999997</v>
      </c>
      <c r="K307" s="64">
        <f>5.7916 * CHOOSE(CONTROL!$C$22, $C$13, 100%, $E$13)</f>
        <v>5.7915999999999999</v>
      </c>
    </row>
    <row r="308" spans="1:11" ht="15">
      <c r="A308" s="13">
        <v>51014</v>
      </c>
      <c r="B308" s="63">
        <f>5.0467 * CHOOSE(CONTROL!$C$22, $C$13, 100%, $E$13)</f>
        <v>5.0467000000000004</v>
      </c>
      <c r="C308" s="63">
        <f>5.0467 * CHOOSE(CONTROL!$C$22, $C$13, 100%, $E$13)</f>
        <v>5.0467000000000004</v>
      </c>
      <c r="D308" s="63">
        <f>5.0813 * CHOOSE(CONTROL!$C$22, $C$13, 100%, $E$13)</f>
        <v>5.0812999999999997</v>
      </c>
      <c r="E308" s="64">
        <f>5.7807 * CHOOSE(CONTROL!$C$22, $C$13, 100%, $E$13)</f>
        <v>5.7807000000000004</v>
      </c>
      <c r="F308" s="64">
        <f>5.7807 * CHOOSE(CONTROL!$C$22, $C$13, 100%, $E$13)</f>
        <v>5.7807000000000004</v>
      </c>
      <c r="G308" s="64">
        <f>5.7829 * CHOOSE(CONTROL!$C$22, $C$13, 100%, $E$13)</f>
        <v>5.7828999999999997</v>
      </c>
      <c r="H308" s="64">
        <f>10.3496* CHOOSE(CONTROL!$C$22, $C$13, 100%, $E$13)</f>
        <v>10.349600000000001</v>
      </c>
      <c r="I308" s="64">
        <f>10.3517 * CHOOSE(CONTROL!$C$22, $C$13, 100%, $E$13)</f>
        <v>10.351699999999999</v>
      </c>
      <c r="J308" s="64">
        <f>5.7807 * CHOOSE(CONTROL!$C$22, $C$13, 100%, $E$13)</f>
        <v>5.7807000000000004</v>
      </c>
      <c r="K308" s="64">
        <f>5.7829 * CHOOSE(CONTROL!$C$22, $C$13, 100%, $E$13)</f>
        <v>5.7828999999999997</v>
      </c>
    </row>
    <row r="309" spans="1:11" ht="15">
      <c r="A309" s="13">
        <v>51044</v>
      </c>
      <c r="B309" s="63">
        <f>5.0455 * CHOOSE(CONTROL!$C$22, $C$13, 100%, $E$13)</f>
        <v>5.0454999999999997</v>
      </c>
      <c r="C309" s="63">
        <f>5.0455 * CHOOSE(CONTROL!$C$22, $C$13, 100%, $E$13)</f>
        <v>5.0454999999999997</v>
      </c>
      <c r="D309" s="63">
        <f>5.0628 * CHOOSE(CONTROL!$C$22, $C$13, 100%, $E$13)</f>
        <v>5.0628000000000002</v>
      </c>
      <c r="E309" s="64">
        <f>5.7936 * CHOOSE(CONTROL!$C$22, $C$13, 100%, $E$13)</f>
        <v>5.7935999999999996</v>
      </c>
      <c r="F309" s="64">
        <f>5.7936 * CHOOSE(CONTROL!$C$22, $C$13, 100%, $E$13)</f>
        <v>5.7935999999999996</v>
      </c>
      <c r="G309" s="64">
        <f>5.7938 * CHOOSE(CONTROL!$C$22, $C$13, 100%, $E$13)</f>
        <v>5.7938000000000001</v>
      </c>
      <c r="H309" s="64">
        <f>10.3712* CHOOSE(CONTROL!$C$22, $C$13, 100%, $E$13)</f>
        <v>10.3712</v>
      </c>
      <c r="I309" s="64">
        <f>10.3713 * CHOOSE(CONTROL!$C$22, $C$13, 100%, $E$13)</f>
        <v>10.3713</v>
      </c>
      <c r="J309" s="64">
        <f>5.7936 * CHOOSE(CONTROL!$C$22, $C$13, 100%, $E$13)</f>
        <v>5.7935999999999996</v>
      </c>
      <c r="K309" s="64">
        <f>5.7938 * CHOOSE(CONTROL!$C$22, $C$13, 100%, $E$13)</f>
        <v>5.7938000000000001</v>
      </c>
    </row>
    <row r="310" spans="1:11" ht="15">
      <c r="A310" s="13">
        <v>51075</v>
      </c>
      <c r="B310" s="63">
        <f>5.0485 * CHOOSE(CONTROL!$C$22, $C$13, 100%, $E$13)</f>
        <v>5.0484999999999998</v>
      </c>
      <c r="C310" s="63">
        <f>5.0485 * CHOOSE(CONTROL!$C$22, $C$13, 100%, $E$13)</f>
        <v>5.0484999999999998</v>
      </c>
      <c r="D310" s="63">
        <f>5.0658 * CHOOSE(CONTROL!$C$22, $C$13, 100%, $E$13)</f>
        <v>5.0658000000000003</v>
      </c>
      <c r="E310" s="64">
        <f>5.8089 * CHOOSE(CONTROL!$C$22, $C$13, 100%, $E$13)</f>
        <v>5.8089000000000004</v>
      </c>
      <c r="F310" s="64">
        <f>5.8089 * CHOOSE(CONTROL!$C$22, $C$13, 100%, $E$13)</f>
        <v>5.8089000000000004</v>
      </c>
      <c r="G310" s="64">
        <f>5.809 * CHOOSE(CONTROL!$C$22, $C$13, 100%, $E$13)</f>
        <v>5.8090000000000002</v>
      </c>
      <c r="H310" s="64">
        <f>10.3928* CHOOSE(CONTROL!$C$22, $C$13, 100%, $E$13)</f>
        <v>10.392799999999999</v>
      </c>
      <c r="I310" s="64">
        <f>10.3929 * CHOOSE(CONTROL!$C$22, $C$13, 100%, $E$13)</f>
        <v>10.392899999999999</v>
      </c>
      <c r="J310" s="64">
        <f>5.8089 * CHOOSE(CONTROL!$C$22, $C$13, 100%, $E$13)</f>
        <v>5.8089000000000004</v>
      </c>
      <c r="K310" s="64">
        <f>5.809 * CHOOSE(CONTROL!$C$22, $C$13, 100%, $E$13)</f>
        <v>5.8090000000000002</v>
      </c>
    </row>
    <row r="311" spans="1:11" ht="15">
      <c r="A311" s="13">
        <v>51105</v>
      </c>
      <c r="B311" s="63">
        <f>5.0485 * CHOOSE(CONTROL!$C$22, $C$13, 100%, $E$13)</f>
        <v>5.0484999999999998</v>
      </c>
      <c r="C311" s="63">
        <f>5.0485 * CHOOSE(CONTROL!$C$22, $C$13, 100%, $E$13)</f>
        <v>5.0484999999999998</v>
      </c>
      <c r="D311" s="63">
        <f>5.0658 * CHOOSE(CONTROL!$C$22, $C$13, 100%, $E$13)</f>
        <v>5.0658000000000003</v>
      </c>
      <c r="E311" s="64">
        <f>5.776 * CHOOSE(CONTROL!$C$22, $C$13, 100%, $E$13)</f>
        <v>5.7759999999999998</v>
      </c>
      <c r="F311" s="64">
        <f>5.776 * CHOOSE(CONTROL!$C$22, $C$13, 100%, $E$13)</f>
        <v>5.7759999999999998</v>
      </c>
      <c r="G311" s="64">
        <f>5.7762 * CHOOSE(CONTROL!$C$22, $C$13, 100%, $E$13)</f>
        <v>5.7762000000000002</v>
      </c>
      <c r="H311" s="64">
        <f>10.4144* CHOOSE(CONTROL!$C$22, $C$13, 100%, $E$13)</f>
        <v>10.414400000000001</v>
      </c>
      <c r="I311" s="64">
        <f>10.4146 * CHOOSE(CONTROL!$C$22, $C$13, 100%, $E$13)</f>
        <v>10.4146</v>
      </c>
      <c r="J311" s="64">
        <f>5.776 * CHOOSE(CONTROL!$C$22, $C$13, 100%, $E$13)</f>
        <v>5.7759999999999998</v>
      </c>
      <c r="K311" s="64">
        <f>5.7762 * CHOOSE(CONTROL!$C$22, $C$13, 100%, $E$13)</f>
        <v>5.7762000000000002</v>
      </c>
    </row>
    <row r="312" spans="1:11" ht="15">
      <c r="A312" s="13">
        <v>51136</v>
      </c>
      <c r="B312" s="63">
        <f>5.0944 * CHOOSE(CONTROL!$C$22, $C$13, 100%, $E$13)</f>
        <v>5.0944000000000003</v>
      </c>
      <c r="C312" s="63">
        <f>5.0944 * CHOOSE(CONTROL!$C$22, $C$13, 100%, $E$13)</f>
        <v>5.0944000000000003</v>
      </c>
      <c r="D312" s="63">
        <f>5.1117 * CHOOSE(CONTROL!$C$22, $C$13, 100%, $E$13)</f>
        <v>5.1116999999999999</v>
      </c>
      <c r="E312" s="64">
        <f>5.8526 * CHOOSE(CONTROL!$C$22, $C$13, 100%, $E$13)</f>
        <v>5.8525999999999998</v>
      </c>
      <c r="F312" s="64">
        <f>5.8526 * CHOOSE(CONTROL!$C$22, $C$13, 100%, $E$13)</f>
        <v>5.8525999999999998</v>
      </c>
      <c r="G312" s="64">
        <f>5.8528 * CHOOSE(CONTROL!$C$22, $C$13, 100%, $E$13)</f>
        <v>5.8528000000000002</v>
      </c>
      <c r="H312" s="64">
        <f>10.4361* CHOOSE(CONTROL!$C$22, $C$13, 100%, $E$13)</f>
        <v>10.4361</v>
      </c>
      <c r="I312" s="64">
        <f>10.4363 * CHOOSE(CONTROL!$C$22, $C$13, 100%, $E$13)</f>
        <v>10.436299999999999</v>
      </c>
      <c r="J312" s="64">
        <f>5.8526 * CHOOSE(CONTROL!$C$22, $C$13, 100%, $E$13)</f>
        <v>5.8525999999999998</v>
      </c>
      <c r="K312" s="64">
        <f>5.8528 * CHOOSE(CONTROL!$C$22, $C$13, 100%, $E$13)</f>
        <v>5.8528000000000002</v>
      </c>
    </row>
    <row r="313" spans="1:11" ht="15">
      <c r="A313" s="13">
        <v>51167</v>
      </c>
      <c r="B313" s="63">
        <f>5.0913 * CHOOSE(CONTROL!$C$22, $C$13, 100%, $E$13)</f>
        <v>5.0913000000000004</v>
      </c>
      <c r="C313" s="63">
        <f>5.0913 * CHOOSE(CONTROL!$C$22, $C$13, 100%, $E$13)</f>
        <v>5.0913000000000004</v>
      </c>
      <c r="D313" s="63">
        <f>5.1087 * CHOOSE(CONTROL!$C$22, $C$13, 100%, $E$13)</f>
        <v>5.1086999999999998</v>
      </c>
      <c r="E313" s="64">
        <f>5.7866 * CHOOSE(CONTROL!$C$22, $C$13, 100%, $E$13)</f>
        <v>5.7866</v>
      </c>
      <c r="F313" s="64">
        <f>5.7866 * CHOOSE(CONTROL!$C$22, $C$13, 100%, $E$13)</f>
        <v>5.7866</v>
      </c>
      <c r="G313" s="64">
        <f>5.7868 * CHOOSE(CONTROL!$C$22, $C$13, 100%, $E$13)</f>
        <v>5.7868000000000004</v>
      </c>
      <c r="H313" s="64">
        <f>10.4579* CHOOSE(CONTROL!$C$22, $C$13, 100%, $E$13)</f>
        <v>10.4579</v>
      </c>
      <c r="I313" s="64">
        <f>10.458 * CHOOSE(CONTROL!$C$22, $C$13, 100%, $E$13)</f>
        <v>10.458</v>
      </c>
      <c r="J313" s="64">
        <f>5.7866 * CHOOSE(CONTROL!$C$22, $C$13, 100%, $E$13)</f>
        <v>5.7866</v>
      </c>
      <c r="K313" s="64">
        <f>5.7868 * CHOOSE(CONTROL!$C$22, $C$13, 100%, $E$13)</f>
        <v>5.7868000000000004</v>
      </c>
    </row>
    <row r="314" spans="1:11" ht="15">
      <c r="A314" s="13">
        <v>51196</v>
      </c>
      <c r="B314" s="63">
        <f>5.0883 * CHOOSE(CONTROL!$C$22, $C$13, 100%, $E$13)</f>
        <v>5.0883000000000003</v>
      </c>
      <c r="C314" s="63">
        <f>5.0883 * CHOOSE(CONTROL!$C$22, $C$13, 100%, $E$13)</f>
        <v>5.0883000000000003</v>
      </c>
      <c r="D314" s="63">
        <f>5.1056 * CHOOSE(CONTROL!$C$22, $C$13, 100%, $E$13)</f>
        <v>5.1055999999999999</v>
      </c>
      <c r="E314" s="64">
        <f>5.8349 * CHOOSE(CONTROL!$C$22, $C$13, 100%, $E$13)</f>
        <v>5.8349000000000002</v>
      </c>
      <c r="F314" s="64">
        <f>5.8349 * CHOOSE(CONTROL!$C$22, $C$13, 100%, $E$13)</f>
        <v>5.8349000000000002</v>
      </c>
      <c r="G314" s="64">
        <f>5.835 * CHOOSE(CONTROL!$C$22, $C$13, 100%, $E$13)</f>
        <v>5.835</v>
      </c>
      <c r="H314" s="64">
        <f>10.4796* CHOOSE(CONTROL!$C$22, $C$13, 100%, $E$13)</f>
        <v>10.4796</v>
      </c>
      <c r="I314" s="64">
        <f>10.4798 * CHOOSE(CONTROL!$C$22, $C$13, 100%, $E$13)</f>
        <v>10.479799999999999</v>
      </c>
      <c r="J314" s="64">
        <f>5.8349 * CHOOSE(CONTROL!$C$22, $C$13, 100%, $E$13)</f>
        <v>5.8349000000000002</v>
      </c>
      <c r="K314" s="64">
        <f>5.835 * CHOOSE(CONTROL!$C$22, $C$13, 100%, $E$13)</f>
        <v>5.835</v>
      </c>
    </row>
    <row r="315" spans="1:11" ht="15">
      <c r="A315" s="13">
        <v>51227</v>
      </c>
      <c r="B315" s="63">
        <f>5.0869 * CHOOSE(CONTROL!$C$22, $C$13, 100%, $E$13)</f>
        <v>5.0869</v>
      </c>
      <c r="C315" s="63">
        <f>5.0869 * CHOOSE(CONTROL!$C$22, $C$13, 100%, $E$13)</f>
        <v>5.0869</v>
      </c>
      <c r="D315" s="63">
        <f>5.1043 * CHOOSE(CONTROL!$C$22, $C$13, 100%, $E$13)</f>
        <v>5.1043000000000003</v>
      </c>
      <c r="E315" s="64">
        <f>5.8847 * CHOOSE(CONTROL!$C$22, $C$13, 100%, $E$13)</f>
        <v>5.8846999999999996</v>
      </c>
      <c r="F315" s="64">
        <f>5.8847 * CHOOSE(CONTROL!$C$22, $C$13, 100%, $E$13)</f>
        <v>5.8846999999999996</v>
      </c>
      <c r="G315" s="64">
        <f>5.8849 * CHOOSE(CONTROL!$C$22, $C$13, 100%, $E$13)</f>
        <v>5.8849</v>
      </c>
      <c r="H315" s="64">
        <f>10.5015* CHOOSE(CONTROL!$C$22, $C$13, 100%, $E$13)</f>
        <v>10.5015</v>
      </c>
      <c r="I315" s="64">
        <f>10.5017 * CHOOSE(CONTROL!$C$22, $C$13, 100%, $E$13)</f>
        <v>10.5017</v>
      </c>
      <c r="J315" s="64">
        <f>5.8847 * CHOOSE(CONTROL!$C$22, $C$13, 100%, $E$13)</f>
        <v>5.8846999999999996</v>
      </c>
      <c r="K315" s="64">
        <f>5.8849 * CHOOSE(CONTROL!$C$22, $C$13, 100%, $E$13)</f>
        <v>5.8849</v>
      </c>
    </row>
    <row r="316" spans="1:11" ht="15">
      <c r="A316" s="13">
        <v>51257</v>
      </c>
      <c r="B316" s="63">
        <f>5.0869 * CHOOSE(CONTROL!$C$22, $C$13, 100%, $E$13)</f>
        <v>5.0869</v>
      </c>
      <c r="C316" s="63">
        <f>5.0869 * CHOOSE(CONTROL!$C$22, $C$13, 100%, $E$13)</f>
        <v>5.0869</v>
      </c>
      <c r="D316" s="63">
        <f>5.1216 * CHOOSE(CONTROL!$C$22, $C$13, 100%, $E$13)</f>
        <v>5.1215999999999999</v>
      </c>
      <c r="E316" s="64">
        <f>5.905 * CHOOSE(CONTROL!$C$22, $C$13, 100%, $E$13)</f>
        <v>5.9050000000000002</v>
      </c>
      <c r="F316" s="64">
        <f>5.905 * CHOOSE(CONTROL!$C$22, $C$13, 100%, $E$13)</f>
        <v>5.9050000000000002</v>
      </c>
      <c r="G316" s="64">
        <f>5.9071 * CHOOSE(CONTROL!$C$22, $C$13, 100%, $E$13)</f>
        <v>5.9070999999999998</v>
      </c>
      <c r="H316" s="64">
        <f>10.5234* CHOOSE(CONTROL!$C$22, $C$13, 100%, $E$13)</f>
        <v>10.523400000000001</v>
      </c>
      <c r="I316" s="64">
        <f>10.5255 * CHOOSE(CONTROL!$C$22, $C$13, 100%, $E$13)</f>
        <v>10.525499999999999</v>
      </c>
      <c r="J316" s="64">
        <f>5.905 * CHOOSE(CONTROL!$C$22, $C$13, 100%, $E$13)</f>
        <v>5.9050000000000002</v>
      </c>
      <c r="K316" s="64">
        <f>5.9071 * CHOOSE(CONTROL!$C$22, $C$13, 100%, $E$13)</f>
        <v>5.9070999999999998</v>
      </c>
    </row>
    <row r="317" spans="1:11" ht="15">
      <c r="A317" s="13">
        <v>51288</v>
      </c>
      <c r="B317" s="63">
        <f>5.093 * CHOOSE(CONTROL!$C$22, $C$13, 100%, $E$13)</f>
        <v>5.093</v>
      </c>
      <c r="C317" s="63">
        <f>5.093 * CHOOSE(CONTROL!$C$22, $C$13, 100%, $E$13)</f>
        <v>5.093</v>
      </c>
      <c r="D317" s="63">
        <f>5.1277 * CHOOSE(CONTROL!$C$22, $C$13, 100%, $E$13)</f>
        <v>5.1276999999999999</v>
      </c>
      <c r="E317" s="64">
        <f>5.889 * CHOOSE(CONTROL!$C$22, $C$13, 100%, $E$13)</f>
        <v>5.8890000000000002</v>
      </c>
      <c r="F317" s="64">
        <f>5.889 * CHOOSE(CONTROL!$C$22, $C$13, 100%, $E$13)</f>
        <v>5.8890000000000002</v>
      </c>
      <c r="G317" s="64">
        <f>5.8911 * CHOOSE(CONTROL!$C$22, $C$13, 100%, $E$13)</f>
        <v>5.8910999999999998</v>
      </c>
      <c r="H317" s="64">
        <f>10.5453* CHOOSE(CONTROL!$C$22, $C$13, 100%, $E$13)</f>
        <v>10.545299999999999</v>
      </c>
      <c r="I317" s="64">
        <f>10.5474 * CHOOSE(CONTROL!$C$22, $C$13, 100%, $E$13)</f>
        <v>10.5474</v>
      </c>
      <c r="J317" s="64">
        <f>5.889 * CHOOSE(CONTROL!$C$22, $C$13, 100%, $E$13)</f>
        <v>5.8890000000000002</v>
      </c>
      <c r="K317" s="64">
        <f>5.8911 * CHOOSE(CONTROL!$C$22, $C$13, 100%, $E$13)</f>
        <v>5.8910999999999998</v>
      </c>
    </row>
    <row r="318" spans="1:11" ht="15">
      <c r="A318" s="13">
        <v>51318</v>
      </c>
      <c r="B318" s="63">
        <f>5.1785 * CHOOSE(CONTROL!$C$22, $C$13, 100%, $E$13)</f>
        <v>5.1784999999999997</v>
      </c>
      <c r="C318" s="63">
        <f>5.1785 * CHOOSE(CONTROL!$C$22, $C$13, 100%, $E$13)</f>
        <v>5.1784999999999997</v>
      </c>
      <c r="D318" s="63">
        <f>5.2132 * CHOOSE(CONTROL!$C$22, $C$13, 100%, $E$13)</f>
        <v>5.2131999999999996</v>
      </c>
      <c r="E318" s="64">
        <f>6.0078 * CHOOSE(CONTROL!$C$22, $C$13, 100%, $E$13)</f>
        <v>6.0077999999999996</v>
      </c>
      <c r="F318" s="64">
        <f>6.0078 * CHOOSE(CONTROL!$C$22, $C$13, 100%, $E$13)</f>
        <v>6.0077999999999996</v>
      </c>
      <c r="G318" s="64">
        <f>6.0099 * CHOOSE(CONTROL!$C$22, $C$13, 100%, $E$13)</f>
        <v>6.0099</v>
      </c>
      <c r="H318" s="64">
        <f>10.5673* CHOOSE(CONTROL!$C$22, $C$13, 100%, $E$13)</f>
        <v>10.567299999999999</v>
      </c>
      <c r="I318" s="64">
        <f>10.5694 * CHOOSE(CONTROL!$C$22, $C$13, 100%, $E$13)</f>
        <v>10.5694</v>
      </c>
      <c r="J318" s="64">
        <f>6.0078 * CHOOSE(CONTROL!$C$22, $C$13, 100%, $E$13)</f>
        <v>6.0077999999999996</v>
      </c>
      <c r="K318" s="64">
        <f>6.0099 * CHOOSE(CONTROL!$C$22, $C$13, 100%, $E$13)</f>
        <v>6.0099</v>
      </c>
    </row>
    <row r="319" spans="1:11" ht="15">
      <c r="A319" s="13">
        <v>51349</v>
      </c>
      <c r="B319" s="63">
        <f>5.1852 * CHOOSE(CONTROL!$C$22, $C$13, 100%, $E$13)</f>
        <v>5.1852</v>
      </c>
      <c r="C319" s="63">
        <f>5.1852 * CHOOSE(CONTROL!$C$22, $C$13, 100%, $E$13)</f>
        <v>5.1852</v>
      </c>
      <c r="D319" s="63">
        <f>5.2199 * CHOOSE(CONTROL!$C$22, $C$13, 100%, $E$13)</f>
        <v>5.2199</v>
      </c>
      <c r="E319" s="64">
        <f>5.9516 * CHOOSE(CONTROL!$C$22, $C$13, 100%, $E$13)</f>
        <v>5.9516</v>
      </c>
      <c r="F319" s="64">
        <f>5.9516 * CHOOSE(CONTROL!$C$22, $C$13, 100%, $E$13)</f>
        <v>5.9516</v>
      </c>
      <c r="G319" s="64">
        <f>5.9537 * CHOOSE(CONTROL!$C$22, $C$13, 100%, $E$13)</f>
        <v>5.9537000000000004</v>
      </c>
      <c r="H319" s="64">
        <f>10.5893* CHOOSE(CONTROL!$C$22, $C$13, 100%, $E$13)</f>
        <v>10.5893</v>
      </c>
      <c r="I319" s="64">
        <f>10.5914 * CHOOSE(CONTROL!$C$22, $C$13, 100%, $E$13)</f>
        <v>10.5914</v>
      </c>
      <c r="J319" s="64">
        <f>5.9516 * CHOOSE(CONTROL!$C$22, $C$13, 100%, $E$13)</f>
        <v>5.9516</v>
      </c>
      <c r="K319" s="64">
        <f>5.9537 * CHOOSE(CONTROL!$C$22, $C$13, 100%, $E$13)</f>
        <v>5.9537000000000004</v>
      </c>
    </row>
    <row r="320" spans="1:11" ht="15">
      <c r="A320" s="13">
        <v>51380</v>
      </c>
      <c r="B320" s="63">
        <f>5.1822 * CHOOSE(CONTROL!$C$22, $C$13, 100%, $E$13)</f>
        <v>5.1821999999999999</v>
      </c>
      <c r="C320" s="63">
        <f>5.1822 * CHOOSE(CONTROL!$C$22, $C$13, 100%, $E$13)</f>
        <v>5.1821999999999999</v>
      </c>
      <c r="D320" s="63">
        <f>5.2168 * CHOOSE(CONTROL!$C$22, $C$13, 100%, $E$13)</f>
        <v>5.2168000000000001</v>
      </c>
      <c r="E320" s="64">
        <f>5.9427 * CHOOSE(CONTROL!$C$22, $C$13, 100%, $E$13)</f>
        <v>5.9427000000000003</v>
      </c>
      <c r="F320" s="64">
        <f>5.9427 * CHOOSE(CONTROL!$C$22, $C$13, 100%, $E$13)</f>
        <v>5.9427000000000003</v>
      </c>
      <c r="G320" s="64">
        <f>5.9449 * CHOOSE(CONTROL!$C$22, $C$13, 100%, $E$13)</f>
        <v>5.9448999999999996</v>
      </c>
      <c r="H320" s="64">
        <f>10.6113* CHOOSE(CONTROL!$C$22, $C$13, 100%, $E$13)</f>
        <v>10.6113</v>
      </c>
      <c r="I320" s="64">
        <f>10.6135 * CHOOSE(CONTROL!$C$22, $C$13, 100%, $E$13)</f>
        <v>10.6135</v>
      </c>
      <c r="J320" s="64">
        <f>5.9427 * CHOOSE(CONTROL!$C$22, $C$13, 100%, $E$13)</f>
        <v>5.9427000000000003</v>
      </c>
      <c r="K320" s="64">
        <f>5.9449 * CHOOSE(CONTROL!$C$22, $C$13, 100%, $E$13)</f>
        <v>5.9448999999999996</v>
      </c>
    </row>
    <row r="321" spans="1:11" ht="15">
      <c r="A321" s="13">
        <v>51410</v>
      </c>
      <c r="B321" s="63">
        <f>5.1814 * CHOOSE(CONTROL!$C$22, $C$13, 100%, $E$13)</f>
        <v>5.1814</v>
      </c>
      <c r="C321" s="63">
        <f>5.1814 * CHOOSE(CONTROL!$C$22, $C$13, 100%, $E$13)</f>
        <v>5.1814</v>
      </c>
      <c r="D321" s="63">
        <f>5.1988 * CHOOSE(CONTROL!$C$22, $C$13, 100%, $E$13)</f>
        <v>5.1988000000000003</v>
      </c>
      <c r="E321" s="64">
        <f>5.9563 * CHOOSE(CONTROL!$C$22, $C$13, 100%, $E$13)</f>
        <v>5.9562999999999997</v>
      </c>
      <c r="F321" s="64">
        <f>5.9563 * CHOOSE(CONTROL!$C$22, $C$13, 100%, $E$13)</f>
        <v>5.9562999999999997</v>
      </c>
      <c r="G321" s="64">
        <f>5.9565 * CHOOSE(CONTROL!$C$22, $C$13, 100%, $E$13)</f>
        <v>5.9565000000000001</v>
      </c>
      <c r="H321" s="64">
        <f>10.6334* CHOOSE(CONTROL!$C$22, $C$13, 100%, $E$13)</f>
        <v>10.6334</v>
      </c>
      <c r="I321" s="64">
        <f>10.6336 * CHOOSE(CONTROL!$C$22, $C$13, 100%, $E$13)</f>
        <v>10.633599999999999</v>
      </c>
      <c r="J321" s="64">
        <f>5.9563 * CHOOSE(CONTROL!$C$22, $C$13, 100%, $E$13)</f>
        <v>5.9562999999999997</v>
      </c>
      <c r="K321" s="64">
        <f>5.9565 * CHOOSE(CONTROL!$C$22, $C$13, 100%, $E$13)</f>
        <v>5.9565000000000001</v>
      </c>
    </row>
    <row r="322" spans="1:11" ht="15">
      <c r="A322" s="13">
        <v>51441</v>
      </c>
      <c r="B322" s="63">
        <f>5.1845 * CHOOSE(CONTROL!$C$22, $C$13, 100%, $E$13)</f>
        <v>5.1844999999999999</v>
      </c>
      <c r="C322" s="63">
        <f>5.1845 * CHOOSE(CONTROL!$C$22, $C$13, 100%, $E$13)</f>
        <v>5.1844999999999999</v>
      </c>
      <c r="D322" s="63">
        <f>5.2018 * CHOOSE(CONTROL!$C$22, $C$13, 100%, $E$13)</f>
        <v>5.2018000000000004</v>
      </c>
      <c r="E322" s="64">
        <f>5.972 * CHOOSE(CONTROL!$C$22, $C$13, 100%, $E$13)</f>
        <v>5.9720000000000004</v>
      </c>
      <c r="F322" s="64">
        <f>5.972 * CHOOSE(CONTROL!$C$22, $C$13, 100%, $E$13)</f>
        <v>5.9720000000000004</v>
      </c>
      <c r="G322" s="64">
        <f>5.9722 * CHOOSE(CONTROL!$C$22, $C$13, 100%, $E$13)</f>
        <v>5.9722</v>
      </c>
      <c r="H322" s="64">
        <f>10.6556* CHOOSE(CONTROL!$C$22, $C$13, 100%, $E$13)</f>
        <v>10.6556</v>
      </c>
      <c r="I322" s="64">
        <f>10.6558 * CHOOSE(CONTROL!$C$22, $C$13, 100%, $E$13)</f>
        <v>10.655799999999999</v>
      </c>
      <c r="J322" s="64">
        <f>5.972 * CHOOSE(CONTROL!$C$22, $C$13, 100%, $E$13)</f>
        <v>5.9720000000000004</v>
      </c>
      <c r="K322" s="64">
        <f>5.9722 * CHOOSE(CONTROL!$C$22, $C$13, 100%, $E$13)</f>
        <v>5.9722</v>
      </c>
    </row>
    <row r="323" spans="1:11" ht="15">
      <c r="A323" s="13">
        <v>51471</v>
      </c>
      <c r="B323" s="63">
        <f>5.1845 * CHOOSE(CONTROL!$C$22, $C$13, 100%, $E$13)</f>
        <v>5.1844999999999999</v>
      </c>
      <c r="C323" s="63">
        <f>5.1845 * CHOOSE(CONTROL!$C$22, $C$13, 100%, $E$13)</f>
        <v>5.1844999999999999</v>
      </c>
      <c r="D323" s="63">
        <f>5.2018 * CHOOSE(CONTROL!$C$22, $C$13, 100%, $E$13)</f>
        <v>5.2018000000000004</v>
      </c>
      <c r="E323" s="64">
        <f>5.9382 * CHOOSE(CONTROL!$C$22, $C$13, 100%, $E$13)</f>
        <v>5.9382000000000001</v>
      </c>
      <c r="F323" s="64">
        <f>5.9382 * CHOOSE(CONTROL!$C$22, $C$13, 100%, $E$13)</f>
        <v>5.9382000000000001</v>
      </c>
      <c r="G323" s="64">
        <f>5.9384 * CHOOSE(CONTROL!$C$22, $C$13, 100%, $E$13)</f>
        <v>5.9383999999999997</v>
      </c>
      <c r="H323" s="64">
        <f>10.6778* CHOOSE(CONTROL!$C$22, $C$13, 100%, $E$13)</f>
        <v>10.6778</v>
      </c>
      <c r="I323" s="64">
        <f>10.678 * CHOOSE(CONTROL!$C$22, $C$13, 100%, $E$13)</f>
        <v>10.678000000000001</v>
      </c>
      <c r="J323" s="64">
        <f>5.9382 * CHOOSE(CONTROL!$C$22, $C$13, 100%, $E$13)</f>
        <v>5.9382000000000001</v>
      </c>
      <c r="K323" s="64">
        <f>5.9384 * CHOOSE(CONTROL!$C$22, $C$13, 100%, $E$13)</f>
        <v>5.9383999999999997</v>
      </c>
    </row>
    <row r="324" spans="1:11" ht="15">
      <c r="A324" s="13">
        <v>51502</v>
      </c>
      <c r="B324" s="63">
        <f>5.2322 * CHOOSE(CONTROL!$C$22, $C$13, 100%, $E$13)</f>
        <v>5.2321999999999997</v>
      </c>
      <c r="C324" s="63">
        <f>5.2322 * CHOOSE(CONTROL!$C$22, $C$13, 100%, $E$13)</f>
        <v>5.2321999999999997</v>
      </c>
      <c r="D324" s="63">
        <f>5.2496 * CHOOSE(CONTROL!$C$22, $C$13, 100%, $E$13)</f>
        <v>5.2496</v>
      </c>
      <c r="E324" s="64">
        <f>6.0167 * CHOOSE(CONTROL!$C$22, $C$13, 100%, $E$13)</f>
        <v>6.0167000000000002</v>
      </c>
      <c r="F324" s="64">
        <f>6.0167 * CHOOSE(CONTROL!$C$22, $C$13, 100%, $E$13)</f>
        <v>6.0167000000000002</v>
      </c>
      <c r="G324" s="64">
        <f>6.0168 * CHOOSE(CONTROL!$C$22, $C$13, 100%, $E$13)</f>
        <v>6.0167999999999999</v>
      </c>
      <c r="H324" s="64">
        <f>10.7* CHOOSE(CONTROL!$C$22, $C$13, 100%, $E$13)</f>
        <v>10.7</v>
      </c>
      <c r="I324" s="64">
        <f>10.7002 * CHOOSE(CONTROL!$C$22, $C$13, 100%, $E$13)</f>
        <v>10.700200000000001</v>
      </c>
      <c r="J324" s="64">
        <f>6.0167 * CHOOSE(CONTROL!$C$22, $C$13, 100%, $E$13)</f>
        <v>6.0167000000000002</v>
      </c>
      <c r="K324" s="64">
        <f>6.0168 * CHOOSE(CONTROL!$C$22, $C$13, 100%, $E$13)</f>
        <v>6.0167999999999999</v>
      </c>
    </row>
    <row r="325" spans="1:11" ht="15">
      <c r="A325" s="13">
        <v>51533</v>
      </c>
      <c r="B325" s="63">
        <f>5.2292 * CHOOSE(CONTROL!$C$22, $C$13, 100%, $E$13)</f>
        <v>5.2291999999999996</v>
      </c>
      <c r="C325" s="63">
        <f>5.2292 * CHOOSE(CONTROL!$C$22, $C$13, 100%, $E$13)</f>
        <v>5.2291999999999996</v>
      </c>
      <c r="D325" s="63">
        <f>5.2465 * CHOOSE(CONTROL!$C$22, $C$13, 100%, $E$13)</f>
        <v>5.2465000000000002</v>
      </c>
      <c r="E325" s="64">
        <f>5.9489 * CHOOSE(CONTROL!$C$22, $C$13, 100%, $E$13)</f>
        <v>5.9489000000000001</v>
      </c>
      <c r="F325" s="64">
        <f>5.9489 * CHOOSE(CONTROL!$C$22, $C$13, 100%, $E$13)</f>
        <v>5.9489000000000001</v>
      </c>
      <c r="G325" s="64">
        <f>5.949 * CHOOSE(CONTROL!$C$22, $C$13, 100%, $E$13)</f>
        <v>5.9489999999999998</v>
      </c>
      <c r="H325" s="64">
        <f>10.7223* CHOOSE(CONTROL!$C$22, $C$13, 100%, $E$13)</f>
        <v>10.722300000000001</v>
      </c>
      <c r="I325" s="64">
        <f>10.7225 * CHOOSE(CONTROL!$C$22, $C$13, 100%, $E$13)</f>
        <v>10.7225</v>
      </c>
      <c r="J325" s="64">
        <f>5.9489 * CHOOSE(CONTROL!$C$22, $C$13, 100%, $E$13)</f>
        <v>5.9489000000000001</v>
      </c>
      <c r="K325" s="64">
        <f>5.949 * CHOOSE(CONTROL!$C$22, $C$13, 100%, $E$13)</f>
        <v>5.9489999999999998</v>
      </c>
    </row>
    <row r="326" spans="1:11" ht="15">
      <c r="A326" s="13">
        <v>51561</v>
      </c>
      <c r="B326" s="63">
        <f>5.2262 * CHOOSE(CONTROL!$C$22, $C$13, 100%, $E$13)</f>
        <v>5.2262000000000004</v>
      </c>
      <c r="C326" s="63">
        <f>5.2262 * CHOOSE(CONTROL!$C$22, $C$13, 100%, $E$13)</f>
        <v>5.2262000000000004</v>
      </c>
      <c r="D326" s="63">
        <f>5.2435 * CHOOSE(CONTROL!$C$22, $C$13, 100%, $E$13)</f>
        <v>5.2435</v>
      </c>
      <c r="E326" s="64">
        <f>5.9985 * CHOOSE(CONTROL!$C$22, $C$13, 100%, $E$13)</f>
        <v>5.9984999999999999</v>
      </c>
      <c r="F326" s="64">
        <f>5.9985 * CHOOSE(CONTROL!$C$22, $C$13, 100%, $E$13)</f>
        <v>5.9984999999999999</v>
      </c>
      <c r="G326" s="64">
        <f>5.9987 * CHOOSE(CONTROL!$C$22, $C$13, 100%, $E$13)</f>
        <v>5.9987000000000004</v>
      </c>
      <c r="H326" s="64">
        <f>10.7447* CHOOSE(CONTROL!$C$22, $C$13, 100%, $E$13)</f>
        <v>10.7447</v>
      </c>
      <c r="I326" s="64">
        <f>10.7448 * CHOOSE(CONTROL!$C$22, $C$13, 100%, $E$13)</f>
        <v>10.7448</v>
      </c>
      <c r="J326" s="64">
        <f>5.9985 * CHOOSE(CONTROL!$C$22, $C$13, 100%, $E$13)</f>
        <v>5.9984999999999999</v>
      </c>
      <c r="K326" s="64">
        <f>5.9987 * CHOOSE(CONTROL!$C$22, $C$13, 100%, $E$13)</f>
        <v>5.9987000000000004</v>
      </c>
    </row>
    <row r="327" spans="1:11" ht="15">
      <c r="A327" s="13">
        <v>51592</v>
      </c>
      <c r="B327" s="63">
        <f>5.2249 * CHOOSE(CONTROL!$C$22, $C$13, 100%, $E$13)</f>
        <v>5.2248999999999999</v>
      </c>
      <c r="C327" s="63">
        <f>5.2249 * CHOOSE(CONTROL!$C$22, $C$13, 100%, $E$13)</f>
        <v>5.2248999999999999</v>
      </c>
      <c r="D327" s="63">
        <f>5.2423 * CHOOSE(CONTROL!$C$22, $C$13, 100%, $E$13)</f>
        <v>5.2423000000000002</v>
      </c>
      <c r="E327" s="64">
        <f>6.0499 * CHOOSE(CONTROL!$C$22, $C$13, 100%, $E$13)</f>
        <v>6.0499000000000001</v>
      </c>
      <c r="F327" s="64">
        <f>6.0499 * CHOOSE(CONTROL!$C$22, $C$13, 100%, $E$13)</f>
        <v>6.0499000000000001</v>
      </c>
      <c r="G327" s="64">
        <f>6.0501 * CHOOSE(CONTROL!$C$22, $C$13, 100%, $E$13)</f>
        <v>6.0500999999999996</v>
      </c>
      <c r="H327" s="64">
        <f>10.767* CHOOSE(CONTROL!$C$22, $C$13, 100%, $E$13)</f>
        <v>10.766999999999999</v>
      </c>
      <c r="I327" s="64">
        <f>10.7672 * CHOOSE(CONTROL!$C$22, $C$13, 100%, $E$13)</f>
        <v>10.767200000000001</v>
      </c>
      <c r="J327" s="64">
        <f>6.0499 * CHOOSE(CONTROL!$C$22, $C$13, 100%, $E$13)</f>
        <v>6.0499000000000001</v>
      </c>
      <c r="K327" s="64">
        <f>6.0501 * CHOOSE(CONTROL!$C$22, $C$13, 100%, $E$13)</f>
        <v>6.0500999999999996</v>
      </c>
    </row>
    <row r="328" spans="1:11" ht="15">
      <c r="A328" s="13">
        <v>51622</v>
      </c>
      <c r="B328" s="63">
        <f>5.2249 * CHOOSE(CONTROL!$C$22, $C$13, 100%, $E$13)</f>
        <v>5.2248999999999999</v>
      </c>
      <c r="C328" s="63">
        <f>5.2249 * CHOOSE(CONTROL!$C$22, $C$13, 100%, $E$13)</f>
        <v>5.2248999999999999</v>
      </c>
      <c r="D328" s="63">
        <f>5.2596 * CHOOSE(CONTROL!$C$22, $C$13, 100%, $E$13)</f>
        <v>5.2595999999999998</v>
      </c>
      <c r="E328" s="64">
        <f>6.0707 * CHOOSE(CONTROL!$C$22, $C$13, 100%, $E$13)</f>
        <v>6.0707000000000004</v>
      </c>
      <c r="F328" s="64">
        <f>6.0707 * CHOOSE(CONTROL!$C$22, $C$13, 100%, $E$13)</f>
        <v>6.0707000000000004</v>
      </c>
      <c r="G328" s="64">
        <f>6.0729 * CHOOSE(CONTROL!$C$22, $C$13, 100%, $E$13)</f>
        <v>6.0728999999999997</v>
      </c>
      <c r="H328" s="64">
        <f>10.7895* CHOOSE(CONTROL!$C$22, $C$13, 100%, $E$13)</f>
        <v>10.7895</v>
      </c>
      <c r="I328" s="64">
        <f>10.7916 * CHOOSE(CONTROL!$C$22, $C$13, 100%, $E$13)</f>
        <v>10.791600000000001</v>
      </c>
      <c r="J328" s="64">
        <f>6.0707 * CHOOSE(CONTROL!$C$22, $C$13, 100%, $E$13)</f>
        <v>6.0707000000000004</v>
      </c>
      <c r="K328" s="64">
        <f>6.0729 * CHOOSE(CONTROL!$C$22, $C$13, 100%, $E$13)</f>
        <v>6.0728999999999997</v>
      </c>
    </row>
    <row r="329" spans="1:11" ht="15">
      <c r="A329" s="13">
        <v>51653</v>
      </c>
      <c r="B329" s="63">
        <f>5.231 * CHOOSE(CONTROL!$C$22, $C$13, 100%, $E$13)</f>
        <v>5.2309999999999999</v>
      </c>
      <c r="C329" s="63">
        <f>5.231 * CHOOSE(CONTROL!$C$22, $C$13, 100%, $E$13)</f>
        <v>5.2309999999999999</v>
      </c>
      <c r="D329" s="63">
        <f>5.2657 * CHOOSE(CONTROL!$C$22, $C$13, 100%, $E$13)</f>
        <v>5.2656999999999998</v>
      </c>
      <c r="E329" s="64">
        <f>6.0541 * CHOOSE(CONTROL!$C$22, $C$13, 100%, $E$13)</f>
        <v>6.0541</v>
      </c>
      <c r="F329" s="64">
        <f>6.0541 * CHOOSE(CONTROL!$C$22, $C$13, 100%, $E$13)</f>
        <v>6.0541</v>
      </c>
      <c r="G329" s="64">
        <f>6.0563 * CHOOSE(CONTROL!$C$22, $C$13, 100%, $E$13)</f>
        <v>6.0563000000000002</v>
      </c>
      <c r="H329" s="64">
        <f>10.812* CHOOSE(CONTROL!$C$22, $C$13, 100%, $E$13)</f>
        <v>10.811999999999999</v>
      </c>
      <c r="I329" s="64">
        <f>10.8141 * CHOOSE(CONTROL!$C$22, $C$13, 100%, $E$13)</f>
        <v>10.8141</v>
      </c>
      <c r="J329" s="64">
        <f>6.0541 * CHOOSE(CONTROL!$C$22, $C$13, 100%, $E$13)</f>
        <v>6.0541</v>
      </c>
      <c r="K329" s="64">
        <f>6.0563 * CHOOSE(CONTROL!$C$22, $C$13, 100%, $E$13)</f>
        <v>6.0563000000000002</v>
      </c>
    </row>
    <row r="330" spans="1:11" ht="15">
      <c r="A330" s="13">
        <v>51683</v>
      </c>
      <c r="B330" s="63">
        <f>5.3201 * CHOOSE(CONTROL!$C$22, $C$13, 100%, $E$13)</f>
        <v>5.3201000000000001</v>
      </c>
      <c r="C330" s="63">
        <f>5.3201 * CHOOSE(CONTROL!$C$22, $C$13, 100%, $E$13)</f>
        <v>5.3201000000000001</v>
      </c>
      <c r="D330" s="63">
        <f>5.3547 * CHOOSE(CONTROL!$C$22, $C$13, 100%, $E$13)</f>
        <v>5.3547000000000002</v>
      </c>
      <c r="E330" s="64">
        <f>6.1755 * CHOOSE(CONTROL!$C$22, $C$13, 100%, $E$13)</f>
        <v>6.1755000000000004</v>
      </c>
      <c r="F330" s="64">
        <f>6.1755 * CHOOSE(CONTROL!$C$22, $C$13, 100%, $E$13)</f>
        <v>6.1755000000000004</v>
      </c>
      <c r="G330" s="64">
        <f>6.1776 * CHOOSE(CONTROL!$C$22, $C$13, 100%, $E$13)</f>
        <v>6.1776</v>
      </c>
      <c r="H330" s="64">
        <f>10.8345* CHOOSE(CONTROL!$C$22, $C$13, 100%, $E$13)</f>
        <v>10.8345</v>
      </c>
      <c r="I330" s="64">
        <f>10.8366 * CHOOSE(CONTROL!$C$22, $C$13, 100%, $E$13)</f>
        <v>10.836600000000001</v>
      </c>
      <c r="J330" s="64">
        <f>6.1755 * CHOOSE(CONTROL!$C$22, $C$13, 100%, $E$13)</f>
        <v>6.1755000000000004</v>
      </c>
      <c r="K330" s="64">
        <f>6.1776 * CHOOSE(CONTROL!$C$22, $C$13, 100%, $E$13)</f>
        <v>6.1776</v>
      </c>
    </row>
    <row r="331" spans="1:11" ht="15">
      <c r="A331" s="13">
        <v>51714</v>
      </c>
      <c r="B331" s="63">
        <f>5.3268 * CHOOSE(CONTROL!$C$22, $C$13, 100%, $E$13)</f>
        <v>5.3268000000000004</v>
      </c>
      <c r="C331" s="63">
        <f>5.3268 * CHOOSE(CONTROL!$C$22, $C$13, 100%, $E$13)</f>
        <v>5.3268000000000004</v>
      </c>
      <c r="D331" s="63">
        <f>5.3614 * CHOOSE(CONTROL!$C$22, $C$13, 100%, $E$13)</f>
        <v>5.3613999999999997</v>
      </c>
      <c r="E331" s="64">
        <f>6.1176 * CHOOSE(CONTROL!$C$22, $C$13, 100%, $E$13)</f>
        <v>6.1176000000000004</v>
      </c>
      <c r="F331" s="64">
        <f>6.1176 * CHOOSE(CONTROL!$C$22, $C$13, 100%, $E$13)</f>
        <v>6.1176000000000004</v>
      </c>
      <c r="G331" s="64">
        <f>6.1197 * CHOOSE(CONTROL!$C$22, $C$13, 100%, $E$13)</f>
        <v>6.1196999999999999</v>
      </c>
      <c r="H331" s="64">
        <f>10.8571* CHOOSE(CONTROL!$C$22, $C$13, 100%, $E$13)</f>
        <v>10.857100000000001</v>
      </c>
      <c r="I331" s="64">
        <f>10.8592 * CHOOSE(CONTROL!$C$22, $C$13, 100%, $E$13)</f>
        <v>10.8592</v>
      </c>
      <c r="J331" s="64">
        <f>6.1176 * CHOOSE(CONTROL!$C$22, $C$13, 100%, $E$13)</f>
        <v>6.1176000000000004</v>
      </c>
      <c r="K331" s="64">
        <f>6.1197 * CHOOSE(CONTROL!$C$22, $C$13, 100%, $E$13)</f>
        <v>6.1196999999999999</v>
      </c>
    </row>
    <row r="332" spans="1:11" ht="15">
      <c r="A332" s="13">
        <v>51745</v>
      </c>
      <c r="B332" s="63">
        <f>5.3237 * CHOOSE(CONTROL!$C$22, $C$13, 100%, $E$13)</f>
        <v>5.3236999999999997</v>
      </c>
      <c r="C332" s="63">
        <f>5.3237 * CHOOSE(CONTROL!$C$22, $C$13, 100%, $E$13)</f>
        <v>5.3236999999999997</v>
      </c>
      <c r="D332" s="63">
        <f>5.3584 * CHOOSE(CONTROL!$C$22, $C$13, 100%, $E$13)</f>
        <v>5.3583999999999996</v>
      </c>
      <c r="E332" s="64">
        <f>6.1085 * CHOOSE(CONTROL!$C$22, $C$13, 100%, $E$13)</f>
        <v>6.1085000000000003</v>
      </c>
      <c r="F332" s="64">
        <f>6.1085 * CHOOSE(CONTROL!$C$22, $C$13, 100%, $E$13)</f>
        <v>6.1085000000000003</v>
      </c>
      <c r="G332" s="64">
        <f>6.1107 * CHOOSE(CONTROL!$C$22, $C$13, 100%, $E$13)</f>
        <v>6.1106999999999996</v>
      </c>
      <c r="H332" s="64">
        <f>10.8797* CHOOSE(CONTROL!$C$22, $C$13, 100%, $E$13)</f>
        <v>10.8797</v>
      </c>
      <c r="I332" s="64">
        <f>10.8818 * CHOOSE(CONTROL!$C$22, $C$13, 100%, $E$13)</f>
        <v>10.8818</v>
      </c>
      <c r="J332" s="64">
        <f>6.1085 * CHOOSE(CONTROL!$C$22, $C$13, 100%, $E$13)</f>
        <v>6.1085000000000003</v>
      </c>
      <c r="K332" s="64">
        <f>6.1107 * CHOOSE(CONTROL!$C$22, $C$13, 100%, $E$13)</f>
        <v>6.1106999999999996</v>
      </c>
    </row>
    <row r="333" spans="1:11" ht="15">
      <c r="A333" s="13">
        <v>51775</v>
      </c>
      <c r="B333" s="63">
        <f>5.3234 * CHOOSE(CONTROL!$C$22, $C$13, 100%, $E$13)</f>
        <v>5.3234000000000004</v>
      </c>
      <c r="C333" s="63">
        <f>5.3234 * CHOOSE(CONTROL!$C$22, $C$13, 100%, $E$13)</f>
        <v>5.3234000000000004</v>
      </c>
      <c r="D333" s="63">
        <f>5.3408 * CHOOSE(CONTROL!$C$22, $C$13, 100%, $E$13)</f>
        <v>5.3407999999999998</v>
      </c>
      <c r="E333" s="64">
        <f>6.1229 * CHOOSE(CONTROL!$C$22, $C$13, 100%, $E$13)</f>
        <v>6.1228999999999996</v>
      </c>
      <c r="F333" s="64">
        <f>6.1229 * CHOOSE(CONTROL!$C$22, $C$13, 100%, $E$13)</f>
        <v>6.1228999999999996</v>
      </c>
      <c r="G333" s="64">
        <f>6.1231 * CHOOSE(CONTROL!$C$22, $C$13, 100%, $E$13)</f>
        <v>6.1231</v>
      </c>
      <c r="H333" s="64">
        <f>10.9023* CHOOSE(CONTROL!$C$22, $C$13, 100%, $E$13)</f>
        <v>10.9023</v>
      </c>
      <c r="I333" s="64">
        <f>10.9025 * CHOOSE(CONTROL!$C$22, $C$13, 100%, $E$13)</f>
        <v>10.9025</v>
      </c>
      <c r="J333" s="64">
        <f>6.1229 * CHOOSE(CONTROL!$C$22, $C$13, 100%, $E$13)</f>
        <v>6.1228999999999996</v>
      </c>
      <c r="K333" s="64">
        <f>6.1231 * CHOOSE(CONTROL!$C$22, $C$13, 100%, $E$13)</f>
        <v>6.1231</v>
      </c>
    </row>
    <row r="334" spans="1:11" ht="15">
      <c r="A334" s="13">
        <v>51806</v>
      </c>
      <c r="B334" s="63">
        <f>5.3265 * CHOOSE(CONTROL!$C$22, $C$13, 100%, $E$13)</f>
        <v>5.3265000000000002</v>
      </c>
      <c r="C334" s="63">
        <f>5.3265 * CHOOSE(CONTROL!$C$22, $C$13, 100%, $E$13)</f>
        <v>5.3265000000000002</v>
      </c>
      <c r="D334" s="63">
        <f>5.3438 * CHOOSE(CONTROL!$C$22, $C$13, 100%, $E$13)</f>
        <v>5.3437999999999999</v>
      </c>
      <c r="E334" s="64">
        <f>6.1389 * CHOOSE(CONTROL!$C$22, $C$13, 100%, $E$13)</f>
        <v>6.1388999999999996</v>
      </c>
      <c r="F334" s="64">
        <f>6.1389 * CHOOSE(CONTROL!$C$22, $C$13, 100%, $E$13)</f>
        <v>6.1388999999999996</v>
      </c>
      <c r="G334" s="64">
        <f>6.1391 * CHOOSE(CONTROL!$C$22, $C$13, 100%, $E$13)</f>
        <v>6.1391</v>
      </c>
      <c r="H334" s="64">
        <f>10.9251* CHOOSE(CONTROL!$C$22, $C$13, 100%, $E$13)</f>
        <v>10.9251</v>
      </c>
      <c r="I334" s="64">
        <f>10.9252 * CHOOSE(CONTROL!$C$22, $C$13, 100%, $E$13)</f>
        <v>10.9252</v>
      </c>
      <c r="J334" s="64">
        <f>6.1389 * CHOOSE(CONTROL!$C$22, $C$13, 100%, $E$13)</f>
        <v>6.1388999999999996</v>
      </c>
      <c r="K334" s="64">
        <f>6.1391 * CHOOSE(CONTROL!$C$22, $C$13, 100%, $E$13)</f>
        <v>6.1391</v>
      </c>
    </row>
    <row r="335" spans="1:11" ht="15">
      <c r="A335" s="13">
        <v>51836</v>
      </c>
      <c r="B335" s="63">
        <f>5.3265 * CHOOSE(CONTROL!$C$22, $C$13, 100%, $E$13)</f>
        <v>5.3265000000000002</v>
      </c>
      <c r="C335" s="63">
        <f>5.3265 * CHOOSE(CONTROL!$C$22, $C$13, 100%, $E$13)</f>
        <v>5.3265000000000002</v>
      </c>
      <c r="D335" s="63">
        <f>5.3438 * CHOOSE(CONTROL!$C$22, $C$13, 100%, $E$13)</f>
        <v>5.3437999999999999</v>
      </c>
      <c r="E335" s="64">
        <f>6.1042 * CHOOSE(CONTROL!$C$22, $C$13, 100%, $E$13)</f>
        <v>6.1041999999999996</v>
      </c>
      <c r="F335" s="64">
        <f>6.1042 * CHOOSE(CONTROL!$C$22, $C$13, 100%, $E$13)</f>
        <v>6.1041999999999996</v>
      </c>
      <c r="G335" s="64">
        <f>6.1044 * CHOOSE(CONTROL!$C$22, $C$13, 100%, $E$13)</f>
        <v>6.1044</v>
      </c>
      <c r="H335" s="64">
        <f>10.9478* CHOOSE(CONTROL!$C$22, $C$13, 100%, $E$13)</f>
        <v>10.947800000000001</v>
      </c>
      <c r="I335" s="64">
        <f>10.948 * CHOOSE(CONTROL!$C$22, $C$13, 100%, $E$13)</f>
        <v>10.948</v>
      </c>
      <c r="J335" s="64">
        <f>6.1042 * CHOOSE(CONTROL!$C$22, $C$13, 100%, $E$13)</f>
        <v>6.1041999999999996</v>
      </c>
      <c r="K335" s="64">
        <f>6.1044 * CHOOSE(CONTROL!$C$22, $C$13, 100%, $E$13)</f>
        <v>6.1044</v>
      </c>
    </row>
    <row r="336" spans="1:11" ht="15">
      <c r="A336" s="13">
        <v>51867</v>
      </c>
      <c r="B336" s="63">
        <f>5.375 * CHOOSE(CONTROL!$C$22, $C$13, 100%, $E$13)</f>
        <v>5.375</v>
      </c>
      <c r="C336" s="63">
        <f>5.375 * CHOOSE(CONTROL!$C$22, $C$13, 100%, $E$13)</f>
        <v>5.375</v>
      </c>
      <c r="D336" s="63">
        <f>5.3924 * CHOOSE(CONTROL!$C$22, $C$13, 100%, $E$13)</f>
        <v>5.3924000000000003</v>
      </c>
      <c r="E336" s="64">
        <f>6.1849 * CHOOSE(CONTROL!$C$22, $C$13, 100%, $E$13)</f>
        <v>6.1848999999999998</v>
      </c>
      <c r="F336" s="64">
        <f>6.1849 * CHOOSE(CONTROL!$C$22, $C$13, 100%, $E$13)</f>
        <v>6.1848999999999998</v>
      </c>
      <c r="G336" s="64">
        <f>6.1851 * CHOOSE(CONTROL!$C$22, $C$13, 100%, $E$13)</f>
        <v>6.1851000000000003</v>
      </c>
      <c r="H336" s="64">
        <f>10.9706* CHOOSE(CONTROL!$C$22, $C$13, 100%, $E$13)</f>
        <v>10.970599999999999</v>
      </c>
      <c r="I336" s="64">
        <f>10.9708 * CHOOSE(CONTROL!$C$22, $C$13, 100%, $E$13)</f>
        <v>10.970800000000001</v>
      </c>
      <c r="J336" s="64">
        <f>6.1849 * CHOOSE(CONTROL!$C$22, $C$13, 100%, $E$13)</f>
        <v>6.1848999999999998</v>
      </c>
      <c r="K336" s="64">
        <f>6.1851 * CHOOSE(CONTROL!$C$22, $C$13, 100%, $E$13)</f>
        <v>6.1851000000000003</v>
      </c>
    </row>
    <row r="337" spans="1:11" ht="15">
      <c r="A337" s="13">
        <v>51898</v>
      </c>
      <c r="B337" s="63">
        <f>5.372 * CHOOSE(CONTROL!$C$22, $C$13, 100%, $E$13)</f>
        <v>5.3719999999999999</v>
      </c>
      <c r="C337" s="63">
        <f>5.372 * CHOOSE(CONTROL!$C$22, $C$13, 100%, $E$13)</f>
        <v>5.3719999999999999</v>
      </c>
      <c r="D337" s="63">
        <f>5.3893 * CHOOSE(CONTROL!$C$22, $C$13, 100%, $E$13)</f>
        <v>5.3893000000000004</v>
      </c>
      <c r="E337" s="64">
        <f>6.1153 * CHOOSE(CONTROL!$C$22, $C$13, 100%, $E$13)</f>
        <v>6.1153000000000004</v>
      </c>
      <c r="F337" s="64">
        <f>6.1153 * CHOOSE(CONTROL!$C$22, $C$13, 100%, $E$13)</f>
        <v>6.1153000000000004</v>
      </c>
      <c r="G337" s="64">
        <f>6.1154 * CHOOSE(CONTROL!$C$22, $C$13, 100%, $E$13)</f>
        <v>6.1154000000000002</v>
      </c>
      <c r="H337" s="64">
        <f>10.9935* CHOOSE(CONTROL!$C$22, $C$13, 100%, $E$13)</f>
        <v>10.993499999999999</v>
      </c>
      <c r="I337" s="64">
        <f>10.9937 * CHOOSE(CONTROL!$C$22, $C$13, 100%, $E$13)</f>
        <v>10.9937</v>
      </c>
      <c r="J337" s="64">
        <f>6.1153 * CHOOSE(CONTROL!$C$22, $C$13, 100%, $E$13)</f>
        <v>6.1153000000000004</v>
      </c>
      <c r="K337" s="64">
        <f>6.1154 * CHOOSE(CONTROL!$C$22, $C$13, 100%, $E$13)</f>
        <v>6.1154000000000002</v>
      </c>
    </row>
    <row r="338" spans="1:11" ht="15">
      <c r="A338" s="13">
        <v>51926</v>
      </c>
      <c r="B338" s="63">
        <f>5.369 * CHOOSE(CONTROL!$C$22, $C$13, 100%, $E$13)</f>
        <v>5.3689999999999998</v>
      </c>
      <c r="C338" s="63">
        <f>5.369 * CHOOSE(CONTROL!$C$22, $C$13, 100%, $E$13)</f>
        <v>5.3689999999999998</v>
      </c>
      <c r="D338" s="63">
        <f>5.3863 * CHOOSE(CONTROL!$C$22, $C$13, 100%, $E$13)</f>
        <v>5.3863000000000003</v>
      </c>
      <c r="E338" s="64">
        <f>6.1664 * CHOOSE(CONTROL!$C$22, $C$13, 100%, $E$13)</f>
        <v>6.1664000000000003</v>
      </c>
      <c r="F338" s="64">
        <f>6.1664 * CHOOSE(CONTROL!$C$22, $C$13, 100%, $E$13)</f>
        <v>6.1664000000000003</v>
      </c>
      <c r="G338" s="64">
        <f>6.1665 * CHOOSE(CONTROL!$C$22, $C$13, 100%, $E$13)</f>
        <v>6.1665000000000001</v>
      </c>
      <c r="H338" s="64">
        <f>11.0164* CHOOSE(CONTROL!$C$22, $C$13, 100%, $E$13)</f>
        <v>11.016400000000001</v>
      </c>
      <c r="I338" s="64">
        <f>11.0166 * CHOOSE(CONTROL!$C$22, $C$13, 100%, $E$13)</f>
        <v>11.0166</v>
      </c>
      <c r="J338" s="64">
        <f>6.1664 * CHOOSE(CONTROL!$C$22, $C$13, 100%, $E$13)</f>
        <v>6.1664000000000003</v>
      </c>
      <c r="K338" s="64">
        <f>6.1665 * CHOOSE(CONTROL!$C$22, $C$13, 100%, $E$13)</f>
        <v>6.1665000000000001</v>
      </c>
    </row>
    <row r="339" spans="1:11" ht="15">
      <c r="A339" s="13">
        <v>51957</v>
      </c>
      <c r="B339" s="63">
        <f>5.3679 * CHOOSE(CONTROL!$C$22, $C$13, 100%, $E$13)</f>
        <v>5.3678999999999997</v>
      </c>
      <c r="C339" s="63">
        <f>5.3679 * CHOOSE(CONTROL!$C$22, $C$13, 100%, $E$13)</f>
        <v>5.3678999999999997</v>
      </c>
      <c r="D339" s="63">
        <f>5.3852 * CHOOSE(CONTROL!$C$22, $C$13, 100%, $E$13)</f>
        <v>5.3852000000000002</v>
      </c>
      <c r="E339" s="64">
        <f>6.2193 * CHOOSE(CONTROL!$C$22, $C$13, 100%, $E$13)</f>
        <v>6.2192999999999996</v>
      </c>
      <c r="F339" s="64">
        <f>6.2193 * CHOOSE(CONTROL!$C$22, $C$13, 100%, $E$13)</f>
        <v>6.2192999999999996</v>
      </c>
      <c r="G339" s="64">
        <f>6.2195 * CHOOSE(CONTROL!$C$22, $C$13, 100%, $E$13)</f>
        <v>6.2195</v>
      </c>
      <c r="H339" s="64">
        <f>11.0393* CHOOSE(CONTROL!$C$22, $C$13, 100%, $E$13)</f>
        <v>11.039300000000001</v>
      </c>
      <c r="I339" s="64">
        <f>11.0395 * CHOOSE(CONTROL!$C$22, $C$13, 100%, $E$13)</f>
        <v>11.0395</v>
      </c>
      <c r="J339" s="64">
        <f>6.2193 * CHOOSE(CONTROL!$C$22, $C$13, 100%, $E$13)</f>
        <v>6.2192999999999996</v>
      </c>
      <c r="K339" s="64">
        <f>6.2195 * CHOOSE(CONTROL!$C$22, $C$13, 100%, $E$13)</f>
        <v>6.2195</v>
      </c>
    </row>
    <row r="340" spans="1:11" ht="15">
      <c r="A340" s="13">
        <v>51987</v>
      </c>
      <c r="B340" s="63">
        <f>5.3679 * CHOOSE(CONTROL!$C$22, $C$13, 100%, $E$13)</f>
        <v>5.3678999999999997</v>
      </c>
      <c r="C340" s="63">
        <f>5.3679 * CHOOSE(CONTROL!$C$22, $C$13, 100%, $E$13)</f>
        <v>5.3678999999999997</v>
      </c>
      <c r="D340" s="63">
        <f>5.4025 * CHOOSE(CONTROL!$C$22, $C$13, 100%, $E$13)</f>
        <v>5.4024999999999999</v>
      </c>
      <c r="E340" s="64">
        <f>6.2407 * CHOOSE(CONTROL!$C$22, $C$13, 100%, $E$13)</f>
        <v>6.2407000000000004</v>
      </c>
      <c r="F340" s="64">
        <f>6.2407 * CHOOSE(CONTROL!$C$22, $C$13, 100%, $E$13)</f>
        <v>6.2407000000000004</v>
      </c>
      <c r="G340" s="64">
        <f>6.2429 * CHOOSE(CONTROL!$C$22, $C$13, 100%, $E$13)</f>
        <v>6.2428999999999997</v>
      </c>
      <c r="H340" s="64">
        <f>11.0623* CHOOSE(CONTROL!$C$22, $C$13, 100%, $E$13)</f>
        <v>11.0623</v>
      </c>
      <c r="I340" s="64">
        <f>11.0645 * CHOOSE(CONTROL!$C$22, $C$13, 100%, $E$13)</f>
        <v>11.064500000000001</v>
      </c>
      <c r="J340" s="64">
        <f>6.2407 * CHOOSE(CONTROL!$C$22, $C$13, 100%, $E$13)</f>
        <v>6.2407000000000004</v>
      </c>
      <c r="K340" s="64">
        <f>6.2429 * CHOOSE(CONTROL!$C$22, $C$13, 100%, $E$13)</f>
        <v>6.2428999999999997</v>
      </c>
    </row>
    <row r="341" spans="1:11" ht="15">
      <c r="A341" s="13">
        <v>52018</v>
      </c>
      <c r="B341" s="63">
        <f>5.3739 * CHOOSE(CONTROL!$C$22, $C$13, 100%, $E$13)</f>
        <v>5.3738999999999999</v>
      </c>
      <c r="C341" s="63">
        <f>5.3739 * CHOOSE(CONTROL!$C$22, $C$13, 100%, $E$13)</f>
        <v>5.3738999999999999</v>
      </c>
      <c r="D341" s="63">
        <f>5.4086 * CHOOSE(CONTROL!$C$22, $C$13, 100%, $E$13)</f>
        <v>5.4085999999999999</v>
      </c>
      <c r="E341" s="64">
        <f>6.2235 * CHOOSE(CONTROL!$C$22, $C$13, 100%, $E$13)</f>
        <v>6.2234999999999996</v>
      </c>
      <c r="F341" s="64">
        <f>6.2235 * CHOOSE(CONTROL!$C$22, $C$13, 100%, $E$13)</f>
        <v>6.2234999999999996</v>
      </c>
      <c r="G341" s="64">
        <f>6.2257 * CHOOSE(CONTROL!$C$22, $C$13, 100%, $E$13)</f>
        <v>6.2256999999999998</v>
      </c>
      <c r="H341" s="64">
        <f>11.0854* CHOOSE(CONTROL!$C$22, $C$13, 100%, $E$13)</f>
        <v>11.0854</v>
      </c>
      <c r="I341" s="64">
        <f>11.0875 * CHOOSE(CONTROL!$C$22, $C$13, 100%, $E$13)</f>
        <v>11.0875</v>
      </c>
      <c r="J341" s="64">
        <f>6.2235 * CHOOSE(CONTROL!$C$22, $C$13, 100%, $E$13)</f>
        <v>6.2234999999999996</v>
      </c>
      <c r="K341" s="64">
        <f>6.2257 * CHOOSE(CONTROL!$C$22, $C$13, 100%, $E$13)</f>
        <v>6.2256999999999998</v>
      </c>
    </row>
    <row r="342" spans="1:11" ht="15">
      <c r="A342" s="13">
        <v>52048</v>
      </c>
      <c r="B342" s="63">
        <f>5.4644 * CHOOSE(CONTROL!$C$22, $C$13, 100%, $E$13)</f>
        <v>5.4644000000000004</v>
      </c>
      <c r="C342" s="63">
        <f>5.4644 * CHOOSE(CONTROL!$C$22, $C$13, 100%, $E$13)</f>
        <v>5.4644000000000004</v>
      </c>
      <c r="D342" s="63">
        <f>5.499 * CHOOSE(CONTROL!$C$22, $C$13, 100%, $E$13)</f>
        <v>5.4989999999999997</v>
      </c>
      <c r="E342" s="64">
        <f>6.3483 * CHOOSE(CONTROL!$C$22, $C$13, 100%, $E$13)</f>
        <v>6.3483000000000001</v>
      </c>
      <c r="F342" s="64">
        <f>6.3483 * CHOOSE(CONTROL!$C$22, $C$13, 100%, $E$13)</f>
        <v>6.3483000000000001</v>
      </c>
      <c r="G342" s="64">
        <f>6.3504 * CHOOSE(CONTROL!$C$22, $C$13, 100%, $E$13)</f>
        <v>6.3503999999999996</v>
      </c>
      <c r="H342" s="64">
        <f>11.1085* CHOOSE(CONTROL!$C$22, $C$13, 100%, $E$13)</f>
        <v>11.108499999999999</v>
      </c>
      <c r="I342" s="64">
        <f>11.1106 * CHOOSE(CONTROL!$C$22, $C$13, 100%, $E$13)</f>
        <v>11.1106</v>
      </c>
      <c r="J342" s="64">
        <f>6.3483 * CHOOSE(CONTROL!$C$22, $C$13, 100%, $E$13)</f>
        <v>6.3483000000000001</v>
      </c>
      <c r="K342" s="64">
        <f>6.3504 * CHOOSE(CONTROL!$C$22, $C$13, 100%, $E$13)</f>
        <v>6.3503999999999996</v>
      </c>
    </row>
    <row r="343" spans="1:11" ht="15">
      <c r="A343" s="13">
        <v>52079</v>
      </c>
      <c r="B343" s="63">
        <f>5.4711 * CHOOSE(CONTROL!$C$22, $C$13, 100%, $E$13)</f>
        <v>5.4710999999999999</v>
      </c>
      <c r="C343" s="63">
        <f>5.4711 * CHOOSE(CONTROL!$C$22, $C$13, 100%, $E$13)</f>
        <v>5.4710999999999999</v>
      </c>
      <c r="D343" s="63">
        <f>5.5057 * CHOOSE(CONTROL!$C$22, $C$13, 100%, $E$13)</f>
        <v>5.5057</v>
      </c>
      <c r="E343" s="64">
        <f>6.2886 * CHOOSE(CONTROL!$C$22, $C$13, 100%, $E$13)</f>
        <v>6.2885999999999997</v>
      </c>
      <c r="F343" s="64">
        <f>6.2886 * CHOOSE(CONTROL!$C$22, $C$13, 100%, $E$13)</f>
        <v>6.2885999999999997</v>
      </c>
      <c r="G343" s="64">
        <f>6.2908 * CHOOSE(CONTROL!$C$22, $C$13, 100%, $E$13)</f>
        <v>6.2907999999999999</v>
      </c>
      <c r="H343" s="64">
        <f>11.1316* CHOOSE(CONTROL!$C$22, $C$13, 100%, $E$13)</f>
        <v>11.131600000000001</v>
      </c>
      <c r="I343" s="64">
        <f>11.1338 * CHOOSE(CONTROL!$C$22, $C$13, 100%, $E$13)</f>
        <v>11.133800000000001</v>
      </c>
      <c r="J343" s="64">
        <f>6.2886 * CHOOSE(CONTROL!$C$22, $C$13, 100%, $E$13)</f>
        <v>6.2885999999999997</v>
      </c>
      <c r="K343" s="64">
        <f>6.2908 * CHOOSE(CONTROL!$C$22, $C$13, 100%, $E$13)</f>
        <v>6.2907999999999999</v>
      </c>
    </row>
    <row r="344" spans="1:11" ht="15">
      <c r="A344" s="13">
        <v>52110</v>
      </c>
      <c r="B344" s="63">
        <f>5.468 * CHOOSE(CONTROL!$C$22, $C$13, 100%, $E$13)</f>
        <v>5.468</v>
      </c>
      <c r="C344" s="63">
        <f>5.468 * CHOOSE(CONTROL!$C$22, $C$13, 100%, $E$13)</f>
        <v>5.468</v>
      </c>
      <c r="D344" s="63">
        <f>5.5027 * CHOOSE(CONTROL!$C$22, $C$13, 100%, $E$13)</f>
        <v>5.5026999999999999</v>
      </c>
      <c r="E344" s="64">
        <f>6.2794 * CHOOSE(CONTROL!$C$22, $C$13, 100%, $E$13)</f>
        <v>6.2793999999999999</v>
      </c>
      <c r="F344" s="64">
        <f>6.2794 * CHOOSE(CONTROL!$C$22, $C$13, 100%, $E$13)</f>
        <v>6.2793999999999999</v>
      </c>
      <c r="G344" s="64">
        <f>6.2815 * CHOOSE(CONTROL!$C$22, $C$13, 100%, $E$13)</f>
        <v>6.2815000000000003</v>
      </c>
      <c r="H344" s="64">
        <f>11.1548* CHOOSE(CONTROL!$C$22, $C$13, 100%, $E$13)</f>
        <v>11.1548</v>
      </c>
      <c r="I344" s="64">
        <f>11.1569 * CHOOSE(CONTROL!$C$22, $C$13, 100%, $E$13)</f>
        <v>11.1569</v>
      </c>
      <c r="J344" s="64">
        <f>6.2794 * CHOOSE(CONTROL!$C$22, $C$13, 100%, $E$13)</f>
        <v>6.2793999999999999</v>
      </c>
      <c r="K344" s="64">
        <f>6.2815 * CHOOSE(CONTROL!$C$22, $C$13, 100%, $E$13)</f>
        <v>6.2815000000000003</v>
      </c>
    </row>
    <row r="345" spans="1:11" ht="15">
      <c r="A345" s="13">
        <v>52140</v>
      </c>
      <c r="B345" s="63">
        <f>5.4682 * CHOOSE(CONTROL!$C$22, $C$13, 100%, $E$13)</f>
        <v>5.4682000000000004</v>
      </c>
      <c r="C345" s="63">
        <f>5.4682 * CHOOSE(CONTROL!$C$22, $C$13, 100%, $E$13)</f>
        <v>5.4682000000000004</v>
      </c>
      <c r="D345" s="63">
        <f>5.4855 * CHOOSE(CONTROL!$C$22, $C$13, 100%, $E$13)</f>
        <v>5.4855</v>
      </c>
      <c r="E345" s="64">
        <f>6.2945 * CHOOSE(CONTROL!$C$22, $C$13, 100%, $E$13)</f>
        <v>6.2945000000000002</v>
      </c>
      <c r="F345" s="64">
        <f>6.2945 * CHOOSE(CONTROL!$C$22, $C$13, 100%, $E$13)</f>
        <v>6.2945000000000002</v>
      </c>
      <c r="G345" s="64">
        <f>6.2947 * CHOOSE(CONTROL!$C$22, $C$13, 100%, $E$13)</f>
        <v>6.2946999999999997</v>
      </c>
      <c r="H345" s="64">
        <f>11.178* CHOOSE(CONTROL!$C$22, $C$13, 100%, $E$13)</f>
        <v>11.178000000000001</v>
      </c>
      <c r="I345" s="64">
        <f>11.1782 * CHOOSE(CONTROL!$C$22, $C$13, 100%, $E$13)</f>
        <v>11.1782</v>
      </c>
      <c r="J345" s="64">
        <f>6.2945 * CHOOSE(CONTROL!$C$22, $C$13, 100%, $E$13)</f>
        <v>6.2945000000000002</v>
      </c>
      <c r="K345" s="64">
        <f>6.2947 * CHOOSE(CONTROL!$C$22, $C$13, 100%, $E$13)</f>
        <v>6.2946999999999997</v>
      </c>
    </row>
    <row r="346" spans="1:11" ht="15">
      <c r="A346" s="13">
        <v>52171</v>
      </c>
      <c r="B346" s="63">
        <f>5.4713 * CHOOSE(CONTROL!$C$22, $C$13, 100%, $E$13)</f>
        <v>5.4713000000000003</v>
      </c>
      <c r="C346" s="63">
        <f>5.4713 * CHOOSE(CONTROL!$C$22, $C$13, 100%, $E$13)</f>
        <v>5.4713000000000003</v>
      </c>
      <c r="D346" s="63">
        <f>5.4886 * CHOOSE(CONTROL!$C$22, $C$13, 100%, $E$13)</f>
        <v>5.4885999999999999</v>
      </c>
      <c r="E346" s="64">
        <f>6.311 * CHOOSE(CONTROL!$C$22, $C$13, 100%, $E$13)</f>
        <v>6.3109999999999999</v>
      </c>
      <c r="F346" s="64">
        <f>6.311 * CHOOSE(CONTROL!$C$22, $C$13, 100%, $E$13)</f>
        <v>6.3109999999999999</v>
      </c>
      <c r="G346" s="64">
        <f>6.3111 * CHOOSE(CONTROL!$C$22, $C$13, 100%, $E$13)</f>
        <v>6.3110999999999997</v>
      </c>
      <c r="H346" s="64">
        <f>11.2013* CHOOSE(CONTROL!$C$22, $C$13, 100%, $E$13)</f>
        <v>11.2013</v>
      </c>
      <c r="I346" s="64">
        <f>11.2015 * CHOOSE(CONTROL!$C$22, $C$13, 100%, $E$13)</f>
        <v>11.201499999999999</v>
      </c>
      <c r="J346" s="64">
        <f>6.311 * CHOOSE(CONTROL!$C$22, $C$13, 100%, $E$13)</f>
        <v>6.3109999999999999</v>
      </c>
      <c r="K346" s="64">
        <f>6.3111 * CHOOSE(CONTROL!$C$22, $C$13, 100%, $E$13)</f>
        <v>6.3110999999999997</v>
      </c>
    </row>
    <row r="347" spans="1:11" ht="15">
      <c r="A347" s="13">
        <v>52201</v>
      </c>
      <c r="B347" s="63">
        <f>5.4713 * CHOOSE(CONTROL!$C$22, $C$13, 100%, $E$13)</f>
        <v>5.4713000000000003</v>
      </c>
      <c r="C347" s="63">
        <f>5.4713 * CHOOSE(CONTROL!$C$22, $C$13, 100%, $E$13)</f>
        <v>5.4713000000000003</v>
      </c>
      <c r="D347" s="63">
        <f>5.4886 * CHOOSE(CONTROL!$C$22, $C$13, 100%, $E$13)</f>
        <v>5.4885999999999999</v>
      </c>
      <c r="E347" s="64">
        <f>6.2752 * CHOOSE(CONTROL!$C$22, $C$13, 100%, $E$13)</f>
        <v>6.2751999999999999</v>
      </c>
      <c r="F347" s="64">
        <f>6.2752 * CHOOSE(CONTROL!$C$22, $C$13, 100%, $E$13)</f>
        <v>6.2751999999999999</v>
      </c>
      <c r="G347" s="64">
        <f>6.2754 * CHOOSE(CONTROL!$C$22, $C$13, 100%, $E$13)</f>
        <v>6.2754000000000003</v>
      </c>
      <c r="H347" s="64">
        <f>11.2247* CHOOSE(CONTROL!$C$22, $C$13, 100%, $E$13)</f>
        <v>11.2247</v>
      </c>
      <c r="I347" s="64">
        <f>11.2248 * CHOOSE(CONTROL!$C$22, $C$13, 100%, $E$13)</f>
        <v>11.2248</v>
      </c>
      <c r="J347" s="64">
        <f>6.2752 * CHOOSE(CONTROL!$C$22, $C$13, 100%, $E$13)</f>
        <v>6.2751999999999999</v>
      </c>
      <c r="K347" s="64">
        <f>6.2754 * CHOOSE(CONTROL!$C$22, $C$13, 100%, $E$13)</f>
        <v>6.2754000000000003</v>
      </c>
    </row>
    <row r="348" spans="1:11" ht="15">
      <c r="A348" s="13">
        <v>52232</v>
      </c>
      <c r="B348" s="63">
        <f>5.5212 * CHOOSE(CONTROL!$C$22, $C$13, 100%, $E$13)</f>
        <v>5.5212000000000003</v>
      </c>
      <c r="C348" s="63">
        <f>5.5212 * CHOOSE(CONTROL!$C$22, $C$13, 100%, $E$13)</f>
        <v>5.5212000000000003</v>
      </c>
      <c r="D348" s="63">
        <f>5.5385 * CHOOSE(CONTROL!$C$22, $C$13, 100%, $E$13)</f>
        <v>5.5385</v>
      </c>
      <c r="E348" s="64">
        <f>6.358 * CHOOSE(CONTROL!$C$22, $C$13, 100%, $E$13)</f>
        <v>6.3579999999999997</v>
      </c>
      <c r="F348" s="64">
        <f>6.358 * CHOOSE(CONTROL!$C$22, $C$13, 100%, $E$13)</f>
        <v>6.3579999999999997</v>
      </c>
      <c r="G348" s="64">
        <f>6.3582 * CHOOSE(CONTROL!$C$22, $C$13, 100%, $E$13)</f>
        <v>6.3582000000000001</v>
      </c>
      <c r="H348" s="64">
        <f>11.2481* CHOOSE(CONTROL!$C$22, $C$13, 100%, $E$13)</f>
        <v>11.248100000000001</v>
      </c>
      <c r="I348" s="64">
        <f>11.2482 * CHOOSE(CONTROL!$C$22, $C$13, 100%, $E$13)</f>
        <v>11.248200000000001</v>
      </c>
      <c r="J348" s="64">
        <f>6.358 * CHOOSE(CONTROL!$C$22, $C$13, 100%, $E$13)</f>
        <v>6.3579999999999997</v>
      </c>
      <c r="K348" s="64">
        <f>6.3582 * CHOOSE(CONTROL!$C$22, $C$13, 100%, $E$13)</f>
        <v>6.3582000000000001</v>
      </c>
    </row>
    <row r="349" spans="1:11" ht="15">
      <c r="A349" s="13">
        <v>52263</v>
      </c>
      <c r="B349" s="63">
        <f>5.5182 * CHOOSE(CONTROL!$C$22, $C$13, 100%, $E$13)</f>
        <v>5.5182000000000002</v>
      </c>
      <c r="C349" s="63">
        <f>5.5182 * CHOOSE(CONTROL!$C$22, $C$13, 100%, $E$13)</f>
        <v>5.5182000000000002</v>
      </c>
      <c r="D349" s="63">
        <f>5.5355 * CHOOSE(CONTROL!$C$22, $C$13, 100%, $E$13)</f>
        <v>5.5354999999999999</v>
      </c>
      <c r="E349" s="64">
        <f>6.2865 * CHOOSE(CONTROL!$C$22, $C$13, 100%, $E$13)</f>
        <v>6.2865000000000002</v>
      </c>
      <c r="F349" s="64">
        <f>6.2865 * CHOOSE(CONTROL!$C$22, $C$13, 100%, $E$13)</f>
        <v>6.2865000000000002</v>
      </c>
      <c r="G349" s="64">
        <f>6.2867 * CHOOSE(CONTROL!$C$22, $C$13, 100%, $E$13)</f>
        <v>6.2866999999999997</v>
      </c>
      <c r="H349" s="64">
        <f>11.2715* CHOOSE(CONTROL!$C$22, $C$13, 100%, $E$13)</f>
        <v>11.2715</v>
      </c>
      <c r="I349" s="64">
        <f>11.2717 * CHOOSE(CONTROL!$C$22, $C$13, 100%, $E$13)</f>
        <v>11.271699999999999</v>
      </c>
      <c r="J349" s="64">
        <f>6.2865 * CHOOSE(CONTROL!$C$22, $C$13, 100%, $E$13)</f>
        <v>6.2865000000000002</v>
      </c>
      <c r="K349" s="64">
        <f>6.2867 * CHOOSE(CONTROL!$C$22, $C$13, 100%, $E$13)</f>
        <v>6.2866999999999997</v>
      </c>
    </row>
    <row r="350" spans="1:11" ht="15">
      <c r="A350" s="13">
        <v>52291</v>
      </c>
      <c r="B350" s="63">
        <f>5.5151 * CHOOSE(CONTROL!$C$22, $C$13, 100%, $E$13)</f>
        <v>5.5151000000000003</v>
      </c>
      <c r="C350" s="63">
        <f>5.5151 * CHOOSE(CONTROL!$C$22, $C$13, 100%, $E$13)</f>
        <v>5.5151000000000003</v>
      </c>
      <c r="D350" s="63">
        <f>5.5325 * CHOOSE(CONTROL!$C$22, $C$13, 100%, $E$13)</f>
        <v>5.5324999999999998</v>
      </c>
      <c r="E350" s="64">
        <f>6.3391 * CHOOSE(CONTROL!$C$22, $C$13, 100%, $E$13)</f>
        <v>6.3391000000000002</v>
      </c>
      <c r="F350" s="64">
        <f>6.3391 * CHOOSE(CONTROL!$C$22, $C$13, 100%, $E$13)</f>
        <v>6.3391000000000002</v>
      </c>
      <c r="G350" s="64">
        <f>6.3393 * CHOOSE(CONTROL!$C$22, $C$13, 100%, $E$13)</f>
        <v>6.3392999999999997</v>
      </c>
      <c r="H350" s="64">
        <f>11.295* CHOOSE(CONTROL!$C$22, $C$13, 100%, $E$13)</f>
        <v>11.295</v>
      </c>
      <c r="I350" s="64">
        <f>11.2951 * CHOOSE(CONTROL!$C$22, $C$13, 100%, $E$13)</f>
        <v>11.2951</v>
      </c>
      <c r="J350" s="64">
        <f>6.3391 * CHOOSE(CONTROL!$C$22, $C$13, 100%, $E$13)</f>
        <v>6.3391000000000002</v>
      </c>
      <c r="K350" s="64">
        <f>6.3393 * CHOOSE(CONTROL!$C$22, $C$13, 100%, $E$13)</f>
        <v>6.3392999999999997</v>
      </c>
    </row>
    <row r="351" spans="1:11" ht="15">
      <c r="A351" s="13">
        <v>52322</v>
      </c>
      <c r="B351" s="63">
        <f>5.5142 * CHOOSE(CONTROL!$C$22, $C$13, 100%, $E$13)</f>
        <v>5.5141999999999998</v>
      </c>
      <c r="C351" s="63">
        <f>5.5142 * CHOOSE(CONTROL!$C$22, $C$13, 100%, $E$13)</f>
        <v>5.5141999999999998</v>
      </c>
      <c r="D351" s="63">
        <f>5.5315 * CHOOSE(CONTROL!$C$22, $C$13, 100%, $E$13)</f>
        <v>5.5315000000000003</v>
      </c>
      <c r="E351" s="64">
        <f>6.3936 * CHOOSE(CONTROL!$C$22, $C$13, 100%, $E$13)</f>
        <v>6.3936000000000002</v>
      </c>
      <c r="F351" s="64">
        <f>6.3936 * CHOOSE(CONTROL!$C$22, $C$13, 100%, $E$13)</f>
        <v>6.3936000000000002</v>
      </c>
      <c r="G351" s="64">
        <f>6.3938 * CHOOSE(CONTROL!$C$22, $C$13, 100%, $E$13)</f>
        <v>6.3937999999999997</v>
      </c>
      <c r="H351" s="64">
        <f>11.3185* CHOOSE(CONTROL!$C$22, $C$13, 100%, $E$13)</f>
        <v>11.3185</v>
      </c>
      <c r="I351" s="64">
        <f>11.3187 * CHOOSE(CONTROL!$C$22, $C$13, 100%, $E$13)</f>
        <v>11.3187</v>
      </c>
      <c r="J351" s="64">
        <f>6.3936 * CHOOSE(CONTROL!$C$22, $C$13, 100%, $E$13)</f>
        <v>6.3936000000000002</v>
      </c>
      <c r="K351" s="64">
        <f>6.3938 * CHOOSE(CONTROL!$C$22, $C$13, 100%, $E$13)</f>
        <v>6.3937999999999997</v>
      </c>
    </row>
    <row r="352" spans="1:11" ht="15">
      <c r="A352" s="13">
        <v>52352</v>
      </c>
      <c r="B352" s="63">
        <f>5.5142 * CHOOSE(CONTROL!$C$22, $C$13, 100%, $E$13)</f>
        <v>5.5141999999999998</v>
      </c>
      <c r="C352" s="63">
        <f>5.5142 * CHOOSE(CONTROL!$C$22, $C$13, 100%, $E$13)</f>
        <v>5.5141999999999998</v>
      </c>
      <c r="D352" s="63">
        <f>5.5488 * CHOOSE(CONTROL!$C$22, $C$13, 100%, $E$13)</f>
        <v>5.5488</v>
      </c>
      <c r="E352" s="64">
        <f>6.4157 * CHOOSE(CONTROL!$C$22, $C$13, 100%, $E$13)</f>
        <v>6.4157000000000002</v>
      </c>
      <c r="F352" s="64">
        <f>6.4157 * CHOOSE(CONTROL!$C$22, $C$13, 100%, $E$13)</f>
        <v>6.4157000000000002</v>
      </c>
      <c r="G352" s="64">
        <f>6.4178 * CHOOSE(CONTROL!$C$22, $C$13, 100%, $E$13)</f>
        <v>6.4177999999999997</v>
      </c>
      <c r="H352" s="64">
        <f>11.3421* CHOOSE(CONTROL!$C$22, $C$13, 100%, $E$13)</f>
        <v>11.3421</v>
      </c>
      <c r="I352" s="64">
        <f>11.3442 * CHOOSE(CONTROL!$C$22, $C$13, 100%, $E$13)</f>
        <v>11.344200000000001</v>
      </c>
      <c r="J352" s="64">
        <f>6.4157 * CHOOSE(CONTROL!$C$22, $C$13, 100%, $E$13)</f>
        <v>6.4157000000000002</v>
      </c>
      <c r="K352" s="64">
        <f>6.4178 * CHOOSE(CONTROL!$C$22, $C$13, 100%, $E$13)</f>
        <v>6.4177999999999997</v>
      </c>
    </row>
    <row r="353" spans="1:11" ht="15">
      <c r="A353" s="13">
        <v>52383</v>
      </c>
      <c r="B353" s="63">
        <f>5.5202 * CHOOSE(CONTROL!$C$22, $C$13, 100%, $E$13)</f>
        <v>5.5202</v>
      </c>
      <c r="C353" s="63">
        <f>5.5202 * CHOOSE(CONTROL!$C$22, $C$13, 100%, $E$13)</f>
        <v>5.5202</v>
      </c>
      <c r="D353" s="63">
        <f>5.5549 * CHOOSE(CONTROL!$C$22, $C$13, 100%, $E$13)</f>
        <v>5.5548999999999999</v>
      </c>
      <c r="E353" s="64">
        <f>6.3979 * CHOOSE(CONTROL!$C$22, $C$13, 100%, $E$13)</f>
        <v>6.3978999999999999</v>
      </c>
      <c r="F353" s="64">
        <f>6.3979 * CHOOSE(CONTROL!$C$22, $C$13, 100%, $E$13)</f>
        <v>6.3978999999999999</v>
      </c>
      <c r="G353" s="64">
        <f>6.4 * CHOOSE(CONTROL!$C$22, $C$13, 100%, $E$13)</f>
        <v>6.4</v>
      </c>
      <c r="H353" s="64">
        <f>11.3657* CHOOSE(CONTROL!$C$22, $C$13, 100%, $E$13)</f>
        <v>11.3657</v>
      </c>
      <c r="I353" s="64">
        <f>11.3679 * CHOOSE(CONTROL!$C$22, $C$13, 100%, $E$13)</f>
        <v>11.367900000000001</v>
      </c>
      <c r="J353" s="64">
        <f>6.3979 * CHOOSE(CONTROL!$C$22, $C$13, 100%, $E$13)</f>
        <v>6.3978999999999999</v>
      </c>
      <c r="K353" s="64">
        <f>6.4 * CHOOSE(CONTROL!$C$22, $C$13, 100%, $E$13)</f>
        <v>6.4</v>
      </c>
    </row>
    <row r="354" spans="1:11" ht="15">
      <c r="A354" s="13">
        <v>52413</v>
      </c>
      <c r="B354" s="63">
        <f>5.6132 * CHOOSE(CONTROL!$C$22, $C$13, 100%, $E$13)</f>
        <v>5.6132</v>
      </c>
      <c r="C354" s="63">
        <f>5.6132 * CHOOSE(CONTROL!$C$22, $C$13, 100%, $E$13)</f>
        <v>5.6132</v>
      </c>
      <c r="D354" s="63">
        <f>5.6478 * CHOOSE(CONTROL!$C$22, $C$13, 100%, $E$13)</f>
        <v>5.6478000000000002</v>
      </c>
      <c r="E354" s="64">
        <f>6.5257 * CHOOSE(CONTROL!$C$22, $C$13, 100%, $E$13)</f>
        <v>6.5256999999999996</v>
      </c>
      <c r="F354" s="64">
        <f>6.5257 * CHOOSE(CONTROL!$C$22, $C$13, 100%, $E$13)</f>
        <v>6.5256999999999996</v>
      </c>
      <c r="G354" s="64">
        <f>6.5279 * CHOOSE(CONTROL!$C$22, $C$13, 100%, $E$13)</f>
        <v>6.5278999999999998</v>
      </c>
      <c r="H354" s="64">
        <f>11.3894* CHOOSE(CONTROL!$C$22, $C$13, 100%, $E$13)</f>
        <v>11.3894</v>
      </c>
      <c r="I354" s="64">
        <f>11.3915 * CHOOSE(CONTROL!$C$22, $C$13, 100%, $E$13)</f>
        <v>11.391500000000001</v>
      </c>
      <c r="J354" s="64">
        <f>6.5257 * CHOOSE(CONTROL!$C$22, $C$13, 100%, $E$13)</f>
        <v>6.5256999999999996</v>
      </c>
      <c r="K354" s="64">
        <f>6.5279 * CHOOSE(CONTROL!$C$22, $C$13, 100%, $E$13)</f>
        <v>6.5278999999999998</v>
      </c>
    </row>
    <row r="355" spans="1:11" ht="15">
      <c r="A355" s="13">
        <v>52444</v>
      </c>
      <c r="B355" s="63">
        <f>5.6199 * CHOOSE(CONTROL!$C$22, $C$13, 100%, $E$13)</f>
        <v>5.6199000000000003</v>
      </c>
      <c r="C355" s="63">
        <f>5.6199 * CHOOSE(CONTROL!$C$22, $C$13, 100%, $E$13)</f>
        <v>5.6199000000000003</v>
      </c>
      <c r="D355" s="63">
        <f>5.6545 * CHOOSE(CONTROL!$C$22, $C$13, 100%, $E$13)</f>
        <v>5.6544999999999996</v>
      </c>
      <c r="E355" s="64">
        <f>6.4643 * CHOOSE(CONTROL!$C$22, $C$13, 100%, $E$13)</f>
        <v>6.4642999999999997</v>
      </c>
      <c r="F355" s="64">
        <f>6.4643 * CHOOSE(CONTROL!$C$22, $C$13, 100%, $E$13)</f>
        <v>6.4642999999999997</v>
      </c>
      <c r="G355" s="64">
        <f>6.4664 * CHOOSE(CONTROL!$C$22, $C$13, 100%, $E$13)</f>
        <v>6.4664000000000001</v>
      </c>
      <c r="H355" s="64">
        <f>11.4131* CHOOSE(CONTROL!$C$22, $C$13, 100%, $E$13)</f>
        <v>11.4131</v>
      </c>
      <c r="I355" s="64">
        <f>11.4153 * CHOOSE(CONTROL!$C$22, $C$13, 100%, $E$13)</f>
        <v>11.4153</v>
      </c>
      <c r="J355" s="64">
        <f>6.4643 * CHOOSE(CONTROL!$C$22, $C$13, 100%, $E$13)</f>
        <v>6.4642999999999997</v>
      </c>
      <c r="K355" s="64">
        <f>6.4664 * CHOOSE(CONTROL!$C$22, $C$13, 100%, $E$13)</f>
        <v>6.4664000000000001</v>
      </c>
    </row>
    <row r="356" spans="1:11" ht="15">
      <c r="A356" s="13">
        <v>52475</v>
      </c>
      <c r="B356" s="63">
        <f>5.6168 * CHOOSE(CONTROL!$C$22, $C$13, 100%, $E$13)</f>
        <v>5.6167999999999996</v>
      </c>
      <c r="C356" s="63">
        <f>5.6168 * CHOOSE(CONTROL!$C$22, $C$13, 100%, $E$13)</f>
        <v>5.6167999999999996</v>
      </c>
      <c r="D356" s="63">
        <f>5.6515 * CHOOSE(CONTROL!$C$22, $C$13, 100%, $E$13)</f>
        <v>5.6515000000000004</v>
      </c>
      <c r="E356" s="64">
        <f>6.4548 * CHOOSE(CONTROL!$C$22, $C$13, 100%, $E$13)</f>
        <v>6.4547999999999996</v>
      </c>
      <c r="F356" s="64">
        <f>6.4548 * CHOOSE(CONTROL!$C$22, $C$13, 100%, $E$13)</f>
        <v>6.4547999999999996</v>
      </c>
      <c r="G356" s="64">
        <f>6.4569 * CHOOSE(CONTROL!$C$22, $C$13, 100%, $E$13)</f>
        <v>6.4569000000000001</v>
      </c>
      <c r="H356" s="64">
        <f>11.4369* CHOOSE(CONTROL!$C$22, $C$13, 100%, $E$13)</f>
        <v>11.4369</v>
      </c>
      <c r="I356" s="64">
        <f>11.439 * CHOOSE(CONTROL!$C$22, $C$13, 100%, $E$13)</f>
        <v>11.439</v>
      </c>
      <c r="J356" s="64">
        <f>6.4548 * CHOOSE(CONTROL!$C$22, $C$13, 100%, $E$13)</f>
        <v>6.4547999999999996</v>
      </c>
      <c r="K356" s="64">
        <f>6.4569 * CHOOSE(CONTROL!$C$22, $C$13, 100%, $E$13)</f>
        <v>6.4569000000000001</v>
      </c>
    </row>
    <row r="357" spans="1:11" ht="15">
      <c r="A357" s="13">
        <v>52505</v>
      </c>
      <c r="B357" s="63">
        <f>5.6175 * CHOOSE(CONTROL!$C$22, $C$13, 100%, $E$13)</f>
        <v>5.6174999999999997</v>
      </c>
      <c r="C357" s="63">
        <f>5.6175 * CHOOSE(CONTROL!$C$22, $C$13, 100%, $E$13)</f>
        <v>5.6174999999999997</v>
      </c>
      <c r="D357" s="63">
        <f>5.6349 * CHOOSE(CONTROL!$C$22, $C$13, 100%, $E$13)</f>
        <v>5.6349</v>
      </c>
      <c r="E357" s="64">
        <f>6.4708 * CHOOSE(CONTROL!$C$22, $C$13, 100%, $E$13)</f>
        <v>6.4707999999999997</v>
      </c>
      <c r="F357" s="64">
        <f>6.4708 * CHOOSE(CONTROL!$C$22, $C$13, 100%, $E$13)</f>
        <v>6.4707999999999997</v>
      </c>
      <c r="G357" s="64">
        <f>6.4709 * CHOOSE(CONTROL!$C$22, $C$13, 100%, $E$13)</f>
        <v>6.4709000000000003</v>
      </c>
      <c r="H357" s="64">
        <f>11.4607* CHOOSE(CONTROL!$C$22, $C$13, 100%, $E$13)</f>
        <v>11.460699999999999</v>
      </c>
      <c r="I357" s="64">
        <f>11.4609 * CHOOSE(CONTROL!$C$22, $C$13, 100%, $E$13)</f>
        <v>11.460900000000001</v>
      </c>
      <c r="J357" s="64">
        <f>6.4708 * CHOOSE(CONTROL!$C$22, $C$13, 100%, $E$13)</f>
        <v>6.4707999999999997</v>
      </c>
      <c r="K357" s="64">
        <f>6.4709 * CHOOSE(CONTROL!$C$22, $C$13, 100%, $E$13)</f>
        <v>6.4709000000000003</v>
      </c>
    </row>
    <row r="358" spans="1:11" ht="15">
      <c r="A358" s="13">
        <v>52536</v>
      </c>
      <c r="B358" s="63">
        <f>5.6206 * CHOOSE(CONTROL!$C$22, $C$13, 100%, $E$13)</f>
        <v>5.6205999999999996</v>
      </c>
      <c r="C358" s="63">
        <f>5.6206 * CHOOSE(CONTROL!$C$22, $C$13, 100%, $E$13)</f>
        <v>5.6205999999999996</v>
      </c>
      <c r="D358" s="63">
        <f>5.6379 * CHOOSE(CONTROL!$C$22, $C$13, 100%, $E$13)</f>
        <v>5.6379000000000001</v>
      </c>
      <c r="E358" s="64">
        <f>6.4876 * CHOOSE(CONTROL!$C$22, $C$13, 100%, $E$13)</f>
        <v>6.4875999999999996</v>
      </c>
      <c r="F358" s="64">
        <f>6.4876 * CHOOSE(CONTROL!$C$22, $C$13, 100%, $E$13)</f>
        <v>6.4875999999999996</v>
      </c>
      <c r="G358" s="64">
        <f>6.4877 * CHOOSE(CONTROL!$C$22, $C$13, 100%, $E$13)</f>
        <v>6.4877000000000002</v>
      </c>
      <c r="H358" s="64">
        <f>11.4846* CHOOSE(CONTROL!$C$22, $C$13, 100%, $E$13)</f>
        <v>11.4846</v>
      </c>
      <c r="I358" s="64">
        <f>11.4848 * CHOOSE(CONTROL!$C$22, $C$13, 100%, $E$13)</f>
        <v>11.4848</v>
      </c>
      <c r="J358" s="64">
        <f>6.4876 * CHOOSE(CONTROL!$C$22, $C$13, 100%, $E$13)</f>
        <v>6.4875999999999996</v>
      </c>
      <c r="K358" s="64">
        <f>6.4877 * CHOOSE(CONTROL!$C$22, $C$13, 100%, $E$13)</f>
        <v>6.4877000000000002</v>
      </c>
    </row>
    <row r="359" spans="1:11" ht="15">
      <c r="A359" s="13">
        <v>52566</v>
      </c>
      <c r="B359" s="63">
        <f>5.6206 * CHOOSE(CONTROL!$C$22, $C$13, 100%, $E$13)</f>
        <v>5.6205999999999996</v>
      </c>
      <c r="C359" s="63">
        <f>5.6206 * CHOOSE(CONTROL!$C$22, $C$13, 100%, $E$13)</f>
        <v>5.6205999999999996</v>
      </c>
      <c r="D359" s="63">
        <f>5.6379 * CHOOSE(CONTROL!$C$22, $C$13, 100%, $E$13)</f>
        <v>5.6379000000000001</v>
      </c>
      <c r="E359" s="64">
        <f>6.4508 * CHOOSE(CONTROL!$C$22, $C$13, 100%, $E$13)</f>
        <v>6.4508000000000001</v>
      </c>
      <c r="F359" s="64">
        <f>6.4508 * CHOOSE(CONTROL!$C$22, $C$13, 100%, $E$13)</f>
        <v>6.4508000000000001</v>
      </c>
      <c r="G359" s="64">
        <f>6.451 * CHOOSE(CONTROL!$C$22, $C$13, 100%, $E$13)</f>
        <v>6.4509999999999996</v>
      </c>
      <c r="H359" s="64">
        <f>11.5085* CHOOSE(CONTROL!$C$22, $C$13, 100%, $E$13)</f>
        <v>11.5085</v>
      </c>
      <c r="I359" s="64">
        <f>11.5087 * CHOOSE(CONTROL!$C$22, $C$13, 100%, $E$13)</f>
        <v>11.508699999999999</v>
      </c>
      <c r="J359" s="64">
        <f>6.4508 * CHOOSE(CONTROL!$C$22, $C$13, 100%, $E$13)</f>
        <v>6.4508000000000001</v>
      </c>
      <c r="K359" s="64">
        <f>6.451 * CHOOSE(CONTROL!$C$22, $C$13, 100%, $E$13)</f>
        <v>6.4509999999999996</v>
      </c>
    </row>
    <row r="360" spans="1:11" ht="15">
      <c r="A360" s="13">
        <v>52597</v>
      </c>
      <c r="B360" s="63">
        <f>5.6717 * CHOOSE(CONTROL!$C$22, $C$13, 100%, $E$13)</f>
        <v>5.6717000000000004</v>
      </c>
      <c r="C360" s="63">
        <f>5.6717 * CHOOSE(CONTROL!$C$22, $C$13, 100%, $E$13)</f>
        <v>5.6717000000000004</v>
      </c>
      <c r="D360" s="63">
        <f>5.689 * CHOOSE(CONTROL!$C$22, $C$13, 100%, $E$13)</f>
        <v>5.6890000000000001</v>
      </c>
      <c r="E360" s="64">
        <f>6.5359 * CHOOSE(CONTROL!$C$22, $C$13, 100%, $E$13)</f>
        <v>6.5358999999999998</v>
      </c>
      <c r="F360" s="64">
        <f>6.5359 * CHOOSE(CONTROL!$C$22, $C$13, 100%, $E$13)</f>
        <v>6.5358999999999998</v>
      </c>
      <c r="G360" s="64">
        <f>6.5361 * CHOOSE(CONTROL!$C$22, $C$13, 100%, $E$13)</f>
        <v>6.5361000000000002</v>
      </c>
      <c r="H360" s="64">
        <f>11.5325* CHOOSE(CONTROL!$C$22, $C$13, 100%, $E$13)</f>
        <v>11.532500000000001</v>
      </c>
      <c r="I360" s="64">
        <f>11.5327 * CHOOSE(CONTROL!$C$22, $C$13, 100%, $E$13)</f>
        <v>11.5327</v>
      </c>
      <c r="J360" s="64">
        <f>6.5359 * CHOOSE(CONTROL!$C$22, $C$13, 100%, $E$13)</f>
        <v>6.5358999999999998</v>
      </c>
      <c r="K360" s="64">
        <f>6.5361 * CHOOSE(CONTROL!$C$22, $C$13, 100%, $E$13)</f>
        <v>6.5361000000000002</v>
      </c>
    </row>
    <row r="361" spans="1:11" ht="15">
      <c r="A361" s="13">
        <v>52628</v>
      </c>
      <c r="B361" s="63">
        <f>5.6686 * CHOOSE(CONTROL!$C$22, $C$13, 100%, $E$13)</f>
        <v>5.6685999999999996</v>
      </c>
      <c r="C361" s="63">
        <f>5.6686 * CHOOSE(CONTROL!$C$22, $C$13, 100%, $E$13)</f>
        <v>5.6685999999999996</v>
      </c>
      <c r="D361" s="63">
        <f>5.686 * CHOOSE(CONTROL!$C$22, $C$13, 100%, $E$13)</f>
        <v>5.6859999999999999</v>
      </c>
      <c r="E361" s="64">
        <f>6.4624 * CHOOSE(CONTROL!$C$22, $C$13, 100%, $E$13)</f>
        <v>6.4623999999999997</v>
      </c>
      <c r="F361" s="64">
        <f>6.4624 * CHOOSE(CONTROL!$C$22, $C$13, 100%, $E$13)</f>
        <v>6.4623999999999997</v>
      </c>
      <c r="G361" s="64">
        <f>6.4626 * CHOOSE(CONTROL!$C$22, $C$13, 100%, $E$13)</f>
        <v>6.4626000000000001</v>
      </c>
      <c r="H361" s="64">
        <f>11.5565* CHOOSE(CONTROL!$C$22, $C$13, 100%, $E$13)</f>
        <v>11.5565</v>
      </c>
      <c r="I361" s="64">
        <f>11.5567 * CHOOSE(CONTROL!$C$22, $C$13, 100%, $E$13)</f>
        <v>11.556699999999999</v>
      </c>
      <c r="J361" s="64">
        <f>6.4624 * CHOOSE(CONTROL!$C$22, $C$13, 100%, $E$13)</f>
        <v>6.4623999999999997</v>
      </c>
      <c r="K361" s="64">
        <f>6.4626 * CHOOSE(CONTROL!$C$22, $C$13, 100%, $E$13)</f>
        <v>6.4626000000000001</v>
      </c>
    </row>
    <row r="362" spans="1:11" ht="15">
      <c r="A362" s="13">
        <v>52657</v>
      </c>
      <c r="B362" s="63">
        <f>5.6656 * CHOOSE(CONTROL!$C$22, $C$13, 100%, $E$13)</f>
        <v>5.6656000000000004</v>
      </c>
      <c r="C362" s="63">
        <f>5.6656 * CHOOSE(CONTROL!$C$22, $C$13, 100%, $E$13)</f>
        <v>5.6656000000000004</v>
      </c>
      <c r="D362" s="63">
        <f>5.6829 * CHOOSE(CONTROL!$C$22, $C$13, 100%, $E$13)</f>
        <v>5.6829000000000001</v>
      </c>
      <c r="E362" s="64">
        <f>6.5166 * CHOOSE(CONTROL!$C$22, $C$13, 100%, $E$13)</f>
        <v>6.5166000000000004</v>
      </c>
      <c r="F362" s="64">
        <f>6.5166 * CHOOSE(CONTROL!$C$22, $C$13, 100%, $E$13)</f>
        <v>6.5166000000000004</v>
      </c>
      <c r="G362" s="64">
        <f>6.5167 * CHOOSE(CONTROL!$C$22, $C$13, 100%, $E$13)</f>
        <v>6.5167000000000002</v>
      </c>
      <c r="H362" s="64">
        <f>11.5806* CHOOSE(CONTROL!$C$22, $C$13, 100%, $E$13)</f>
        <v>11.5806</v>
      </c>
      <c r="I362" s="64">
        <f>11.5808 * CHOOSE(CONTROL!$C$22, $C$13, 100%, $E$13)</f>
        <v>11.5808</v>
      </c>
      <c r="J362" s="64">
        <f>6.5166 * CHOOSE(CONTROL!$C$22, $C$13, 100%, $E$13)</f>
        <v>6.5166000000000004</v>
      </c>
      <c r="K362" s="64">
        <f>6.5167 * CHOOSE(CONTROL!$C$22, $C$13, 100%, $E$13)</f>
        <v>6.5167000000000002</v>
      </c>
    </row>
    <row r="363" spans="1:11" ht="15">
      <c r="A363" s="13">
        <v>52688</v>
      </c>
      <c r="B363" s="63">
        <f>5.6648 * CHOOSE(CONTROL!$C$22, $C$13, 100%, $E$13)</f>
        <v>5.6647999999999996</v>
      </c>
      <c r="C363" s="63">
        <f>5.6648 * CHOOSE(CONTROL!$C$22, $C$13, 100%, $E$13)</f>
        <v>5.6647999999999996</v>
      </c>
      <c r="D363" s="63">
        <f>5.6821 * CHOOSE(CONTROL!$C$22, $C$13, 100%, $E$13)</f>
        <v>5.6821000000000002</v>
      </c>
      <c r="E363" s="64">
        <f>6.5727 * CHOOSE(CONTROL!$C$22, $C$13, 100%, $E$13)</f>
        <v>6.5727000000000002</v>
      </c>
      <c r="F363" s="64">
        <f>6.5727 * CHOOSE(CONTROL!$C$22, $C$13, 100%, $E$13)</f>
        <v>6.5727000000000002</v>
      </c>
      <c r="G363" s="64">
        <f>6.5729 * CHOOSE(CONTROL!$C$22, $C$13, 100%, $E$13)</f>
        <v>6.5728999999999997</v>
      </c>
      <c r="H363" s="64">
        <f>11.6047* CHOOSE(CONTROL!$C$22, $C$13, 100%, $E$13)</f>
        <v>11.604699999999999</v>
      </c>
      <c r="I363" s="64">
        <f>11.6049 * CHOOSE(CONTROL!$C$22, $C$13, 100%, $E$13)</f>
        <v>11.604900000000001</v>
      </c>
      <c r="J363" s="64">
        <f>6.5727 * CHOOSE(CONTROL!$C$22, $C$13, 100%, $E$13)</f>
        <v>6.5727000000000002</v>
      </c>
      <c r="K363" s="64">
        <f>6.5729 * CHOOSE(CONTROL!$C$22, $C$13, 100%, $E$13)</f>
        <v>6.5728999999999997</v>
      </c>
    </row>
    <row r="364" spans="1:11" ht="15">
      <c r="A364" s="13">
        <v>52718</v>
      </c>
      <c r="B364" s="63">
        <f>5.6648 * CHOOSE(CONTROL!$C$22, $C$13, 100%, $E$13)</f>
        <v>5.6647999999999996</v>
      </c>
      <c r="C364" s="63">
        <f>5.6648 * CHOOSE(CONTROL!$C$22, $C$13, 100%, $E$13)</f>
        <v>5.6647999999999996</v>
      </c>
      <c r="D364" s="63">
        <f>5.6994 * CHOOSE(CONTROL!$C$22, $C$13, 100%, $E$13)</f>
        <v>5.6993999999999998</v>
      </c>
      <c r="E364" s="64">
        <f>6.5954 * CHOOSE(CONTROL!$C$22, $C$13, 100%, $E$13)</f>
        <v>6.5953999999999997</v>
      </c>
      <c r="F364" s="64">
        <f>6.5954 * CHOOSE(CONTROL!$C$22, $C$13, 100%, $E$13)</f>
        <v>6.5953999999999997</v>
      </c>
      <c r="G364" s="64">
        <f>6.5975 * CHOOSE(CONTROL!$C$22, $C$13, 100%, $E$13)</f>
        <v>6.5975000000000001</v>
      </c>
      <c r="H364" s="64">
        <f>11.6289* CHOOSE(CONTROL!$C$22, $C$13, 100%, $E$13)</f>
        <v>11.6289</v>
      </c>
      <c r="I364" s="64">
        <f>11.631 * CHOOSE(CONTROL!$C$22, $C$13, 100%, $E$13)</f>
        <v>11.631</v>
      </c>
      <c r="J364" s="64">
        <f>6.5954 * CHOOSE(CONTROL!$C$22, $C$13, 100%, $E$13)</f>
        <v>6.5953999999999997</v>
      </c>
      <c r="K364" s="64">
        <f>6.5975 * CHOOSE(CONTROL!$C$22, $C$13, 100%, $E$13)</f>
        <v>6.5975000000000001</v>
      </c>
    </row>
    <row r="365" spans="1:11" ht="15">
      <c r="A365" s="13">
        <v>52749</v>
      </c>
      <c r="B365" s="63">
        <f>5.6708 * CHOOSE(CONTROL!$C$22, $C$13, 100%, $E$13)</f>
        <v>5.6707999999999998</v>
      </c>
      <c r="C365" s="63">
        <f>5.6708 * CHOOSE(CONTROL!$C$22, $C$13, 100%, $E$13)</f>
        <v>5.6707999999999998</v>
      </c>
      <c r="D365" s="63">
        <f>5.7055 * CHOOSE(CONTROL!$C$22, $C$13, 100%, $E$13)</f>
        <v>5.7054999999999998</v>
      </c>
      <c r="E365" s="64">
        <f>6.577 * CHOOSE(CONTROL!$C$22, $C$13, 100%, $E$13)</f>
        <v>6.577</v>
      </c>
      <c r="F365" s="64">
        <f>6.577 * CHOOSE(CONTROL!$C$22, $C$13, 100%, $E$13)</f>
        <v>6.577</v>
      </c>
      <c r="G365" s="64">
        <f>6.5791 * CHOOSE(CONTROL!$C$22, $C$13, 100%, $E$13)</f>
        <v>6.5791000000000004</v>
      </c>
      <c r="H365" s="64">
        <f>11.6531* CHOOSE(CONTROL!$C$22, $C$13, 100%, $E$13)</f>
        <v>11.6531</v>
      </c>
      <c r="I365" s="64">
        <f>11.6553 * CHOOSE(CONTROL!$C$22, $C$13, 100%, $E$13)</f>
        <v>11.6553</v>
      </c>
      <c r="J365" s="64">
        <f>6.577 * CHOOSE(CONTROL!$C$22, $C$13, 100%, $E$13)</f>
        <v>6.577</v>
      </c>
      <c r="K365" s="64">
        <f>6.5791 * CHOOSE(CONTROL!$C$22, $C$13, 100%, $E$13)</f>
        <v>6.5791000000000004</v>
      </c>
    </row>
    <row r="366" spans="1:11" ht="15">
      <c r="A366" s="13">
        <v>52779</v>
      </c>
      <c r="B366" s="63">
        <f>5.7658 * CHOOSE(CONTROL!$C$22, $C$13, 100%, $E$13)</f>
        <v>5.7657999999999996</v>
      </c>
      <c r="C366" s="63">
        <f>5.7658 * CHOOSE(CONTROL!$C$22, $C$13, 100%, $E$13)</f>
        <v>5.7657999999999996</v>
      </c>
      <c r="D366" s="63">
        <f>5.8005 * CHOOSE(CONTROL!$C$22, $C$13, 100%, $E$13)</f>
        <v>5.8005000000000004</v>
      </c>
      <c r="E366" s="64">
        <f>6.7082 * CHOOSE(CONTROL!$C$22, $C$13, 100%, $E$13)</f>
        <v>6.7081999999999997</v>
      </c>
      <c r="F366" s="64">
        <f>6.7082 * CHOOSE(CONTROL!$C$22, $C$13, 100%, $E$13)</f>
        <v>6.7081999999999997</v>
      </c>
      <c r="G366" s="64">
        <f>6.7104 * CHOOSE(CONTROL!$C$22, $C$13, 100%, $E$13)</f>
        <v>6.7103999999999999</v>
      </c>
      <c r="H366" s="64">
        <f>11.6774* CHOOSE(CONTROL!$C$22, $C$13, 100%, $E$13)</f>
        <v>11.6774</v>
      </c>
      <c r="I366" s="64">
        <f>11.6796 * CHOOSE(CONTROL!$C$22, $C$13, 100%, $E$13)</f>
        <v>11.679600000000001</v>
      </c>
      <c r="J366" s="64">
        <f>6.7082 * CHOOSE(CONTROL!$C$22, $C$13, 100%, $E$13)</f>
        <v>6.7081999999999997</v>
      </c>
      <c r="K366" s="64">
        <f>6.7104 * CHOOSE(CONTROL!$C$22, $C$13, 100%, $E$13)</f>
        <v>6.7103999999999999</v>
      </c>
    </row>
    <row r="367" spans="1:11" ht="15">
      <c r="A367" s="13">
        <v>52810</v>
      </c>
      <c r="B367" s="63">
        <f>5.7725 * CHOOSE(CONTROL!$C$22, $C$13, 100%, $E$13)</f>
        <v>5.7725</v>
      </c>
      <c r="C367" s="63">
        <f>5.7725 * CHOOSE(CONTROL!$C$22, $C$13, 100%, $E$13)</f>
        <v>5.7725</v>
      </c>
      <c r="D367" s="63">
        <f>5.8072 * CHOOSE(CONTROL!$C$22, $C$13, 100%, $E$13)</f>
        <v>5.8071999999999999</v>
      </c>
      <c r="E367" s="64">
        <f>6.6449 * CHOOSE(CONTROL!$C$22, $C$13, 100%, $E$13)</f>
        <v>6.6448999999999998</v>
      </c>
      <c r="F367" s="64">
        <f>6.6449 * CHOOSE(CONTROL!$C$22, $C$13, 100%, $E$13)</f>
        <v>6.6448999999999998</v>
      </c>
      <c r="G367" s="64">
        <f>6.6471 * CHOOSE(CONTROL!$C$22, $C$13, 100%, $E$13)</f>
        <v>6.6471</v>
      </c>
      <c r="H367" s="64">
        <f>11.7017* CHOOSE(CONTROL!$C$22, $C$13, 100%, $E$13)</f>
        <v>11.701700000000001</v>
      </c>
      <c r="I367" s="64">
        <f>11.7039 * CHOOSE(CONTROL!$C$22, $C$13, 100%, $E$13)</f>
        <v>11.703900000000001</v>
      </c>
      <c r="J367" s="64">
        <f>6.6449 * CHOOSE(CONTROL!$C$22, $C$13, 100%, $E$13)</f>
        <v>6.6448999999999998</v>
      </c>
      <c r="K367" s="64">
        <f>6.6471 * CHOOSE(CONTROL!$C$22, $C$13, 100%, $E$13)</f>
        <v>6.6471</v>
      </c>
    </row>
    <row r="368" spans="1:11" ht="15">
      <c r="A368" s="13">
        <v>52841</v>
      </c>
      <c r="B368" s="63">
        <f>5.7695 * CHOOSE(CONTROL!$C$22, $C$13, 100%, $E$13)</f>
        <v>5.7694999999999999</v>
      </c>
      <c r="C368" s="63">
        <f>5.7695 * CHOOSE(CONTROL!$C$22, $C$13, 100%, $E$13)</f>
        <v>5.7694999999999999</v>
      </c>
      <c r="D368" s="63">
        <f>5.8041 * CHOOSE(CONTROL!$C$22, $C$13, 100%, $E$13)</f>
        <v>5.8041</v>
      </c>
      <c r="E368" s="64">
        <f>6.6352 * CHOOSE(CONTROL!$C$22, $C$13, 100%, $E$13)</f>
        <v>6.6352000000000002</v>
      </c>
      <c r="F368" s="64">
        <f>6.6352 * CHOOSE(CONTROL!$C$22, $C$13, 100%, $E$13)</f>
        <v>6.6352000000000002</v>
      </c>
      <c r="G368" s="64">
        <f>6.6374 * CHOOSE(CONTROL!$C$22, $C$13, 100%, $E$13)</f>
        <v>6.6374000000000004</v>
      </c>
      <c r="H368" s="64">
        <f>11.7261* CHOOSE(CONTROL!$C$22, $C$13, 100%, $E$13)</f>
        <v>11.726100000000001</v>
      </c>
      <c r="I368" s="64">
        <f>11.7283 * CHOOSE(CONTROL!$C$22, $C$13, 100%, $E$13)</f>
        <v>11.728300000000001</v>
      </c>
      <c r="J368" s="64">
        <f>6.6352 * CHOOSE(CONTROL!$C$22, $C$13, 100%, $E$13)</f>
        <v>6.6352000000000002</v>
      </c>
      <c r="K368" s="64">
        <f>6.6374 * CHOOSE(CONTROL!$C$22, $C$13, 100%, $E$13)</f>
        <v>6.6374000000000004</v>
      </c>
    </row>
    <row r="369" spans="1:11" ht="15">
      <c r="A369" s="13">
        <v>52871</v>
      </c>
      <c r="B369" s="63">
        <f>5.7707 * CHOOSE(CONTROL!$C$22, $C$13, 100%, $E$13)</f>
        <v>5.7706999999999997</v>
      </c>
      <c r="C369" s="63">
        <f>5.7707 * CHOOSE(CONTROL!$C$22, $C$13, 100%, $E$13)</f>
        <v>5.7706999999999997</v>
      </c>
      <c r="D369" s="63">
        <f>5.788 * CHOOSE(CONTROL!$C$22, $C$13, 100%, $E$13)</f>
        <v>5.7880000000000003</v>
      </c>
      <c r="E369" s="64">
        <f>6.652 * CHOOSE(CONTROL!$C$22, $C$13, 100%, $E$13)</f>
        <v>6.6520000000000001</v>
      </c>
      <c r="F369" s="64">
        <f>6.652 * CHOOSE(CONTROL!$C$22, $C$13, 100%, $E$13)</f>
        <v>6.6520000000000001</v>
      </c>
      <c r="G369" s="64">
        <f>6.6522 * CHOOSE(CONTROL!$C$22, $C$13, 100%, $E$13)</f>
        <v>6.6521999999999997</v>
      </c>
      <c r="H369" s="64">
        <f>11.7505* CHOOSE(CONTROL!$C$22, $C$13, 100%, $E$13)</f>
        <v>11.750500000000001</v>
      </c>
      <c r="I369" s="64">
        <f>11.7507 * CHOOSE(CONTROL!$C$22, $C$13, 100%, $E$13)</f>
        <v>11.7507</v>
      </c>
      <c r="J369" s="64">
        <f>6.652 * CHOOSE(CONTROL!$C$22, $C$13, 100%, $E$13)</f>
        <v>6.6520000000000001</v>
      </c>
      <c r="K369" s="64">
        <f>6.6522 * CHOOSE(CONTROL!$C$22, $C$13, 100%, $E$13)</f>
        <v>6.6521999999999997</v>
      </c>
    </row>
    <row r="370" spans="1:11" ht="15">
      <c r="A370" s="13">
        <v>52902</v>
      </c>
      <c r="B370" s="63">
        <f>5.7737 * CHOOSE(CONTROL!$C$22, $C$13, 100%, $E$13)</f>
        <v>5.7736999999999998</v>
      </c>
      <c r="C370" s="63">
        <f>5.7737 * CHOOSE(CONTROL!$C$22, $C$13, 100%, $E$13)</f>
        <v>5.7736999999999998</v>
      </c>
      <c r="D370" s="63">
        <f>5.7911 * CHOOSE(CONTROL!$C$22, $C$13, 100%, $E$13)</f>
        <v>5.7911000000000001</v>
      </c>
      <c r="E370" s="64">
        <f>6.6693 * CHOOSE(CONTROL!$C$22, $C$13, 100%, $E$13)</f>
        <v>6.6692999999999998</v>
      </c>
      <c r="F370" s="64">
        <f>6.6693 * CHOOSE(CONTROL!$C$22, $C$13, 100%, $E$13)</f>
        <v>6.6692999999999998</v>
      </c>
      <c r="G370" s="64">
        <f>6.6694 * CHOOSE(CONTROL!$C$22, $C$13, 100%, $E$13)</f>
        <v>6.6694000000000004</v>
      </c>
      <c r="H370" s="64">
        <f>11.775* CHOOSE(CONTROL!$C$22, $C$13, 100%, $E$13)</f>
        <v>11.775</v>
      </c>
      <c r="I370" s="64">
        <f>11.7752 * CHOOSE(CONTROL!$C$22, $C$13, 100%, $E$13)</f>
        <v>11.7752</v>
      </c>
      <c r="J370" s="64">
        <f>6.6693 * CHOOSE(CONTROL!$C$22, $C$13, 100%, $E$13)</f>
        <v>6.6692999999999998</v>
      </c>
      <c r="K370" s="64">
        <f>6.6694 * CHOOSE(CONTROL!$C$22, $C$13, 100%, $E$13)</f>
        <v>6.6694000000000004</v>
      </c>
    </row>
    <row r="371" spans="1:11" ht="15">
      <c r="A371" s="13">
        <v>52932</v>
      </c>
      <c r="B371" s="63">
        <f>5.7737 * CHOOSE(CONTROL!$C$22, $C$13, 100%, $E$13)</f>
        <v>5.7736999999999998</v>
      </c>
      <c r="C371" s="63">
        <f>5.7737 * CHOOSE(CONTROL!$C$22, $C$13, 100%, $E$13)</f>
        <v>5.7736999999999998</v>
      </c>
      <c r="D371" s="63">
        <f>5.7911 * CHOOSE(CONTROL!$C$22, $C$13, 100%, $E$13)</f>
        <v>5.7911000000000001</v>
      </c>
      <c r="E371" s="64">
        <f>6.6315 * CHOOSE(CONTROL!$C$22, $C$13, 100%, $E$13)</f>
        <v>6.6315</v>
      </c>
      <c r="F371" s="64">
        <f>6.6315 * CHOOSE(CONTROL!$C$22, $C$13, 100%, $E$13)</f>
        <v>6.6315</v>
      </c>
      <c r="G371" s="64">
        <f>6.6317 * CHOOSE(CONTROL!$C$22, $C$13, 100%, $E$13)</f>
        <v>6.6317000000000004</v>
      </c>
      <c r="H371" s="64">
        <f>11.7996* CHOOSE(CONTROL!$C$22, $C$13, 100%, $E$13)</f>
        <v>11.7996</v>
      </c>
      <c r="I371" s="64">
        <f>11.7997 * CHOOSE(CONTROL!$C$22, $C$13, 100%, $E$13)</f>
        <v>11.7997</v>
      </c>
      <c r="J371" s="64">
        <f>6.6315 * CHOOSE(CONTROL!$C$22, $C$13, 100%, $E$13)</f>
        <v>6.6315</v>
      </c>
      <c r="K371" s="64">
        <f>6.6317 * CHOOSE(CONTROL!$C$22, $C$13, 100%, $E$13)</f>
        <v>6.6317000000000004</v>
      </c>
    </row>
    <row r="372" spans="1:11" ht="15">
      <c r="A372" s="13">
        <v>52963</v>
      </c>
      <c r="B372" s="63">
        <f>5.8261 * CHOOSE(CONTROL!$C$22, $C$13, 100%, $E$13)</f>
        <v>5.8261000000000003</v>
      </c>
      <c r="C372" s="63">
        <f>5.8261 * CHOOSE(CONTROL!$C$22, $C$13, 100%, $E$13)</f>
        <v>5.8261000000000003</v>
      </c>
      <c r="D372" s="63">
        <f>5.8435 * CHOOSE(CONTROL!$C$22, $C$13, 100%, $E$13)</f>
        <v>5.8434999999999997</v>
      </c>
      <c r="E372" s="64">
        <f>6.7188 * CHOOSE(CONTROL!$C$22, $C$13, 100%, $E$13)</f>
        <v>6.7187999999999999</v>
      </c>
      <c r="F372" s="64">
        <f>6.7188 * CHOOSE(CONTROL!$C$22, $C$13, 100%, $E$13)</f>
        <v>6.7187999999999999</v>
      </c>
      <c r="G372" s="64">
        <f>6.719 * CHOOSE(CONTROL!$C$22, $C$13, 100%, $E$13)</f>
        <v>6.7190000000000003</v>
      </c>
      <c r="H372" s="64">
        <f>11.8241* CHOOSE(CONTROL!$C$22, $C$13, 100%, $E$13)</f>
        <v>11.8241</v>
      </c>
      <c r="I372" s="64">
        <f>11.8243 * CHOOSE(CONTROL!$C$22, $C$13, 100%, $E$13)</f>
        <v>11.824299999999999</v>
      </c>
      <c r="J372" s="64">
        <f>6.7188 * CHOOSE(CONTROL!$C$22, $C$13, 100%, $E$13)</f>
        <v>6.7187999999999999</v>
      </c>
      <c r="K372" s="64">
        <f>6.719 * CHOOSE(CONTROL!$C$22, $C$13, 100%, $E$13)</f>
        <v>6.7190000000000003</v>
      </c>
    </row>
    <row r="373" spans="1:11" ht="15">
      <c r="A373" s="13">
        <v>52994</v>
      </c>
      <c r="B373" s="63">
        <f>5.8231 * CHOOSE(CONTROL!$C$22, $C$13, 100%, $E$13)</f>
        <v>5.8231000000000002</v>
      </c>
      <c r="C373" s="63">
        <f>5.8231 * CHOOSE(CONTROL!$C$22, $C$13, 100%, $E$13)</f>
        <v>5.8231000000000002</v>
      </c>
      <c r="D373" s="63">
        <f>5.8404 * CHOOSE(CONTROL!$C$22, $C$13, 100%, $E$13)</f>
        <v>5.8403999999999998</v>
      </c>
      <c r="E373" s="64">
        <f>6.6434 * CHOOSE(CONTROL!$C$22, $C$13, 100%, $E$13)</f>
        <v>6.6433999999999997</v>
      </c>
      <c r="F373" s="64">
        <f>6.6434 * CHOOSE(CONTROL!$C$22, $C$13, 100%, $E$13)</f>
        <v>6.6433999999999997</v>
      </c>
      <c r="G373" s="64">
        <f>6.6435 * CHOOSE(CONTROL!$C$22, $C$13, 100%, $E$13)</f>
        <v>6.6435000000000004</v>
      </c>
      <c r="H373" s="64">
        <f>11.8488* CHOOSE(CONTROL!$C$22, $C$13, 100%, $E$13)</f>
        <v>11.848800000000001</v>
      </c>
      <c r="I373" s="64">
        <f>11.8489 * CHOOSE(CONTROL!$C$22, $C$13, 100%, $E$13)</f>
        <v>11.8489</v>
      </c>
      <c r="J373" s="64">
        <f>6.6434 * CHOOSE(CONTROL!$C$22, $C$13, 100%, $E$13)</f>
        <v>6.6433999999999997</v>
      </c>
      <c r="K373" s="64">
        <f>6.6435 * CHOOSE(CONTROL!$C$22, $C$13, 100%, $E$13)</f>
        <v>6.6435000000000004</v>
      </c>
    </row>
    <row r="374" spans="1:11" ht="15">
      <c r="A374" s="13">
        <v>53022</v>
      </c>
      <c r="B374" s="63">
        <f>5.8201 * CHOOSE(CONTROL!$C$22, $C$13, 100%, $E$13)</f>
        <v>5.8201000000000001</v>
      </c>
      <c r="C374" s="63">
        <f>5.8201 * CHOOSE(CONTROL!$C$22, $C$13, 100%, $E$13)</f>
        <v>5.8201000000000001</v>
      </c>
      <c r="D374" s="63">
        <f>5.8374 * CHOOSE(CONTROL!$C$22, $C$13, 100%, $E$13)</f>
        <v>5.8373999999999997</v>
      </c>
      <c r="E374" s="64">
        <f>6.6991 * CHOOSE(CONTROL!$C$22, $C$13, 100%, $E$13)</f>
        <v>6.6990999999999996</v>
      </c>
      <c r="F374" s="64">
        <f>6.6991 * CHOOSE(CONTROL!$C$22, $C$13, 100%, $E$13)</f>
        <v>6.6990999999999996</v>
      </c>
      <c r="G374" s="64">
        <f>6.6992 * CHOOSE(CONTROL!$C$22, $C$13, 100%, $E$13)</f>
        <v>6.6992000000000003</v>
      </c>
      <c r="H374" s="64">
        <f>11.8735* CHOOSE(CONTROL!$C$22, $C$13, 100%, $E$13)</f>
        <v>11.8735</v>
      </c>
      <c r="I374" s="64">
        <f>11.8736 * CHOOSE(CONTROL!$C$22, $C$13, 100%, $E$13)</f>
        <v>11.8736</v>
      </c>
      <c r="J374" s="64">
        <f>6.6991 * CHOOSE(CONTROL!$C$22, $C$13, 100%, $E$13)</f>
        <v>6.6990999999999996</v>
      </c>
      <c r="K374" s="64">
        <f>6.6992 * CHOOSE(CONTROL!$C$22, $C$13, 100%, $E$13)</f>
        <v>6.6992000000000003</v>
      </c>
    </row>
    <row r="375" spans="1:11" ht="15">
      <c r="A375" s="13">
        <v>53053</v>
      </c>
      <c r="B375" s="63">
        <f>5.8194 * CHOOSE(CONTROL!$C$22, $C$13, 100%, $E$13)</f>
        <v>5.8193999999999999</v>
      </c>
      <c r="C375" s="63">
        <f>5.8194 * CHOOSE(CONTROL!$C$22, $C$13, 100%, $E$13)</f>
        <v>5.8193999999999999</v>
      </c>
      <c r="D375" s="63">
        <f>5.8367 * CHOOSE(CONTROL!$C$22, $C$13, 100%, $E$13)</f>
        <v>5.8367000000000004</v>
      </c>
      <c r="E375" s="64">
        <f>6.7569 * CHOOSE(CONTROL!$C$22, $C$13, 100%, $E$13)</f>
        <v>6.7568999999999999</v>
      </c>
      <c r="F375" s="64">
        <f>6.7569 * CHOOSE(CONTROL!$C$22, $C$13, 100%, $E$13)</f>
        <v>6.7568999999999999</v>
      </c>
      <c r="G375" s="64">
        <f>6.7571 * CHOOSE(CONTROL!$C$22, $C$13, 100%, $E$13)</f>
        <v>6.7571000000000003</v>
      </c>
      <c r="H375" s="64">
        <f>11.8982* CHOOSE(CONTROL!$C$22, $C$13, 100%, $E$13)</f>
        <v>11.898199999999999</v>
      </c>
      <c r="I375" s="64">
        <f>11.8984 * CHOOSE(CONTROL!$C$22, $C$13, 100%, $E$13)</f>
        <v>11.898400000000001</v>
      </c>
      <c r="J375" s="64">
        <f>6.7569 * CHOOSE(CONTROL!$C$22, $C$13, 100%, $E$13)</f>
        <v>6.7568999999999999</v>
      </c>
      <c r="K375" s="64">
        <f>6.7571 * CHOOSE(CONTROL!$C$22, $C$13, 100%, $E$13)</f>
        <v>6.7571000000000003</v>
      </c>
    </row>
    <row r="376" spans="1:11" ht="15">
      <c r="A376" s="13">
        <v>53083</v>
      </c>
      <c r="B376" s="63">
        <f>5.8194 * CHOOSE(CONTROL!$C$22, $C$13, 100%, $E$13)</f>
        <v>5.8193999999999999</v>
      </c>
      <c r="C376" s="63">
        <f>5.8194 * CHOOSE(CONTROL!$C$22, $C$13, 100%, $E$13)</f>
        <v>5.8193999999999999</v>
      </c>
      <c r="D376" s="63">
        <f>5.854 * CHOOSE(CONTROL!$C$22, $C$13, 100%, $E$13)</f>
        <v>5.8540000000000001</v>
      </c>
      <c r="E376" s="64">
        <f>6.7802 * CHOOSE(CONTROL!$C$22, $C$13, 100%, $E$13)</f>
        <v>6.7801999999999998</v>
      </c>
      <c r="F376" s="64">
        <f>6.7802 * CHOOSE(CONTROL!$C$22, $C$13, 100%, $E$13)</f>
        <v>6.7801999999999998</v>
      </c>
      <c r="G376" s="64">
        <f>6.7824 * CHOOSE(CONTROL!$C$22, $C$13, 100%, $E$13)</f>
        <v>6.7824</v>
      </c>
      <c r="H376" s="64">
        <f>11.923* CHOOSE(CONTROL!$C$22, $C$13, 100%, $E$13)</f>
        <v>11.923</v>
      </c>
      <c r="I376" s="64">
        <f>11.9251 * CHOOSE(CONTROL!$C$22, $C$13, 100%, $E$13)</f>
        <v>11.9251</v>
      </c>
      <c r="J376" s="64">
        <f>6.7802 * CHOOSE(CONTROL!$C$22, $C$13, 100%, $E$13)</f>
        <v>6.7801999999999998</v>
      </c>
      <c r="K376" s="64">
        <f>6.7824 * CHOOSE(CONTROL!$C$22, $C$13, 100%, $E$13)</f>
        <v>6.7824</v>
      </c>
    </row>
    <row r="377" spans="1:11" ht="15">
      <c r="A377" s="13">
        <v>53114</v>
      </c>
      <c r="B377" s="63">
        <f>5.8254 * CHOOSE(CONTROL!$C$22, $C$13, 100%, $E$13)</f>
        <v>5.8254000000000001</v>
      </c>
      <c r="C377" s="63">
        <f>5.8254 * CHOOSE(CONTROL!$C$22, $C$13, 100%, $E$13)</f>
        <v>5.8254000000000001</v>
      </c>
      <c r="D377" s="63">
        <f>5.8601 * CHOOSE(CONTROL!$C$22, $C$13, 100%, $E$13)</f>
        <v>5.8601000000000001</v>
      </c>
      <c r="E377" s="64">
        <f>6.7612 * CHOOSE(CONTROL!$C$22, $C$13, 100%, $E$13)</f>
        <v>6.7611999999999997</v>
      </c>
      <c r="F377" s="64">
        <f>6.7612 * CHOOSE(CONTROL!$C$22, $C$13, 100%, $E$13)</f>
        <v>6.7611999999999997</v>
      </c>
      <c r="G377" s="64">
        <f>6.7633 * CHOOSE(CONTROL!$C$22, $C$13, 100%, $E$13)</f>
        <v>6.7633000000000001</v>
      </c>
      <c r="H377" s="64">
        <f>11.9478* CHOOSE(CONTROL!$C$22, $C$13, 100%, $E$13)</f>
        <v>11.947800000000001</v>
      </c>
      <c r="I377" s="64">
        <f>11.95 * CHOOSE(CONTROL!$C$22, $C$13, 100%, $E$13)</f>
        <v>11.95</v>
      </c>
      <c r="J377" s="64">
        <f>6.7612 * CHOOSE(CONTROL!$C$22, $C$13, 100%, $E$13)</f>
        <v>6.7611999999999997</v>
      </c>
      <c r="K377" s="64">
        <f>6.7633 * CHOOSE(CONTROL!$C$22, $C$13, 100%, $E$13)</f>
        <v>6.7633000000000001</v>
      </c>
    </row>
    <row r="378" spans="1:11" ht="15">
      <c r="A378" s="13">
        <v>53144</v>
      </c>
      <c r="B378" s="63">
        <f>5.9228 * CHOOSE(CONTROL!$C$22, $C$13, 100%, $E$13)</f>
        <v>5.9227999999999996</v>
      </c>
      <c r="C378" s="63">
        <f>5.9228 * CHOOSE(CONTROL!$C$22, $C$13, 100%, $E$13)</f>
        <v>5.9227999999999996</v>
      </c>
      <c r="D378" s="63">
        <f>5.9574 * CHOOSE(CONTROL!$C$22, $C$13, 100%, $E$13)</f>
        <v>5.9573999999999998</v>
      </c>
      <c r="E378" s="64">
        <f>6.8958 * CHOOSE(CONTROL!$C$22, $C$13, 100%, $E$13)</f>
        <v>6.8958000000000004</v>
      </c>
      <c r="F378" s="64">
        <f>6.8958 * CHOOSE(CONTROL!$C$22, $C$13, 100%, $E$13)</f>
        <v>6.8958000000000004</v>
      </c>
      <c r="G378" s="64">
        <f>6.8979 * CHOOSE(CONTROL!$C$22, $C$13, 100%, $E$13)</f>
        <v>6.8978999999999999</v>
      </c>
      <c r="H378" s="64">
        <f>11.9727* CHOOSE(CONTROL!$C$22, $C$13, 100%, $E$13)</f>
        <v>11.9727</v>
      </c>
      <c r="I378" s="64">
        <f>11.9749 * CHOOSE(CONTROL!$C$22, $C$13, 100%, $E$13)</f>
        <v>11.9749</v>
      </c>
      <c r="J378" s="64">
        <f>6.8958 * CHOOSE(CONTROL!$C$22, $C$13, 100%, $E$13)</f>
        <v>6.8958000000000004</v>
      </c>
      <c r="K378" s="64">
        <f>6.8979 * CHOOSE(CONTROL!$C$22, $C$13, 100%, $E$13)</f>
        <v>6.8978999999999999</v>
      </c>
    </row>
    <row r="379" spans="1:11" ht="15">
      <c r="A379" s="13">
        <v>53175</v>
      </c>
      <c r="B379" s="63">
        <f>5.9295 * CHOOSE(CONTROL!$C$22, $C$13, 100%, $E$13)</f>
        <v>5.9295</v>
      </c>
      <c r="C379" s="63">
        <f>5.9295 * CHOOSE(CONTROL!$C$22, $C$13, 100%, $E$13)</f>
        <v>5.9295</v>
      </c>
      <c r="D379" s="63">
        <f>5.9641 * CHOOSE(CONTROL!$C$22, $C$13, 100%, $E$13)</f>
        <v>5.9641000000000002</v>
      </c>
      <c r="E379" s="64">
        <f>6.8306 * CHOOSE(CONTROL!$C$22, $C$13, 100%, $E$13)</f>
        <v>6.8305999999999996</v>
      </c>
      <c r="F379" s="64">
        <f>6.8306 * CHOOSE(CONTROL!$C$22, $C$13, 100%, $E$13)</f>
        <v>6.8305999999999996</v>
      </c>
      <c r="G379" s="64">
        <f>6.8327 * CHOOSE(CONTROL!$C$22, $C$13, 100%, $E$13)</f>
        <v>6.8327</v>
      </c>
      <c r="H379" s="64">
        <f>11.9977* CHOOSE(CONTROL!$C$22, $C$13, 100%, $E$13)</f>
        <v>11.9977</v>
      </c>
      <c r="I379" s="64">
        <f>11.9998 * CHOOSE(CONTROL!$C$22, $C$13, 100%, $E$13)</f>
        <v>11.9998</v>
      </c>
      <c r="J379" s="64">
        <f>6.8306 * CHOOSE(CONTROL!$C$22, $C$13, 100%, $E$13)</f>
        <v>6.8305999999999996</v>
      </c>
      <c r="K379" s="64">
        <f>6.8327 * CHOOSE(CONTROL!$C$22, $C$13, 100%, $E$13)</f>
        <v>6.8327</v>
      </c>
    </row>
    <row r="380" spans="1:11" ht="15">
      <c r="A380" s="13">
        <v>53206</v>
      </c>
      <c r="B380" s="63">
        <f>5.9264 * CHOOSE(CONTROL!$C$22, $C$13, 100%, $E$13)</f>
        <v>5.9264000000000001</v>
      </c>
      <c r="C380" s="63">
        <f>5.9264 * CHOOSE(CONTROL!$C$22, $C$13, 100%, $E$13)</f>
        <v>5.9264000000000001</v>
      </c>
      <c r="D380" s="63">
        <f>5.9611 * CHOOSE(CONTROL!$C$22, $C$13, 100%, $E$13)</f>
        <v>5.9611000000000001</v>
      </c>
      <c r="E380" s="64">
        <f>6.8207 * CHOOSE(CONTROL!$C$22, $C$13, 100%, $E$13)</f>
        <v>6.8207000000000004</v>
      </c>
      <c r="F380" s="64">
        <f>6.8207 * CHOOSE(CONTROL!$C$22, $C$13, 100%, $E$13)</f>
        <v>6.8207000000000004</v>
      </c>
      <c r="G380" s="64">
        <f>6.8228 * CHOOSE(CONTROL!$C$22, $C$13, 100%, $E$13)</f>
        <v>6.8228</v>
      </c>
      <c r="H380" s="64">
        <f>12.0226* CHOOSE(CONTROL!$C$22, $C$13, 100%, $E$13)</f>
        <v>12.022600000000001</v>
      </c>
      <c r="I380" s="64">
        <f>12.0248 * CHOOSE(CONTROL!$C$22, $C$13, 100%, $E$13)</f>
        <v>12.024800000000001</v>
      </c>
      <c r="J380" s="64">
        <f>6.8207 * CHOOSE(CONTROL!$C$22, $C$13, 100%, $E$13)</f>
        <v>6.8207000000000004</v>
      </c>
      <c r="K380" s="64">
        <f>6.8228 * CHOOSE(CONTROL!$C$22, $C$13, 100%, $E$13)</f>
        <v>6.8228</v>
      </c>
    </row>
    <row r="381" spans="1:11" ht="15">
      <c r="A381" s="13">
        <v>53236</v>
      </c>
      <c r="B381" s="63">
        <f>5.9282 * CHOOSE(CONTROL!$C$22, $C$13, 100%, $E$13)</f>
        <v>5.9282000000000004</v>
      </c>
      <c r="C381" s="63">
        <f>5.9282 * CHOOSE(CONTROL!$C$22, $C$13, 100%, $E$13)</f>
        <v>5.9282000000000004</v>
      </c>
      <c r="D381" s="63">
        <f>5.9455 * CHOOSE(CONTROL!$C$22, $C$13, 100%, $E$13)</f>
        <v>5.9455</v>
      </c>
      <c r="E381" s="64">
        <f>6.8383 * CHOOSE(CONTROL!$C$22, $C$13, 100%, $E$13)</f>
        <v>6.8383000000000003</v>
      </c>
      <c r="F381" s="64">
        <f>6.8383 * CHOOSE(CONTROL!$C$22, $C$13, 100%, $E$13)</f>
        <v>6.8383000000000003</v>
      </c>
      <c r="G381" s="64">
        <f>6.8385 * CHOOSE(CONTROL!$C$22, $C$13, 100%, $E$13)</f>
        <v>6.8384999999999998</v>
      </c>
      <c r="H381" s="64">
        <f>12.0477* CHOOSE(CONTROL!$C$22, $C$13, 100%, $E$13)</f>
        <v>12.047700000000001</v>
      </c>
      <c r="I381" s="64">
        <f>12.0479 * CHOOSE(CONTROL!$C$22, $C$13, 100%, $E$13)</f>
        <v>12.0479</v>
      </c>
      <c r="J381" s="64">
        <f>6.8383 * CHOOSE(CONTROL!$C$22, $C$13, 100%, $E$13)</f>
        <v>6.8383000000000003</v>
      </c>
      <c r="K381" s="64">
        <f>6.8385 * CHOOSE(CONTROL!$C$22, $C$13, 100%, $E$13)</f>
        <v>6.8384999999999998</v>
      </c>
    </row>
    <row r="382" spans="1:11" ht="15">
      <c r="A382" s="13">
        <v>53267</v>
      </c>
      <c r="B382" s="63">
        <f>5.9312 * CHOOSE(CONTROL!$C$22, $C$13, 100%, $E$13)</f>
        <v>5.9311999999999996</v>
      </c>
      <c r="C382" s="63">
        <f>5.9312 * CHOOSE(CONTROL!$C$22, $C$13, 100%, $E$13)</f>
        <v>5.9311999999999996</v>
      </c>
      <c r="D382" s="63">
        <f>5.9485 * CHOOSE(CONTROL!$C$22, $C$13, 100%, $E$13)</f>
        <v>5.9485000000000001</v>
      </c>
      <c r="E382" s="64">
        <f>6.856 * CHOOSE(CONTROL!$C$22, $C$13, 100%, $E$13)</f>
        <v>6.8559999999999999</v>
      </c>
      <c r="F382" s="64">
        <f>6.856 * CHOOSE(CONTROL!$C$22, $C$13, 100%, $E$13)</f>
        <v>6.8559999999999999</v>
      </c>
      <c r="G382" s="64">
        <f>6.8561 * CHOOSE(CONTROL!$C$22, $C$13, 100%, $E$13)</f>
        <v>6.8560999999999996</v>
      </c>
      <c r="H382" s="64">
        <f>12.0728* CHOOSE(CONTROL!$C$22, $C$13, 100%, $E$13)</f>
        <v>12.072800000000001</v>
      </c>
      <c r="I382" s="64">
        <f>12.073 * CHOOSE(CONTROL!$C$22, $C$13, 100%, $E$13)</f>
        <v>12.073</v>
      </c>
      <c r="J382" s="64">
        <f>6.856 * CHOOSE(CONTROL!$C$22, $C$13, 100%, $E$13)</f>
        <v>6.8559999999999999</v>
      </c>
      <c r="K382" s="64">
        <f>6.8561 * CHOOSE(CONTROL!$C$22, $C$13, 100%, $E$13)</f>
        <v>6.8560999999999996</v>
      </c>
    </row>
    <row r="383" spans="1:11" ht="15">
      <c r="A383" s="13">
        <v>53297</v>
      </c>
      <c r="B383" s="63">
        <f>5.9312 * CHOOSE(CONTROL!$C$22, $C$13, 100%, $E$13)</f>
        <v>5.9311999999999996</v>
      </c>
      <c r="C383" s="63">
        <f>5.9312 * CHOOSE(CONTROL!$C$22, $C$13, 100%, $E$13)</f>
        <v>5.9311999999999996</v>
      </c>
      <c r="D383" s="63">
        <f>5.9485 * CHOOSE(CONTROL!$C$22, $C$13, 100%, $E$13)</f>
        <v>5.9485000000000001</v>
      </c>
      <c r="E383" s="64">
        <f>6.8171 * CHOOSE(CONTROL!$C$22, $C$13, 100%, $E$13)</f>
        <v>6.8170999999999999</v>
      </c>
      <c r="F383" s="64">
        <f>6.8171 * CHOOSE(CONTROL!$C$22, $C$13, 100%, $E$13)</f>
        <v>6.8170999999999999</v>
      </c>
      <c r="G383" s="64">
        <f>6.8173 * CHOOSE(CONTROL!$C$22, $C$13, 100%, $E$13)</f>
        <v>6.8173000000000004</v>
      </c>
      <c r="H383" s="64">
        <f>12.0979* CHOOSE(CONTROL!$C$22, $C$13, 100%, $E$13)</f>
        <v>12.097899999999999</v>
      </c>
      <c r="I383" s="64">
        <f>12.0981 * CHOOSE(CONTROL!$C$22, $C$13, 100%, $E$13)</f>
        <v>12.098100000000001</v>
      </c>
      <c r="J383" s="64">
        <f>6.8171 * CHOOSE(CONTROL!$C$22, $C$13, 100%, $E$13)</f>
        <v>6.8170999999999999</v>
      </c>
      <c r="K383" s="64">
        <f>6.8173 * CHOOSE(CONTROL!$C$22, $C$13, 100%, $E$13)</f>
        <v>6.8173000000000004</v>
      </c>
    </row>
    <row r="384" spans="1:11" ht="15">
      <c r="A384" s="13">
        <v>53328</v>
      </c>
      <c r="B384" s="63">
        <f>5.9849 * CHOOSE(CONTROL!$C$22, $C$13, 100%, $E$13)</f>
        <v>5.9848999999999997</v>
      </c>
      <c r="C384" s="63">
        <f>5.9849 * CHOOSE(CONTROL!$C$22, $C$13, 100%, $E$13)</f>
        <v>5.9848999999999997</v>
      </c>
      <c r="D384" s="63">
        <f>6.0022 * CHOOSE(CONTROL!$C$22, $C$13, 100%, $E$13)</f>
        <v>6.0022000000000002</v>
      </c>
      <c r="E384" s="64">
        <f>6.9068 * CHOOSE(CONTROL!$C$22, $C$13, 100%, $E$13)</f>
        <v>6.9067999999999996</v>
      </c>
      <c r="F384" s="64">
        <f>6.9068 * CHOOSE(CONTROL!$C$22, $C$13, 100%, $E$13)</f>
        <v>6.9067999999999996</v>
      </c>
      <c r="G384" s="64">
        <f>6.907 * CHOOSE(CONTROL!$C$22, $C$13, 100%, $E$13)</f>
        <v>6.907</v>
      </c>
      <c r="H384" s="64">
        <f>12.1231* CHOOSE(CONTROL!$C$22, $C$13, 100%, $E$13)</f>
        <v>12.123100000000001</v>
      </c>
      <c r="I384" s="64">
        <f>12.1233 * CHOOSE(CONTROL!$C$22, $C$13, 100%, $E$13)</f>
        <v>12.1233</v>
      </c>
      <c r="J384" s="64">
        <f>6.9068 * CHOOSE(CONTROL!$C$22, $C$13, 100%, $E$13)</f>
        <v>6.9067999999999996</v>
      </c>
      <c r="K384" s="64">
        <f>6.907 * CHOOSE(CONTROL!$C$22, $C$13, 100%, $E$13)</f>
        <v>6.907</v>
      </c>
    </row>
    <row r="385" spans="1:11" ht="15">
      <c r="A385" s="13">
        <v>53359</v>
      </c>
      <c r="B385" s="63">
        <f>5.9819 * CHOOSE(CONTROL!$C$22, $C$13, 100%, $E$13)</f>
        <v>5.9819000000000004</v>
      </c>
      <c r="C385" s="63">
        <f>5.9819 * CHOOSE(CONTROL!$C$22, $C$13, 100%, $E$13)</f>
        <v>5.9819000000000004</v>
      </c>
      <c r="D385" s="63">
        <f>5.9992 * CHOOSE(CONTROL!$C$22, $C$13, 100%, $E$13)</f>
        <v>5.9992000000000001</v>
      </c>
      <c r="E385" s="64">
        <f>6.8293 * CHOOSE(CONTROL!$C$22, $C$13, 100%, $E$13)</f>
        <v>6.8292999999999999</v>
      </c>
      <c r="F385" s="64">
        <f>6.8293 * CHOOSE(CONTROL!$C$22, $C$13, 100%, $E$13)</f>
        <v>6.8292999999999999</v>
      </c>
      <c r="G385" s="64">
        <f>6.8295 * CHOOSE(CONTROL!$C$22, $C$13, 100%, $E$13)</f>
        <v>6.8295000000000003</v>
      </c>
      <c r="H385" s="64">
        <f>12.1484* CHOOSE(CONTROL!$C$22, $C$13, 100%, $E$13)</f>
        <v>12.148400000000001</v>
      </c>
      <c r="I385" s="64">
        <f>12.1486 * CHOOSE(CONTROL!$C$22, $C$13, 100%, $E$13)</f>
        <v>12.1486</v>
      </c>
      <c r="J385" s="64">
        <f>6.8293 * CHOOSE(CONTROL!$C$22, $C$13, 100%, $E$13)</f>
        <v>6.8292999999999999</v>
      </c>
      <c r="K385" s="64">
        <f>6.8295 * CHOOSE(CONTROL!$C$22, $C$13, 100%, $E$13)</f>
        <v>6.8295000000000003</v>
      </c>
    </row>
    <row r="386" spans="1:11" ht="15">
      <c r="A386" s="13">
        <v>53387</v>
      </c>
      <c r="B386" s="63">
        <f>5.9788 * CHOOSE(CONTROL!$C$22, $C$13, 100%, $E$13)</f>
        <v>5.9787999999999997</v>
      </c>
      <c r="C386" s="63">
        <f>5.9788 * CHOOSE(CONTROL!$C$22, $C$13, 100%, $E$13)</f>
        <v>5.9787999999999997</v>
      </c>
      <c r="D386" s="63">
        <f>5.9962 * CHOOSE(CONTROL!$C$22, $C$13, 100%, $E$13)</f>
        <v>5.9962</v>
      </c>
      <c r="E386" s="64">
        <f>6.8866 * CHOOSE(CONTROL!$C$22, $C$13, 100%, $E$13)</f>
        <v>6.8865999999999996</v>
      </c>
      <c r="F386" s="64">
        <f>6.8866 * CHOOSE(CONTROL!$C$22, $C$13, 100%, $E$13)</f>
        <v>6.8865999999999996</v>
      </c>
      <c r="G386" s="64">
        <f>6.8868 * CHOOSE(CONTROL!$C$22, $C$13, 100%, $E$13)</f>
        <v>6.8868</v>
      </c>
      <c r="H386" s="64">
        <f>12.1737* CHOOSE(CONTROL!$C$22, $C$13, 100%, $E$13)</f>
        <v>12.1737</v>
      </c>
      <c r="I386" s="64">
        <f>12.1739 * CHOOSE(CONTROL!$C$22, $C$13, 100%, $E$13)</f>
        <v>12.1739</v>
      </c>
      <c r="J386" s="64">
        <f>6.8866 * CHOOSE(CONTROL!$C$22, $C$13, 100%, $E$13)</f>
        <v>6.8865999999999996</v>
      </c>
      <c r="K386" s="64">
        <f>6.8868 * CHOOSE(CONTROL!$C$22, $C$13, 100%, $E$13)</f>
        <v>6.8868</v>
      </c>
    </row>
    <row r="387" spans="1:11" ht="15">
      <c r="A387" s="13">
        <v>53418</v>
      </c>
      <c r="B387" s="63">
        <f>5.9783 * CHOOSE(CONTROL!$C$22, $C$13, 100%, $E$13)</f>
        <v>5.9782999999999999</v>
      </c>
      <c r="C387" s="63">
        <f>5.9783 * CHOOSE(CONTROL!$C$22, $C$13, 100%, $E$13)</f>
        <v>5.9782999999999999</v>
      </c>
      <c r="D387" s="63">
        <f>5.9956 * CHOOSE(CONTROL!$C$22, $C$13, 100%, $E$13)</f>
        <v>5.9955999999999996</v>
      </c>
      <c r="E387" s="64">
        <f>6.9463 * CHOOSE(CONTROL!$C$22, $C$13, 100%, $E$13)</f>
        <v>6.9462999999999999</v>
      </c>
      <c r="F387" s="64">
        <f>6.9463 * CHOOSE(CONTROL!$C$22, $C$13, 100%, $E$13)</f>
        <v>6.9462999999999999</v>
      </c>
      <c r="G387" s="64">
        <f>6.9464 * CHOOSE(CONTROL!$C$22, $C$13, 100%, $E$13)</f>
        <v>6.9463999999999997</v>
      </c>
      <c r="H387" s="64">
        <f>12.1991* CHOOSE(CONTROL!$C$22, $C$13, 100%, $E$13)</f>
        <v>12.1991</v>
      </c>
      <c r="I387" s="64">
        <f>12.1993 * CHOOSE(CONTROL!$C$22, $C$13, 100%, $E$13)</f>
        <v>12.199299999999999</v>
      </c>
      <c r="J387" s="64">
        <f>6.9463 * CHOOSE(CONTROL!$C$22, $C$13, 100%, $E$13)</f>
        <v>6.9462999999999999</v>
      </c>
      <c r="K387" s="64">
        <f>6.9464 * CHOOSE(CONTROL!$C$22, $C$13, 100%, $E$13)</f>
        <v>6.9463999999999997</v>
      </c>
    </row>
    <row r="388" spans="1:11" ht="15">
      <c r="A388" s="13">
        <v>53448</v>
      </c>
      <c r="B388" s="63">
        <f>5.9783 * CHOOSE(CONTROL!$C$22, $C$13, 100%, $E$13)</f>
        <v>5.9782999999999999</v>
      </c>
      <c r="C388" s="63">
        <f>5.9783 * CHOOSE(CONTROL!$C$22, $C$13, 100%, $E$13)</f>
        <v>5.9782999999999999</v>
      </c>
      <c r="D388" s="63">
        <f>6.0129 * CHOOSE(CONTROL!$C$22, $C$13, 100%, $E$13)</f>
        <v>6.0129000000000001</v>
      </c>
      <c r="E388" s="64">
        <f>6.9702 * CHOOSE(CONTROL!$C$22, $C$13, 100%, $E$13)</f>
        <v>6.9702000000000002</v>
      </c>
      <c r="F388" s="64">
        <f>6.9702 * CHOOSE(CONTROL!$C$22, $C$13, 100%, $E$13)</f>
        <v>6.9702000000000002</v>
      </c>
      <c r="G388" s="64">
        <f>6.9723 * CHOOSE(CONTROL!$C$22, $C$13, 100%, $E$13)</f>
        <v>6.9722999999999997</v>
      </c>
      <c r="H388" s="64">
        <f>12.2245* CHOOSE(CONTROL!$C$22, $C$13, 100%, $E$13)</f>
        <v>12.224500000000001</v>
      </c>
      <c r="I388" s="64">
        <f>12.2266 * CHOOSE(CONTROL!$C$22, $C$13, 100%, $E$13)</f>
        <v>12.226599999999999</v>
      </c>
      <c r="J388" s="64">
        <f>6.9702 * CHOOSE(CONTROL!$C$22, $C$13, 100%, $E$13)</f>
        <v>6.9702000000000002</v>
      </c>
      <c r="K388" s="64">
        <f>6.9723 * CHOOSE(CONTROL!$C$22, $C$13, 100%, $E$13)</f>
        <v>6.9722999999999997</v>
      </c>
    </row>
    <row r="389" spans="1:11" ht="15">
      <c r="A389" s="13">
        <v>53479</v>
      </c>
      <c r="B389" s="63">
        <f>5.9843 * CHOOSE(CONTROL!$C$22, $C$13, 100%, $E$13)</f>
        <v>5.9843000000000002</v>
      </c>
      <c r="C389" s="63">
        <f>5.9843 * CHOOSE(CONTROL!$C$22, $C$13, 100%, $E$13)</f>
        <v>5.9843000000000002</v>
      </c>
      <c r="D389" s="63">
        <f>6.019 * CHOOSE(CONTROL!$C$22, $C$13, 100%, $E$13)</f>
        <v>6.0190000000000001</v>
      </c>
      <c r="E389" s="64">
        <f>6.9505 * CHOOSE(CONTROL!$C$22, $C$13, 100%, $E$13)</f>
        <v>6.9504999999999999</v>
      </c>
      <c r="F389" s="64">
        <f>6.9505 * CHOOSE(CONTROL!$C$22, $C$13, 100%, $E$13)</f>
        <v>6.9504999999999999</v>
      </c>
      <c r="G389" s="64">
        <f>6.9526 * CHOOSE(CONTROL!$C$22, $C$13, 100%, $E$13)</f>
        <v>6.9526000000000003</v>
      </c>
      <c r="H389" s="64">
        <f>12.25* CHOOSE(CONTROL!$C$22, $C$13, 100%, $E$13)</f>
        <v>12.25</v>
      </c>
      <c r="I389" s="64">
        <f>12.2521 * CHOOSE(CONTROL!$C$22, $C$13, 100%, $E$13)</f>
        <v>12.2521</v>
      </c>
      <c r="J389" s="64">
        <f>6.9505 * CHOOSE(CONTROL!$C$22, $C$13, 100%, $E$13)</f>
        <v>6.9504999999999999</v>
      </c>
      <c r="K389" s="64">
        <f>6.9526 * CHOOSE(CONTROL!$C$22, $C$13, 100%, $E$13)</f>
        <v>6.9526000000000003</v>
      </c>
    </row>
    <row r="390" spans="1:11" ht="15">
      <c r="A390" s="13">
        <v>53509</v>
      </c>
      <c r="B390" s="63">
        <f>6.084 * CHOOSE(CONTROL!$C$22, $C$13, 100%, $E$13)</f>
        <v>6.0839999999999996</v>
      </c>
      <c r="C390" s="63">
        <f>6.084 * CHOOSE(CONTROL!$C$22, $C$13, 100%, $E$13)</f>
        <v>6.0839999999999996</v>
      </c>
      <c r="D390" s="63">
        <f>6.1187 * CHOOSE(CONTROL!$C$22, $C$13, 100%, $E$13)</f>
        <v>6.1186999999999996</v>
      </c>
      <c r="E390" s="64">
        <f>7.0886 * CHOOSE(CONTROL!$C$22, $C$13, 100%, $E$13)</f>
        <v>7.0885999999999996</v>
      </c>
      <c r="F390" s="64">
        <f>7.0886 * CHOOSE(CONTROL!$C$22, $C$13, 100%, $E$13)</f>
        <v>7.0885999999999996</v>
      </c>
      <c r="G390" s="64">
        <f>7.0907 * CHOOSE(CONTROL!$C$22, $C$13, 100%, $E$13)</f>
        <v>7.0907</v>
      </c>
      <c r="H390" s="64">
        <f>12.2755* CHOOSE(CONTROL!$C$22, $C$13, 100%, $E$13)</f>
        <v>12.275499999999999</v>
      </c>
      <c r="I390" s="64">
        <f>12.2776 * CHOOSE(CONTROL!$C$22, $C$13, 100%, $E$13)</f>
        <v>12.2776</v>
      </c>
      <c r="J390" s="64">
        <f>7.0886 * CHOOSE(CONTROL!$C$22, $C$13, 100%, $E$13)</f>
        <v>7.0885999999999996</v>
      </c>
      <c r="K390" s="64">
        <f>7.0907 * CHOOSE(CONTROL!$C$22, $C$13, 100%, $E$13)</f>
        <v>7.0907</v>
      </c>
    </row>
    <row r="391" spans="1:11" ht="15">
      <c r="A391" s="13">
        <v>53540</v>
      </c>
      <c r="B391" s="63">
        <f>6.0907 * CHOOSE(CONTROL!$C$22, $C$13, 100%, $E$13)</f>
        <v>6.0907</v>
      </c>
      <c r="C391" s="63">
        <f>6.0907 * CHOOSE(CONTROL!$C$22, $C$13, 100%, $E$13)</f>
        <v>6.0907</v>
      </c>
      <c r="D391" s="63">
        <f>6.1254 * CHOOSE(CONTROL!$C$22, $C$13, 100%, $E$13)</f>
        <v>6.1254</v>
      </c>
      <c r="E391" s="64">
        <f>7.0214 * CHOOSE(CONTROL!$C$22, $C$13, 100%, $E$13)</f>
        <v>7.0213999999999999</v>
      </c>
      <c r="F391" s="64">
        <f>7.0214 * CHOOSE(CONTROL!$C$22, $C$13, 100%, $E$13)</f>
        <v>7.0213999999999999</v>
      </c>
      <c r="G391" s="64">
        <f>7.0236 * CHOOSE(CONTROL!$C$22, $C$13, 100%, $E$13)</f>
        <v>7.0236000000000001</v>
      </c>
      <c r="H391" s="64">
        <f>12.3011* CHOOSE(CONTROL!$C$22, $C$13, 100%, $E$13)</f>
        <v>12.3011</v>
      </c>
      <c r="I391" s="64">
        <f>12.3032 * CHOOSE(CONTROL!$C$22, $C$13, 100%, $E$13)</f>
        <v>12.3032</v>
      </c>
      <c r="J391" s="64">
        <f>7.0214 * CHOOSE(CONTROL!$C$22, $C$13, 100%, $E$13)</f>
        <v>7.0213999999999999</v>
      </c>
      <c r="K391" s="64">
        <f>7.0236 * CHOOSE(CONTROL!$C$22, $C$13, 100%, $E$13)</f>
        <v>7.0236000000000001</v>
      </c>
    </row>
    <row r="392" spans="1:11" ht="15">
      <c r="A392" s="13">
        <v>53571</v>
      </c>
      <c r="B392" s="63">
        <f>6.0877 * CHOOSE(CONTROL!$C$22, $C$13, 100%, $E$13)</f>
        <v>6.0876999999999999</v>
      </c>
      <c r="C392" s="63">
        <f>6.0877 * CHOOSE(CONTROL!$C$22, $C$13, 100%, $E$13)</f>
        <v>6.0876999999999999</v>
      </c>
      <c r="D392" s="63">
        <f>6.1223 * CHOOSE(CONTROL!$C$22, $C$13, 100%, $E$13)</f>
        <v>6.1223000000000001</v>
      </c>
      <c r="E392" s="64">
        <f>7.0113 * CHOOSE(CONTROL!$C$22, $C$13, 100%, $E$13)</f>
        <v>7.0113000000000003</v>
      </c>
      <c r="F392" s="64">
        <f>7.0113 * CHOOSE(CONTROL!$C$22, $C$13, 100%, $E$13)</f>
        <v>7.0113000000000003</v>
      </c>
      <c r="G392" s="64">
        <f>7.0135 * CHOOSE(CONTROL!$C$22, $C$13, 100%, $E$13)</f>
        <v>7.0134999999999996</v>
      </c>
      <c r="H392" s="64">
        <f>12.3267* CHOOSE(CONTROL!$C$22, $C$13, 100%, $E$13)</f>
        <v>12.326700000000001</v>
      </c>
      <c r="I392" s="64">
        <f>12.3288 * CHOOSE(CONTROL!$C$22, $C$13, 100%, $E$13)</f>
        <v>12.328799999999999</v>
      </c>
      <c r="J392" s="64">
        <f>7.0113 * CHOOSE(CONTROL!$C$22, $C$13, 100%, $E$13)</f>
        <v>7.0113000000000003</v>
      </c>
      <c r="K392" s="64">
        <f>7.0135 * CHOOSE(CONTROL!$C$22, $C$13, 100%, $E$13)</f>
        <v>7.0134999999999996</v>
      </c>
    </row>
    <row r="393" spans="1:11" ht="15">
      <c r="A393" s="13">
        <v>53601</v>
      </c>
      <c r="B393" s="63">
        <f>6.0899 * CHOOSE(CONTROL!$C$22, $C$13, 100%, $E$13)</f>
        <v>6.0899000000000001</v>
      </c>
      <c r="C393" s="63">
        <f>6.0899 * CHOOSE(CONTROL!$C$22, $C$13, 100%, $E$13)</f>
        <v>6.0899000000000001</v>
      </c>
      <c r="D393" s="63">
        <f>6.1073 * CHOOSE(CONTROL!$C$22, $C$13, 100%, $E$13)</f>
        <v>6.1073000000000004</v>
      </c>
      <c r="E393" s="64">
        <f>7.0298 * CHOOSE(CONTROL!$C$22, $C$13, 100%, $E$13)</f>
        <v>7.0297999999999998</v>
      </c>
      <c r="F393" s="64">
        <f>7.0298 * CHOOSE(CONTROL!$C$22, $C$13, 100%, $E$13)</f>
        <v>7.0297999999999998</v>
      </c>
      <c r="G393" s="64">
        <f>7.03 * CHOOSE(CONTROL!$C$22, $C$13, 100%, $E$13)</f>
        <v>7.03</v>
      </c>
      <c r="H393" s="64">
        <f>12.3524* CHOOSE(CONTROL!$C$22, $C$13, 100%, $E$13)</f>
        <v>12.352399999999999</v>
      </c>
      <c r="I393" s="64">
        <f>12.3525 * CHOOSE(CONTROL!$C$22, $C$13, 100%, $E$13)</f>
        <v>12.352499999999999</v>
      </c>
      <c r="J393" s="64">
        <f>7.0298 * CHOOSE(CONTROL!$C$22, $C$13, 100%, $E$13)</f>
        <v>7.0297999999999998</v>
      </c>
      <c r="K393" s="64">
        <f>7.03 * CHOOSE(CONTROL!$C$22, $C$13, 100%, $E$13)</f>
        <v>7.03</v>
      </c>
    </row>
    <row r="394" spans="1:11" ht="15">
      <c r="A394" s="13">
        <v>53632</v>
      </c>
      <c r="B394" s="63">
        <f>6.093 * CHOOSE(CONTROL!$C$22, $C$13, 100%, $E$13)</f>
        <v>6.093</v>
      </c>
      <c r="C394" s="63">
        <f>6.093 * CHOOSE(CONTROL!$C$22, $C$13, 100%, $E$13)</f>
        <v>6.093</v>
      </c>
      <c r="D394" s="63">
        <f>6.1103 * CHOOSE(CONTROL!$C$22, $C$13, 100%, $E$13)</f>
        <v>6.1102999999999996</v>
      </c>
      <c r="E394" s="64">
        <f>7.0479 * CHOOSE(CONTROL!$C$22, $C$13, 100%, $E$13)</f>
        <v>7.0479000000000003</v>
      </c>
      <c r="F394" s="64">
        <f>7.0479 * CHOOSE(CONTROL!$C$22, $C$13, 100%, $E$13)</f>
        <v>7.0479000000000003</v>
      </c>
      <c r="G394" s="64">
        <f>7.0481 * CHOOSE(CONTROL!$C$22, $C$13, 100%, $E$13)</f>
        <v>7.0480999999999998</v>
      </c>
      <c r="H394" s="64">
        <f>12.3781* CHOOSE(CONTROL!$C$22, $C$13, 100%, $E$13)</f>
        <v>12.3781</v>
      </c>
      <c r="I394" s="64">
        <f>12.3783 * CHOOSE(CONTROL!$C$22, $C$13, 100%, $E$13)</f>
        <v>12.378299999999999</v>
      </c>
      <c r="J394" s="64">
        <f>7.0479 * CHOOSE(CONTROL!$C$22, $C$13, 100%, $E$13)</f>
        <v>7.0479000000000003</v>
      </c>
      <c r="K394" s="64">
        <f>7.0481 * CHOOSE(CONTROL!$C$22, $C$13, 100%, $E$13)</f>
        <v>7.0480999999999998</v>
      </c>
    </row>
    <row r="395" spans="1:11" ht="15">
      <c r="A395" s="13">
        <v>53662</v>
      </c>
      <c r="B395" s="63">
        <f>6.093 * CHOOSE(CONTROL!$C$22, $C$13, 100%, $E$13)</f>
        <v>6.093</v>
      </c>
      <c r="C395" s="63">
        <f>6.093 * CHOOSE(CONTROL!$C$22, $C$13, 100%, $E$13)</f>
        <v>6.093</v>
      </c>
      <c r="D395" s="63">
        <f>6.1103 * CHOOSE(CONTROL!$C$22, $C$13, 100%, $E$13)</f>
        <v>6.1102999999999996</v>
      </c>
      <c r="E395" s="64">
        <f>7.008 * CHOOSE(CONTROL!$C$22, $C$13, 100%, $E$13)</f>
        <v>7.008</v>
      </c>
      <c r="F395" s="64">
        <f>7.008 * CHOOSE(CONTROL!$C$22, $C$13, 100%, $E$13)</f>
        <v>7.008</v>
      </c>
      <c r="G395" s="64">
        <f>7.0082 * CHOOSE(CONTROL!$C$22, $C$13, 100%, $E$13)</f>
        <v>7.0082000000000004</v>
      </c>
      <c r="H395" s="64">
        <f>12.4039* CHOOSE(CONTROL!$C$22, $C$13, 100%, $E$13)</f>
        <v>12.4039</v>
      </c>
      <c r="I395" s="64">
        <f>12.4041 * CHOOSE(CONTROL!$C$22, $C$13, 100%, $E$13)</f>
        <v>12.4041</v>
      </c>
      <c r="J395" s="64">
        <f>7.008 * CHOOSE(CONTROL!$C$22, $C$13, 100%, $E$13)</f>
        <v>7.008</v>
      </c>
      <c r="K395" s="64">
        <f>7.0082 * CHOOSE(CONTROL!$C$22, $C$13, 100%, $E$13)</f>
        <v>7.0082000000000004</v>
      </c>
    </row>
    <row r="396" spans="1:11" ht="15">
      <c r="A396" s="13">
        <v>53693</v>
      </c>
      <c r="B396" s="63">
        <f>6.148 * CHOOSE(CONTROL!$C$22, $C$13, 100%, $E$13)</f>
        <v>6.1479999999999997</v>
      </c>
      <c r="C396" s="63">
        <f>6.148 * CHOOSE(CONTROL!$C$22, $C$13, 100%, $E$13)</f>
        <v>6.1479999999999997</v>
      </c>
      <c r="D396" s="63">
        <f>6.1654 * CHOOSE(CONTROL!$C$22, $C$13, 100%, $E$13)</f>
        <v>6.1654</v>
      </c>
      <c r="E396" s="64">
        <f>7.1001 * CHOOSE(CONTROL!$C$22, $C$13, 100%, $E$13)</f>
        <v>7.1001000000000003</v>
      </c>
      <c r="F396" s="64">
        <f>7.1001 * CHOOSE(CONTROL!$C$22, $C$13, 100%, $E$13)</f>
        <v>7.1001000000000003</v>
      </c>
      <c r="G396" s="64">
        <f>7.1003 * CHOOSE(CONTROL!$C$22, $C$13, 100%, $E$13)</f>
        <v>7.1002999999999998</v>
      </c>
      <c r="H396" s="64">
        <f>12.4297* CHOOSE(CONTROL!$C$22, $C$13, 100%, $E$13)</f>
        <v>12.4297</v>
      </c>
      <c r="I396" s="64">
        <f>12.4299 * CHOOSE(CONTROL!$C$22, $C$13, 100%, $E$13)</f>
        <v>12.4299</v>
      </c>
      <c r="J396" s="64">
        <f>7.1001 * CHOOSE(CONTROL!$C$22, $C$13, 100%, $E$13)</f>
        <v>7.1001000000000003</v>
      </c>
      <c r="K396" s="64">
        <f>7.1003 * CHOOSE(CONTROL!$C$22, $C$13, 100%, $E$13)</f>
        <v>7.1002999999999998</v>
      </c>
    </row>
    <row r="397" spans="1:11" ht="15">
      <c r="A397" s="13">
        <v>53724</v>
      </c>
      <c r="B397" s="63">
        <f>6.145 * CHOOSE(CONTROL!$C$22, $C$13, 100%, $E$13)</f>
        <v>6.1449999999999996</v>
      </c>
      <c r="C397" s="63">
        <f>6.145 * CHOOSE(CONTROL!$C$22, $C$13, 100%, $E$13)</f>
        <v>6.1449999999999996</v>
      </c>
      <c r="D397" s="63">
        <f>6.1623 * CHOOSE(CONTROL!$C$22, $C$13, 100%, $E$13)</f>
        <v>6.1623000000000001</v>
      </c>
      <c r="E397" s="64">
        <f>7.0205 * CHOOSE(CONTROL!$C$22, $C$13, 100%, $E$13)</f>
        <v>7.0205000000000002</v>
      </c>
      <c r="F397" s="64">
        <f>7.0205 * CHOOSE(CONTROL!$C$22, $C$13, 100%, $E$13)</f>
        <v>7.0205000000000002</v>
      </c>
      <c r="G397" s="64">
        <f>7.0206 * CHOOSE(CONTROL!$C$22, $C$13, 100%, $E$13)</f>
        <v>7.0206</v>
      </c>
      <c r="H397" s="64">
        <f>12.4556* CHOOSE(CONTROL!$C$22, $C$13, 100%, $E$13)</f>
        <v>12.4556</v>
      </c>
      <c r="I397" s="64">
        <f>12.4558 * CHOOSE(CONTROL!$C$22, $C$13, 100%, $E$13)</f>
        <v>12.4558</v>
      </c>
      <c r="J397" s="64">
        <f>7.0205 * CHOOSE(CONTROL!$C$22, $C$13, 100%, $E$13)</f>
        <v>7.0205000000000002</v>
      </c>
      <c r="K397" s="64">
        <f>7.0206 * CHOOSE(CONTROL!$C$22, $C$13, 100%, $E$13)</f>
        <v>7.0206</v>
      </c>
    </row>
    <row r="398" spans="1:11" ht="15">
      <c r="A398" s="13">
        <v>53752</v>
      </c>
      <c r="B398" s="63">
        <f>6.1419 * CHOOSE(CONTROL!$C$22, $C$13, 100%, $E$13)</f>
        <v>6.1418999999999997</v>
      </c>
      <c r="C398" s="63">
        <f>6.1419 * CHOOSE(CONTROL!$C$22, $C$13, 100%, $E$13)</f>
        <v>6.1418999999999997</v>
      </c>
      <c r="D398" s="63">
        <f>6.1593 * CHOOSE(CONTROL!$C$22, $C$13, 100%, $E$13)</f>
        <v>6.1593</v>
      </c>
      <c r="E398" s="64">
        <f>7.0795 * CHOOSE(CONTROL!$C$22, $C$13, 100%, $E$13)</f>
        <v>7.0795000000000003</v>
      </c>
      <c r="F398" s="64">
        <f>7.0795 * CHOOSE(CONTROL!$C$22, $C$13, 100%, $E$13)</f>
        <v>7.0795000000000003</v>
      </c>
      <c r="G398" s="64">
        <f>7.0797 * CHOOSE(CONTROL!$C$22, $C$13, 100%, $E$13)</f>
        <v>7.0796999999999999</v>
      </c>
      <c r="H398" s="64">
        <f>12.4816* CHOOSE(CONTROL!$C$22, $C$13, 100%, $E$13)</f>
        <v>12.4816</v>
      </c>
      <c r="I398" s="64">
        <f>12.4817 * CHOOSE(CONTROL!$C$22, $C$13, 100%, $E$13)</f>
        <v>12.4817</v>
      </c>
      <c r="J398" s="64">
        <f>7.0795 * CHOOSE(CONTROL!$C$22, $C$13, 100%, $E$13)</f>
        <v>7.0795000000000003</v>
      </c>
      <c r="K398" s="64">
        <f>7.0797 * CHOOSE(CONTROL!$C$22, $C$13, 100%, $E$13)</f>
        <v>7.0796999999999999</v>
      </c>
    </row>
    <row r="399" spans="1:11" ht="15">
      <c r="A399" s="13">
        <v>53783</v>
      </c>
      <c r="B399" s="63">
        <f>6.1415 * CHOOSE(CONTROL!$C$22, $C$13, 100%, $E$13)</f>
        <v>6.1414999999999997</v>
      </c>
      <c r="C399" s="63">
        <f>6.1415 * CHOOSE(CONTROL!$C$22, $C$13, 100%, $E$13)</f>
        <v>6.1414999999999997</v>
      </c>
      <c r="D399" s="63">
        <f>6.1589 * CHOOSE(CONTROL!$C$22, $C$13, 100%, $E$13)</f>
        <v>6.1589</v>
      </c>
      <c r="E399" s="64">
        <f>7.1409 * CHOOSE(CONTROL!$C$22, $C$13, 100%, $E$13)</f>
        <v>7.1409000000000002</v>
      </c>
      <c r="F399" s="64">
        <f>7.1409 * CHOOSE(CONTROL!$C$22, $C$13, 100%, $E$13)</f>
        <v>7.1409000000000002</v>
      </c>
      <c r="G399" s="64">
        <f>7.1411 * CHOOSE(CONTROL!$C$22, $C$13, 100%, $E$13)</f>
        <v>7.1410999999999998</v>
      </c>
      <c r="H399" s="64">
        <f>12.5076* CHOOSE(CONTROL!$C$22, $C$13, 100%, $E$13)</f>
        <v>12.5076</v>
      </c>
      <c r="I399" s="64">
        <f>12.5078 * CHOOSE(CONTROL!$C$22, $C$13, 100%, $E$13)</f>
        <v>12.5078</v>
      </c>
      <c r="J399" s="64">
        <f>7.1409 * CHOOSE(CONTROL!$C$22, $C$13, 100%, $E$13)</f>
        <v>7.1409000000000002</v>
      </c>
      <c r="K399" s="64">
        <f>7.1411 * CHOOSE(CONTROL!$C$22, $C$13, 100%, $E$13)</f>
        <v>7.1410999999999998</v>
      </c>
    </row>
    <row r="400" spans="1:11" ht="15">
      <c r="A400" s="13">
        <v>53813</v>
      </c>
      <c r="B400" s="63">
        <f>6.1415 * CHOOSE(CONTROL!$C$22, $C$13, 100%, $E$13)</f>
        <v>6.1414999999999997</v>
      </c>
      <c r="C400" s="63">
        <f>6.1415 * CHOOSE(CONTROL!$C$22, $C$13, 100%, $E$13)</f>
        <v>6.1414999999999997</v>
      </c>
      <c r="D400" s="63">
        <f>6.1762 * CHOOSE(CONTROL!$C$22, $C$13, 100%, $E$13)</f>
        <v>6.1761999999999997</v>
      </c>
      <c r="E400" s="64">
        <f>7.1655 * CHOOSE(CONTROL!$C$22, $C$13, 100%, $E$13)</f>
        <v>7.1654999999999998</v>
      </c>
      <c r="F400" s="64">
        <f>7.1655 * CHOOSE(CONTROL!$C$22, $C$13, 100%, $E$13)</f>
        <v>7.1654999999999998</v>
      </c>
      <c r="G400" s="64">
        <f>7.1676 * CHOOSE(CONTROL!$C$22, $C$13, 100%, $E$13)</f>
        <v>7.1676000000000002</v>
      </c>
      <c r="H400" s="64">
        <f>12.5336* CHOOSE(CONTROL!$C$22, $C$13, 100%, $E$13)</f>
        <v>12.5336</v>
      </c>
      <c r="I400" s="64">
        <f>12.5358 * CHOOSE(CONTROL!$C$22, $C$13, 100%, $E$13)</f>
        <v>12.5358</v>
      </c>
      <c r="J400" s="64">
        <f>7.1655 * CHOOSE(CONTROL!$C$22, $C$13, 100%, $E$13)</f>
        <v>7.1654999999999998</v>
      </c>
      <c r="K400" s="64">
        <f>7.1676 * CHOOSE(CONTROL!$C$22, $C$13, 100%, $E$13)</f>
        <v>7.1676000000000002</v>
      </c>
    </row>
    <row r="401" spans="1:11" ht="15">
      <c r="A401" s="13">
        <v>53844</v>
      </c>
      <c r="B401" s="63">
        <f>6.1476 * CHOOSE(CONTROL!$C$22, $C$13, 100%, $E$13)</f>
        <v>6.1475999999999997</v>
      </c>
      <c r="C401" s="63">
        <f>6.1476 * CHOOSE(CONTROL!$C$22, $C$13, 100%, $E$13)</f>
        <v>6.1475999999999997</v>
      </c>
      <c r="D401" s="63">
        <f>6.1823 * CHOOSE(CONTROL!$C$22, $C$13, 100%, $E$13)</f>
        <v>6.1822999999999997</v>
      </c>
      <c r="E401" s="64">
        <f>7.1451 * CHOOSE(CONTROL!$C$22, $C$13, 100%, $E$13)</f>
        <v>7.1451000000000002</v>
      </c>
      <c r="F401" s="64">
        <f>7.1451 * CHOOSE(CONTROL!$C$22, $C$13, 100%, $E$13)</f>
        <v>7.1451000000000002</v>
      </c>
      <c r="G401" s="64">
        <f>7.1473 * CHOOSE(CONTROL!$C$22, $C$13, 100%, $E$13)</f>
        <v>7.1473000000000004</v>
      </c>
      <c r="H401" s="64">
        <f>12.5597* CHOOSE(CONTROL!$C$22, $C$13, 100%, $E$13)</f>
        <v>12.559699999999999</v>
      </c>
      <c r="I401" s="64">
        <f>12.5619 * CHOOSE(CONTROL!$C$22, $C$13, 100%, $E$13)</f>
        <v>12.5619</v>
      </c>
      <c r="J401" s="64">
        <f>7.1451 * CHOOSE(CONTROL!$C$22, $C$13, 100%, $E$13)</f>
        <v>7.1451000000000002</v>
      </c>
      <c r="K401" s="64">
        <f>7.1473 * CHOOSE(CONTROL!$C$22, $C$13, 100%, $E$13)</f>
        <v>7.1473000000000004</v>
      </c>
    </row>
    <row r="402" spans="1:11" ht="15">
      <c r="A402" s="13">
        <v>53874</v>
      </c>
      <c r="B402" s="63">
        <f>6.2497 * CHOOSE(CONTROL!$C$22, $C$13, 100%, $E$13)</f>
        <v>6.2496999999999998</v>
      </c>
      <c r="C402" s="63">
        <f>6.2497 * CHOOSE(CONTROL!$C$22, $C$13, 100%, $E$13)</f>
        <v>6.2496999999999998</v>
      </c>
      <c r="D402" s="63">
        <f>6.2844 * CHOOSE(CONTROL!$C$22, $C$13, 100%, $E$13)</f>
        <v>6.2843999999999998</v>
      </c>
      <c r="E402" s="64">
        <f>7.2868 * CHOOSE(CONTROL!$C$22, $C$13, 100%, $E$13)</f>
        <v>7.2868000000000004</v>
      </c>
      <c r="F402" s="64">
        <f>7.2868 * CHOOSE(CONTROL!$C$22, $C$13, 100%, $E$13)</f>
        <v>7.2868000000000004</v>
      </c>
      <c r="G402" s="64">
        <f>7.289 * CHOOSE(CONTROL!$C$22, $C$13, 100%, $E$13)</f>
        <v>7.2889999999999997</v>
      </c>
      <c r="H402" s="64">
        <f>12.5859* CHOOSE(CONTROL!$C$22, $C$13, 100%, $E$13)</f>
        <v>12.585900000000001</v>
      </c>
      <c r="I402" s="64">
        <f>12.5881 * CHOOSE(CONTROL!$C$22, $C$13, 100%, $E$13)</f>
        <v>12.588100000000001</v>
      </c>
      <c r="J402" s="64">
        <f>7.2868 * CHOOSE(CONTROL!$C$22, $C$13, 100%, $E$13)</f>
        <v>7.2868000000000004</v>
      </c>
      <c r="K402" s="64">
        <f>7.289 * CHOOSE(CONTROL!$C$22, $C$13, 100%, $E$13)</f>
        <v>7.2889999999999997</v>
      </c>
    </row>
    <row r="403" spans="1:11" ht="15">
      <c r="A403" s="13">
        <v>53905</v>
      </c>
      <c r="B403" s="63">
        <f>6.2564 * CHOOSE(CONTROL!$C$22, $C$13, 100%, $E$13)</f>
        <v>6.2564000000000002</v>
      </c>
      <c r="C403" s="63">
        <f>6.2564 * CHOOSE(CONTROL!$C$22, $C$13, 100%, $E$13)</f>
        <v>6.2564000000000002</v>
      </c>
      <c r="D403" s="63">
        <f>6.2911 * CHOOSE(CONTROL!$C$22, $C$13, 100%, $E$13)</f>
        <v>6.2911000000000001</v>
      </c>
      <c r="E403" s="64">
        <f>7.2176 * CHOOSE(CONTROL!$C$22, $C$13, 100%, $E$13)</f>
        <v>7.2176</v>
      </c>
      <c r="F403" s="64">
        <f>7.2176 * CHOOSE(CONTROL!$C$22, $C$13, 100%, $E$13)</f>
        <v>7.2176</v>
      </c>
      <c r="G403" s="64">
        <f>7.2198 * CHOOSE(CONTROL!$C$22, $C$13, 100%, $E$13)</f>
        <v>7.2198000000000002</v>
      </c>
      <c r="H403" s="64">
        <f>12.6121* CHOOSE(CONTROL!$C$22, $C$13, 100%, $E$13)</f>
        <v>12.6121</v>
      </c>
      <c r="I403" s="64">
        <f>12.6143 * CHOOSE(CONTROL!$C$22, $C$13, 100%, $E$13)</f>
        <v>12.6143</v>
      </c>
      <c r="J403" s="64">
        <f>7.2176 * CHOOSE(CONTROL!$C$22, $C$13, 100%, $E$13)</f>
        <v>7.2176</v>
      </c>
      <c r="K403" s="64">
        <f>7.2198 * CHOOSE(CONTROL!$C$22, $C$13, 100%, $E$13)</f>
        <v>7.2198000000000002</v>
      </c>
    </row>
    <row r="404" spans="1:11" ht="15">
      <c r="A404" s="13">
        <v>53936</v>
      </c>
      <c r="B404" s="63">
        <f>6.2534 * CHOOSE(CONTROL!$C$22, $C$13, 100%, $E$13)</f>
        <v>6.2534000000000001</v>
      </c>
      <c r="C404" s="63">
        <f>6.2534 * CHOOSE(CONTROL!$C$22, $C$13, 100%, $E$13)</f>
        <v>6.2534000000000001</v>
      </c>
      <c r="D404" s="63">
        <f>6.288 * CHOOSE(CONTROL!$C$22, $C$13, 100%, $E$13)</f>
        <v>6.2880000000000003</v>
      </c>
      <c r="E404" s="64">
        <f>7.2073 * CHOOSE(CONTROL!$C$22, $C$13, 100%, $E$13)</f>
        <v>7.2073</v>
      </c>
      <c r="F404" s="64">
        <f>7.2073 * CHOOSE(CONTROL!$C$22, $C$13, 100%, $E$13)</f>
        <v>7.2073</v>
      </c>
      <c r="G404" s="64">
        <f>7.2094 * CHOOSE(CONTROL!$C$22, $C$13, 100%, $E$13)</f>
        <v>7.2093999999999996</v>
      </c>
      <c r="H404" s="64">
        <f>12.6384* CHOOSE(CONTROL!$C$22, $C$13, 100%, $E$13)</f>
        <v>12.638400000000001</v>
      </c>
      <c r="I404" s="64">
        <f>12.6406 * CHOOSE(CONTROL!$C$22, $C$13, 100%, $E$13)</f>
        <v>12.640599999999999</v>
      </c>
      <c r="J404" s="64">
        <f>7.2073 * CHOOSE(CONTROL!$C$22, $C$13, 100%, $E$13)</f>
        <v>7.2073</v>
      </c>
      <c r="K404" s="64">
        <f>7.2094 * CHOOSE(CONTROL!$C$22, $C$13, 100%, $E$13)</f>
        <v>7.2093999999999996</v>
      </c>
    </row>
    <row r="405" spans="1:11" ht="15">
      <c r="A405" s="13">
        <v>53966</v>
      </c>
      <c r="B405" s="63">
        <f>6.2562 * CHOOSE(CONTROL!$C$22, $C$13, 100%, $E$13)</f>
        <v>6.2561999999999998</v>
      </c>
      <c r="C405" s="63">
        <f>6.2562 * CHOOSE(CONTROL!$C$22, $C$13, 100%, $E$13)</f>
        <v>6.2561999999999998</v>
      </c>
      <c r="D405" s="63">
        <f>6.2735 * CHOOSE(CONTROL!$C$22, $C$13, 100%, $E$13)</f>
        <v>6.2735000000000003</v>
      </c>
      <c r="E405" s="64">
        <f>7.2267 * CHOOSE(CONTROL!$C$22, $C$13, 100%, $E$13)</f>
        <v>7.2267000000000001</v>
      </c>
      <c r="F405" s="64">
        <f>7.2267 * CHOOSE(CONTROL!$C$22, $C$13, 100%, $E$13)</f>
        <v>7.2267000000000001</v>
      </c>
      <c r="G405" s="64">
        <f>7.2269 * CHOOSE(CONTROL!$C$22, $C$13, 100%, $E$13)</f>
        <v>7.2268999999999997</v>
      </c>
      <c r="H405" s="64">
        <f>12.6647* CHOOSE(CONTROL!$C$22, $C$13, 100%, $E$13)</f>
        <v>12.6647</v>
      </c>
      <c r="I405" s="64">
        <f>12.6649 * CHOOSE(CONTROL!$C$22, $C$13, 100%, $E$13)</f>
        <v>12.664899999999999</v>
      </c>
      <c r="J405" s="64">
        <f>7.2267 * CHOOSE(CONTROL!$C$22, $C$13, 100%, $E$13)</f>
        <v>7.2267000000000001</v>
      </c>
      <c r="K405" s="64">
        <f>7.2269 * CHOOSE(CONTROL!$C$22, $C$13, 100%, $E$13)</f>
        <v>7.2268999999999997</v>
      </c>
    </row>
    <row r="406" spans="1:11" ht="15">
      <c r="A406" s="13">
        <v>53997</v>
      </c>
      <c r="B406" s="63">
        <f>6.2592 * CHOOSE(CONTROL!$C$22, $C$13, 100%, $E$13)</f>
        <v>6.2591999999999999</v>
      </c>
      <c r="C406" s="63">
        <f>6.2592 * CHOOSE(CONTROL!$C$22, $C$13, 100%, $E$13)</f>
        <v>6.2591999999999999</v>
      </c>
      <c r="D406" s="63">
        <f>6.2766 * CHOOSE(CONTROL!$C$22, $C$13, 100%, $E$13)</f>
        <v>6.2766000000000002</v>
      </c>
      <c r="E406" s="64">
        <f>7.2452 * CHOOSE(CONTROL!$C$22, $C$13, 100%, $E$13)</f>
        <v>7.2451999999999996</v>
      </c>
      <c r="F406" s="64">
        <f>7.2452 * CHOOSE(CONTROL!$C$22, $C$13, 100%, $E$13)</f>
        <v>7.2451999999999996</v>
      </c>
      <c r="G406" s="64">
        <f>7.2454 * CHOOSE(CONTROL!$C$22, $C$13, 100%, $E$13)</f>
        <v>7.2454000000000001</v>
      </c>
      <c r="H406" s="64">
        <f>12.6911* CHOOSE(CONTROL!$C$22, $C$13, 100%, $E$13)</f>
        <v>12.6911</v>
      </c>
      <c r="I406" s="64">
        <f>12.6913 * CHOOSE(CONTROL!$C$22, $C$13, 100%, $E$13)</f>
        <v>12.6913</v>
      </c>
      <c r="J406" s="64">
        <f>7.2452 * CHOOSE(CONTROL!$C$22, $C$13, 100%, $E$13)</f>
        <v>7.2451999999999996</v>
      </c>
      <c r="K406" s="64">
        <f>7.2454 * CHOOSE(CONTROL!$C$22, $C$13, 100%, $E$13)</f>
        <v>7.2454000000000001</v>
      </c>
    </row>
    <row r="407" spans="1:11" ht="15">
      <c r="A407" s="13">
        <v>54027</v>
      </c>
      <c r="B407" s="63">
        <f>6.2592 * CHOOSE(CONTROL!$C$22, $C$13, 100%, $E$13)</f>
        <v>6.2591999999999999</v>
      </c>
      <c r="C407" s="63">
        <f>6.2592 * CHOOSE(CONTROL!$C$22, $C$13, 100%, $E$13)</f>
        <v>6.2591999999999999</v>
      </c>
      <c r="D407" s="63">
        <f>6.2766 * CHOOSE(CONTROL!$C$22, $C$13, 100%, $E$13)</f>
        <v>6.2766000000000002</v>
      </c>
      <c r="E407" s="64">
        <f>7.2042 * CHOOSE(CONTROL!$C$22, $C$13, 100%, $E$13)</f>
        <v>7.2042000000000002</v>
      </c>
      <c r="F407" s="64">
        <f>7.2042 * CHOOSE(CONTROL!$C$22, $C$13, 100%, $E$13)</f>
        <v>7.2042000000000002</v>
      </c>
      <c r="G407" s="64">
        <f>7.2044 * CHOOSE(CONTROL!$C$22, $C$13, 100%, $E$13)</f>
        <v>7.2043999999999997</v>
      </c>
      <c r="H407" s="64">
        <f>12.7176* CHOOSE(CONTROL!$C$22, $C$13, 100%, $E$13)</f>
        <v>12.717599999999999</v>
      </c>
      <c r="I407" s="64">
        <f>12.7177 * CHOOSE(CONTROL!$C$22, $C$13, 100%, $E$13)</f>
        <v>12.717700000000001</v>
      </c>
      <c r="J407" s="64">
        <f>7.2042 * CHOOSE(CONTROL!$C$22, $C$13, 100%, $E$13)</f>
        <v>7.2042000000000002</v>
      </c>
      <c r="K407" s="64">
        <f>7.2044 * CHOOSE(CONTROL!$C$22, $C$13, 100%, $E$13)</f>
        <v>7.2043999999999997</v>
      </c>
    </row>
    <row r="408" spans="1:11" ht="15">
      <c r="A408" s="13">
        <v>54058</v>
      </c>
      <c r="B408" s="63">
        <f>6.3156 * CHOOSE(CONTROL!$C$22, $C$13, 100%, $E$13)</f>
        <v>6.3155999999999999</v>
      </c>
      <c r="C408" s="63">
        <f>6.3156 * CHOOSE(CONTROL!$C$22, $C$13, 100%, $E$13)</f>
        <v>6.3155999999999999</v>
      </c>
      <c r="D408" s="63">
        <f>6.333 * CHOOSE(CONTROL!$C$22, $C$13, 100%, $E$13)</f>
        <v>6.3330000000000002</v>
      </c>
      <c r="E408" s="64">
        <f>7.2988 * CHOOSE(CONTROL!$C$22, $C$13, 100%, $E$13)</f>
        <v>7.2988</v>
      </c>
      <c r="F408" s="64">
        <f>7.2988 * CHOOSE(CONTROL!$C$22, $C$13, 100%, $E$13)</f>
        <v>7.2988</v>
      </c>
      <c r="G408" s="64">
        <f>7.299 * CHOOSE(CONTROL!$C$22, $C$13, 100%, $E$13)</f>
        <v>7.2990000000000004</v>
      </c>
      <c r="H408" s="64">
        <f>12.7441* CHOOSE(CONTROL!$C$22, $C$13, 100%, $E$13)</f>
        <v>12.7441</v>
      </c>
      <c r="I408" s="64">
        <f>12.7442 * CHOOSE(CONTROL!$C$22, $C$13, 100%, $E$13)</f>
        <v>12.744199999999999</v>
      </c>
      <c r="J408" s="64">
        <f>7.2988 * CHOOSE(CONTROL!$C$22, $C$13, 100%, $E$13)</f>
        <v>7.2988</v>
      </c>
      <c r="K408" s="64">
        <f>7.299 * CHOOSE(CONTROL!$C$22, $C$13, 100%, $E$13)</f>
        <v>7.2990000000000004</v>
      </c>
    </row>
    <row r="409" spans="1:11" ht="15">
      <c r="A409" s="13">
        <v>54089</v>
      </c>
      <c r="B409" s="63">
        <f>6.3126 * CHOOSE(CONTROL!$C$22, $C$13, 100%, $E$13)</f>
        <v>6.3125999999999998</v>
      </c>
      <c r="C409" s="63">
        <f>6.3126 * CHOOSE(CONTROL!$C$22, $C$13, 100%, $E$13)</f>
        <v>6.3125999999999998</v>
      </c>
      <c r="D409" s="63">
        <f>6.3299 * CHOOSE(CONTROL!$C$22, $C$13, 100%, $E$13)</f>
        <v>6.3299000000000003</v>
      </c>
      <c r="E409" s="64">
        <f>7.217 * CHOOSE(CONTROL!$C$22, $C$13, 100%, $E$13)</f>
        <v>7.2169999999999996</v>
      </c>
      <c r="F409" s="64">
        <f>7.217 * CHOOSE(CONTROL!$C$22, $C$13, 100%, $E$13)</f>
        <v>7.2169999999999996</v>
      </c>
      <c r="G409" s="64">
        <f>7.2172 * CHOOSE(CONTROL!$C$22, $C$13, 100%, $E$13)</f>
        <v>7.2172000000000001</v>
      </c>
      <c r="H409" s="64">
        <f>12.7706* CHOOSE(CONTROL!$C$22, $C$13, 100%, $E$13)</f>
        <v>12.7706</v>
      </c>
      <c r="I409" s="64">
        <f>12.7708 * CHOOSE(CONTROL!$C$22, $C$13, 100%, $E$13)</f>
        <v>12.770799999999999</v>
      </c>
      <c r="J409" s="64">
        <f>7.217 * CHOOSE(CONTROL!$C$22, $C$13, 100%, $E$13)</f>
        <v>7.2169999999999996</v>
      </c>
      <c r="K409" s="64">
        <f>7.2172 * CHOOSE(CONTROL!$C$22, $C$13, 100%, $E$13)</f>
        <v>7.2172000000000001</v>
      </c>
    </row>
    <row r="410" spans="1:11" ht="15">
      <c r="A410" s="13">
        <v>54118</v>
      </c>
      <c r="B410" s="63">
        <f>6.3096 * CHOOSE(CONTROL!$C$22, $C$13, 100%, $E$13)</f>
        <v>6.3095999999999997</v>
      </c>
      <c r="C410" s="63">
        <f>6.3096 * CHOOSE(CONTROL!$C$22, $C$13, 100%, $E$13)</f>
        <v>6.3095999999999997</v>
      </c>
      <c r="D410" s="63">
        <f>6.3269 * CHOOSE(CONTROL!$C$22, $C$13, 100%, $E$13)</f>
        <v>6.3269000000000002</v>
      </c>
      <c r="E410" s="64">
        <f>7.2777 * CHOOSE(CONTROL!$C$22, $C$13, 100%, $E$13)</f>
        <v>7.2777000000000003</v>
      </c>
      <c r="F410" s="64">
        <f>7.2777 * CHOOSE(CONTROL!$C$22, $C$13, 100%, $E$13)</f>
        <v>7.2777000000000003</v>
      </c>
      <c r="G410" s="64">
        <f>7.2779 * CHOOSE(CONTROL!$C$22, $C$13, 100%, $E$13)</f>
        <v>7.2778999999999998</v>
      </c>
      <c r="H410" s="64">
        <f>12.7972* CHOOSE(CONTROL!$C$22, $C$13, 100%, $E$13)</f>
        <v>12.7972</v>
      </c>
      <c r="I410" s="64">
        <f>12.7974 * CHOOSE(CONTROL!$C$22, $C$13, 100%, $E$13)</f>
        <v>12.7974</v>
      </c>
      <c r="J410" s="64">
        <f>7.2777 * CHOOSE(CONTROL!$C$22, $C$13, 100%, $E$13)</f>
        <v>7.2777000000000003</v>
      </c>
      <c r="K410" s="64">
        <f>7.2779 * CHOOSE(CONTROL!$C$22, $C$13, 100%, $E$13)</f>
        <v>7.2778999999999998</v>
      </c>
    </row>
    <row r="411" spans="1:11" ht="15">
      <c r="A411" s="13">
        <v>54149</v>
      </c>
      <c r="B411" s="63">
        <f>6.3093 * CHOOSE(CONTROL!$C$22, $C$13, 100%, $E$13)</f>
        <v>6.3093000000000004</v>
      </c>
      <c r="C411" s="63">
        <f>6.3093 * CHOOSE(CONTROL!$C$22, $C$13, 100%, $E$13)</f>
        <v>6.3093000000000004</v>
      </c>
      <c r="D411" s="63">
        <f>6.3266 * CHOOSE(CONTROL!$C$22, $C$13, 100%, $E$13)</f>
        <v>6.3266</v>
      </c>
      <c r="E411" s="64">
        <f>7.3409 * CHOOSE(CONTROL!$C$22, $C$13, 100%, $E$13)</f>
        <v>7.3409000000000004</v>
      </c>
      <c r="F411" s="64">
        <f>7.3409 * CHOOSE(CONTROL!$C$22, $C$13, 100%, $E$13)</f>
        <v>7.3409000000000004</v>
      </c>
      <c r="G411" s="64">
        <f>7.3411 * CHOOSE(CONTROL!$C$22, $C$13, 100%, $E$13)</f>
        <v>7.3411</v>
      </c>
      <c r="H411" s="64">
        <f>12.8239* CHOOSE(CONTROL!$C$22, $C$13, 100%, $E$13)</f>
        <v>12.8239</v>
      </c>
      <c r="I411" s="64">
        <f>12.824 * CHOOSE(CONTROL!$C$22, $C$13, 100%, $E$13)</f>
        <v>12.824</v>
      </c>
      <c r="J411" s="64">
        <f>7.3409 * CHOOSE(CONTROL!$C$22, $C$13, 100%, $E$13)</f>
        <v>7.3409000000000004</v>
      </c>
      <c r="K411" s="64">
        <f>7.3411 * CHOOSE(CONTROL!$C$22, $C$13, 100%, $E$13)</f>
        <v>7.3411</v>
      </c>
    </row>
    <row r="412" spans="1:11" ht="15">
      <c r="A412" s="13">
        <v>54179</v>
      </c>
      <c r="B412" s="63">
        <f>6.3093 * CHOOSE(CONTROL!$C$22, $C$13, 100%, $E$13)</f>
        <v>6.3093000000000004</v>
      </c>
      <c r="C412" s="63">
        <f>6.3093 * CHOOSE(CONTROL!$C$22, $C$13, 100%, $E$13)</f>
        <v>6.3093000000000004</v>
      </c>
      <c r="D412" s="63">
        <f>6.3439 * CHOOSE(CONTROL!$C$22, $C$13, 100%, $E$13)</f>
        <v>6.3438999999999997</v>
      </c>
      <c r="E412" s="64">
        <f>7.3663 * CHOOSE(CONTROL!$C$22, $C$13, 100%, $E$13)</f>
        <v>7.3662999999999998</v>
      </c>
      <c r="F412" s="64">
        <f>7.3663 * CHOOSE(CONTROL!$C$22, $C$13, 100%, $E$13)</f>
        <v>7.3662999999999998</v>
      </c>
      <c r="G412" s="64">
        <f>7.3684 * CHOOSE(CONTROL!$C$22, $C$13, 100%, $E$13)</f>
        <v>7.3684000000000003</v>
      </c>
      <c r="H412" s="64">
        <f>12.8506* CHOOSE(CONTROL!$C$22, $C$13, 100%, $E$13)</f>
        <v>12.8506</v>
      </c>
      <c r="I412" s="64">
        <f>12.8527 * CHOOSE(CONTROL!$C$22, $C$13, 100%, $E$13)</f>
        <v>12.8527</v>
      </c>
      <c r="J412" s="64">
        <f>7.3663 * CHOOSE(CONTROL!$C$22, $C$13, 100%, $E$13)</f>
        <v>7.3662999999999998</v>
      </c>
      <c r="K412" s="64">
        <f>7.3684 * CHOOSE(CONTROL!$C$22, $C$13, 100%, $E$13)</f>
        <v>7.3684000000000003</v>
      </c>
    </row>
    <row r="413" spans="1:11" ht="15">
      <c r="A413" s="13">
        <v>54210</v>
      </c>
      <c r="B413" s="63">
        <f>6.3154 * CHOOSE(CONTROL!$C$22, $C$13, 100%, $E$13)</f>
        <v>6.3154000000000003</v>
      </c>
      <c r="C413" s="63">
        <f>6.3154 * CHOOSE(CONTROL!$C$22, $C$13, 100%, $E$13)</f>
        <v>6.3154000000000003</v>
      </c>
      <c r="D413" s="63">
        <f>6.35 * CHOOSE(CONTROL!$C$22, $C$13, 100%, $E$13)</f>
        <v>6.35</v>
      </c>
      <c r="E413" s="64">
        <f>7.3452 * CHOOSE(CONTROL!$C$22, $C$13, 100%, $E$13)</f>
        <v>7.3452000000000002</v>
      </c>
      <c r="F413" s="64">
        <f>7.3452 * CHOOSE(CONTROL!$C$22, $C$13, 100%, $E$13)</f>
        <v>7.3452000000000002</v>
      </c>
      <c r="G413" s="64">
        <f>7.3473 * CHOOSE(CONTROL!$C$22, $C$13, 100%, $E$13)</f>
        <v>7.3472999999999997</v>
      </c>
      <c r="H413" s="64">
        <f>12.8774* CHOOSE(CONTROL!$C$22, $C$13, 100%, $E$13)</f>
        <v>12.8774</v>
      </c>
      <c r="I413" s="64">
        <f>12.8795 * CHOOSE(CONTROL!$C$22, $C$13, 100%, $E$13)</f>
        <v>12.8795</v>
      </c>
      <c r="J413" s="64">
        <f>7.3452 * CHOOSE(CONTROL!$C$22, $C$13, 100%, $E$13)</f>
        <v>7.3452000000000002</v>
      </c>
      <c r="K413" s="64">
        <f>7.3473 * CHOOSE(CONTROL!$C$22, $C$13, 100%, $E$13)</f>
        <v>7.3472999999999997</v>
      </c>
    </row>
    <row r="414" spans="1:11" ht="15">
      <c r="A414" s="13">
        <v>54240</v>
      </c>
      <c r="B414" s="63">
        <f>6.42 * CHOOSE(CONTROL!$C$22, $C$13, 100%, $E$13)</f>
        <v>6.42</v>
      </c>
      <c r="C414" s="63">
        <f>6.42 * CHOOSE(CONTROL!$C$22, $C$13, 100%, $E$13)</f>
        <v>6.42</v>
      </c>
      <c r="D414" s="63">
        <f>6.4546 * CHOOSE(CONTROL!$C$22, $C$13, 100%, $E$13)</f>
        <v>6.4546000000000001</v>
      </c>
      <c r="E414" s="64">
        <f>7.4906 * CHOOSE(CONTROL!$C$22, $C$13, 100%, $E$13)</f>
        <v>7.4905999999999997</v>
      </c>
      <c r="F414" s="64">
        <f>7.4906 * CHOOSE(CONTROL!$C$22, $C$13, 100%, $E$13)</f>
        <v>7.4905999999999997</v>
      </c>
      <c r="G414" s="64">
        <f>7.4927 * CHOOSE(CONTROL!$C$22, $C$13, 100%, $E$13)</f>
        <v>7.4927000000000001</v>
      </c>
      <c r="H414" s="64">
        <f>12.9042* CHOOSE(CONTROL!$C$22, $C$13, 100%, $E$13)</f>
        <v>12.904199999999999</v>
      </c>
      <c r="I414" s="64">
        <f>12.9063 * CHOOSE(CONTROL!$C$22, $C$13, 100%, $E$13)</f>
        <v>12.9063</v>
      </c>
      <c r="J414" s="64">
        <f>7.4906 * CHOOSE(CONTROL!$C$22, $C$13, 100%, $E$13)</f>
        <v>7.4905999999999997</v>
      </c>
      <c r="K414" s="64">
        <f>7.4927 * CHOOSE(CONTROL!$C$22, $C$13, 100%, $E$13)</f>
        <v>7.4927000000000001</v>
      </c>
    </row>
    <row r="415" spans="1:11" ht="15">
      <c r="A415" s="13">
        <v>54271</v>
      </c>
      <c r="B415" s="63">
        <f>6.4266 * CHOOSE(CONTROL!$C$22, $C$13, 100%, $E$13)</f>
        <v>6.4265999999999996</v>
      </c>
      <c r="C415" s="63">
        <f>6.4266 * CHOOSE(CONTROL!$C$22, $C$13, 100%, $E$13)</f>
        <v>6.4265999999999996</v>
      </c>
      <c r="D415" s="63">
        <f>6.4613 * CHOOSE(CONTROL!$C$22, $C$13, 100%, $E$13)</f>
        <v>6.4612999999999996</v>
      </c>
      <c r="E415" s="64">
        <f>7.4193 * CHOOSE(CONTROL!$C$22, $C$13, 100%, $E$13)</f>
        <v>7.4192999999999998</v>
      </c>
      <c r="F415" s="64">
        <f>7.4193 * CHOOSE(CONTROL!$C$22, $C$13, 100%, $E$13)</f>
        <v>7.4192999999999998</v>
      </c>
      <c r="G415" s="64">
        <f>7.4215 * CHOOSE(CONTROL!$C$22, $C$13, 100%, $E$13)</f>
        <v>7.4215</v>
      </c>
      <c r="H415" s="64">
        <f>12.9311* CHOOSE(CONTROL!$C$22, $C$13, 100%, $E$13)</f>
        <v>12.931100000000001</v>
      </c>
      <c r="I415" s="64">
        <f>12.9332 * CHOOSE(CONTROL!$C$22, $C$13, 100%, $E$13)</f>
        <v>12.933199999999999</v>
      </c>
      <c r="J415" s="64">
        <f>7.4193 * CHOOSE(CONTROL!$C$22, $C$13, 100%, $E$13)</f>
        <v>7.4192999999999998</v>
      </c>
      <c r="K415" s="64">
        <f>7.4215 * CHOOSE(CONTROL!$C$22, $C$13, 100%, $E$13)</f>
        <v>7.4215</v>
      </c>
    </row>
    <row r="416" spans="1:11" ht="15">
      <c r="A416" s="13">
        <v>54302</v>
      </c>
      <c r="B416" s="63">
        <f>6.4236 * CHOOSE(CONTROL!$C$22, $C$13, 100%, $E$13)</f>
        <v>6.4236000000000004</v>
      </c>
      <c r="C416" s="63">
        <f>6.4236 * CHOOSE(CONTROL!$C$22, $C$13, 100%, $E$13)</f>
        <v>6.4236000000000004</v>
      </c>
      <c r="D416" s="63">
        <f>6.4583 * CHOOSE(CONTROL!$C$22, $C$13, 100%, $E$13)</f>
        <v>6.4583000000000004</v>
      </c>
      <c r="E416" s="64">
        <f>7.4088 * CHOOSE(CONTROL!$C$22, $C$13, 100%, $E$13)</f>
        <v>7.4088000000000003</v>
      </c>
      <c r="F416" s="64">
        <f>7.4088 * CHOOSE(CONTROL!$C$22, $C$13, 100%, $E$13)</f>
        <v>7.4088000000000003</v>
      </c>
      <c r="G416" s="64">
        <f>7.4109 * CHOOSE(CONTROL!$C$22, $C$13, 100%, $E$13)</f>
        <v>7.4108999999999998</v>
      </c>
      <c r="H416" s="64">
        <f>12.958* CHOOSE(CONTROL!$C$22, $C$13, 100%, $E$13)</f>
        <v>12.958</v>
      </c>
      <c r="I416" s="64">
        <f>12.9602 * CHOOSE(CONTROL!$C$22, $C$13, 100%, $E$13)</f>
        <v>12.9602</v>
      </c>
      <c r="J416" s="64">
        <f>7.4088 * CHOOSE(CONTROL!$C$22, $C$13, 100%, $E$13)</f>
        <v>7.4088000000000003</v>
      </c>
      <c r="K416" s="64">
        <f>7.4109 * CHOOSE(CONTROL!$C$22, $C$13, 100%, $E$13)</f>
        <v>7.4108999999999998</v>
      </c>
    </row>
    <row r="417" spans="1:11" ht="15">
      <c r="A417" s="13">
        <v>54332</v>
      </c>
      <c r="B417" s="63">
        <f>6.427 * CHOOSE(CONTROL!$C$22, $C$13, 100%, $E$13)</f>
        <v>6.4269999999999996</v>
      </c>
      <c r="C417" s="63">
        <f>6.427 * CHOOSE(CONTROL!$C$22, $C$13, 100%, $E$13)</f>
        <v>6.4269999999999996</v>
      </c>
      <c r="D417" s="63">
        <f>6.4443 * CHOOSE(CONTROL!$C$22, $C$13, 100%, $E$13)</f>
        <v>6.4443000000000001</v>
      </c>
      <c r="E417" s="64">
        <f>7.4291 * CHOOSE(CONTROL!$C$22, $C$13, 100%, $E$13)</f>
        <v>7.4291</v>
      </c>
      <c r="F417" s="64">
        <f>7.4291 * CHOOSE(CONTROL!$C$22, $C$13, 100%, $E$13)</f>
        <v>7.4291</v>
      </c>
      <c r="G417" s="64">
        <f>7.4293 * CHOOSE(CONTROL!$C$22, $C$13, 100%, $E$13)</f>
        <v>7.4292999999999996</v>
      </c>
      <c r="H417" s="64">
        <f>12.985* CHOOSE(CONTROL!$C$22, $C$13, 100%, $E$13)</f>
        <v>12.984999999999999</v>
      </c>
      <c r="I417" s="64">
        <f>12.9852 * CHOOSE(CONTROL!$C$22, $C$13, 100%, $E$13)</f>
        <v>12.985200000000001</v>
      </c>
      <c r="J417" s="64">
        <f>7.4291 * CHOOSE(CONTROL!$C$22, $C$13, 100%, $E$13)</f>
        <v>7.4291</v>
      </c>
      <c r="K417" s="64">
        <f>7.4293 * CHOOSE(CONTROL!$C$22, $C$13, 100%, $E$13)</f>
        <v>7.4292999999999996</v>
      </c>
    </row>
    <row r="418" spans="1:11" ht="15">
      <c r="A418" s="13">
        <v>54363</v>
      </c>
      <c r="B418" s="63">
        <f>6.43 * CHOOSE(CONTROL!$C$22, $C$13, 100%, $E$13)</f>
        <v>6.43</v>
      </c>
      <c r="C418" s="63">
        <f>6.43 * CHOOSE(CONTROL!$C$22, $C$13, 100%, $E$13)</f>
        <v>6.43</v>
      </c>
      <c r="D418" s="63">
        <f>6.4474 * CHOOSE(CONTROL!$C$22, $C$13, 100%, $E$13)</f>
        <v>6.4474</v>
      </c>
      <c r="E418" s="64">
        <f>7.4481 * CHOOSE(CONTROL!$C$22, $C$13, 100%, $E$13)</f>
        <v>7.4481000000000002</v>
      </c>
      <c r="F418" s="64">
        <f>7.4481 * CHOOSE(CONTROL!$C$22, $C$13, 100%, $E$13)</f>
        <v>7.4481000000000002</v>
      </c>
      <c r="G418" s="64">
        <f>7.4483 * CHOOSE(CONTROL!$C$22, $C$13, 100%, $E$13)</f>
        <v>7.4482999999999997</v>
      </c>
      <c r="H418" s="64">
        <f>13.0121* CHOOSE(CONTROL!$C$22, $C$13, 100%, $E$13)</f>
        <v>13.0121</v>
      </c>
      <c r="I418" s="64">
        <f>13.0122 * CHOOSE(CONTROL!$C$22, $C$13, 100%, $E$13)</f>
        <v>13.0122</v>
      </c>
      <c r="J418" s="64">
        <f>7.4481 * CHOOSE(CONTROL!$C$22, $C$13, 100%, $E$13)</f>
        <v>7.4481000000000002</v>
      </c>
      <c r="K418" s="64">
        <f>7.4483 * CHOOSE(CONTROL!$C$22, $C$13, 100%, $E$13)</f>
        <v>7.4482999999999997</v>
      </c>
    </row>
    <row r="419" spans="1:11" ht="15">
      <c r="A419" s="13">
        <v>54393</v>
      </c>
      <c r="B419" s="63">
        <f>6.43 * CHOOSE(CONTROL!$C$22, $C$13, 100%, $E$13)</f>
        <v>6.43</v>
      </c>
      <c r="C419" s="63">
        <f>6.43 * CHOOSE(CONTROL!$C$22, $C$13, 100%, $E$13)</f>
        <v>6.43</v>
      </c>
      <c r="D419" s="63">
        <f>6.4474 * CHOOSE(CONTROL!$C$22, $C$13, 100%, $E$13)</f>
        <v>6.4474</v>
      </c>
      <c r="E419" s="64">
        <f>7.4059 * CHOOSE(CONTROL!$C$22, $C$13, 100%, $E$13)</f>
        <v>7.4058999999999999</v>
      </c>
      <c r="F419" s="64">
        <f>7.4059 * CHOOSE(CONTROL!$C$22, $C$13, 100%, $E$13)</f>
        <v>7.4058999999999999</v>
      </c>
      <c r="G419" s="64">
        <f>7.4061 * CHOOSE(CONTROL!$C$22, $C$13, 100%, $E$13)</f>
        <v>7.4061000000000003</v>
      </c>
      <c r="H419" s="64">
        <f>13.0392* CHOOSE(CONTROL!$C$22, $C$13, 100%, $E$13)</f>
        <v>13.039199999999999</v>
      </c>
      <c r="I419" s="64">
        <f>13.0393 * CHOOSE(CONTROL!$C$22, $C$13, 100%, $E$13)</f>
        <v>13.039300000000001</v>
      </c>
      <c r="J419" s="64">
        <f>7.4059 * CHOOSE(CONTROL!$C$22, $C$13, 100%, $E$13)</f>
        <v>7.4058999999999999</v>
      </c>
      <c r="K419" s="64">
        <f>7.4061 * CHOOSE(CONTROL!$C$22, $C$13, 100%, $E$13)</f>
        <v>7.4061000000000003</v>
      </c>
    </row>
    <row r="420" spans="1:11" ht="15">
      <c r="A420" s="13">
        <v>54424</v>
      </c>
      <c r="B420" s="63">
        <f>6.4879 * CHOOSE(CONTROL!$C$22, $C$13, 100%, $E$13)</f>
        <v>6.4878999999999998</v>
      </c>
      <c r="C420" s="63">
        <f>6.4879 * CHOOSE(CONTROL!$C$22, $C$13, 100%, $E$13)</f>
        <v>6.4878999999999998</v>
      </c>
      <c r="D420" s="63">
        <f>6.5052 * CHOOSE(CONTROL!$C$22, $C$13, 100%, $E$13)</f>
        <v>6.5052000000000003</v>
      </c>
      <c r="E420" s="64">
        <f>7.5031 * CHOOSE(CONTROL!$C$22, $C$13, 100%, $E$13)</f>
        <v>7.5030999999999999</v>
      </c>
      <c r="F420" s="64">
        <f>7.5031 * CHOOSE(CONTROL!$C$22, $C$13, 100%, $E$13)</f>
        <v>7.5030999999999999</v>
      </c>
      <c r="G420" s="64">
        <f>7.5032 * CHOOSE(CONTROL!$C$22, $C$13, 100%, $E$13)</f>
        <v>7.5031999999999996</v>
      </c>
      <c r="H420" s="64">
        <f>13.0663* CHOOSE(CONTROL!$C$22, $C$13, 100%, $E$13)</f>
        <v>13.0663</v>
      </c>
      <c r="I420" s="64">
        <f>13.0665 * CHOOSE(CONTROL!$C$22, $C$13, 100%, $E$13)</f>
        <v>13.0665</v>
      </c>
      <c r="J420" s="64">
        <f>7.5031 * CHOOSE(CONTROL!$C$22, $C$13, 100%, $E$13)</f>
        <v>7.5030999999999999</v>
      </c>
      <c r="K420" s="64">
        <f>7.5032 * CHOOSE(CONTROL!$C$22, $C$13, 100%, $E$13)</f>
        <v>7.5031999999999996</v>
      </c>
    </row>
    <row r="421" spans="1:11" ht="15">
      <c r="A421" s="13">
        <v>54455</v>
      </c>
      <c r="B421" s="63">
        <f>6.4848 * CHOOSE(CONTROL!$C$22, $C$13, 100%, $E$13)</f>
        <v>6.4847999999999999</v>
      </c>
      <c r="C421" s="63">
        <f>6.4848 * CHOOSE(CONTROL!$C$22, $C$13, 100%, $E$13)</f>
        <v>6.4847999999999999</v>
      </c>
      <c r="D421" s="63">
        <f>6.5022 * CHOOSE(CONTROL!$C$22, $C$13, 100%, $E$13)</f>
        <v>6.5022000000000002</v>
      </c>
      <c r="E421" s="64">
        <f>7.419 * CHOOSE(CONTROL!$C$22, $C$13, 100%, $E$13)</f>
        <v>7.4189999999999996</v>
      </c>
      <c r="F421" s="64">
        <f>7.419 * CHOOSE(CONTROL!$C$22, $C$13, 100%, $E$13)</f>
        <v>7.4189999999999996</v>
      </c>
      <c r="G421" s="64">
        <f>7.4192 * CHOOSE(CONTROL!$C$22, $C$13, 100%, $E$13)</f>
        <v>7.4192</v>
      </c>
      <c r="H421" s="64">
        <f>13.0936* CHOOSE(CONTROL!$C$22, $C$13, 100%, $E$13)</f>
        <v>13.0936</v>
      </c>
      <c r="I421" s="64">
        <f>13.0937 * CHOOSE(CONTROL!$C$22, $C$13, 100%, $E$13)</f>
        <v>13.0937</v>
      </c>
      <c r="J421" s="64">
        <f>7.419 * CHOOSE(CONTROL!$C$22, $C$13, 100%, $E$13)</f>
        <v>7.4189999999999996</v>
      </c>
      <c r="K421" s="64">
        <f>7.4192 * CHOOSE(CONTROL!$C$22, $C$13, 100%, $E$13)</f>
        <v>7.4192</v>
      </c>
    </row>
    <row r="422" spans="1:11" ht="15">
      <c r="A422" s="13">
        <v>54483</v>
      </c>
      <c r="B422" s="63">
        <f>6.4818 * CHOOSE(CONTROL!$C$22, $C$13, 100%, $E$13)</f>
        <v>6.4817999999999998</v>
      </c>
      <c r="C422" s="63">
        <f>6.4818 * CHOOSE(CONTROL!$C$22, $C$13, 100%, $E$13)</f>
        <v>6.4817999999999998</v>
      </c>
      <c r="D422" s="63">
        <f>6.4991 * CHOOSE(CONTROL!$C$22, $C$13, 100%, $E$13)</f>
        <v>6.4991000000000003</v>
      </c>
      <c r="E422" s="64">
        <f>7.4815 * CHOOSE(CONTROL!$C$22, $C$13, 100%, $E$13)</f>
        <v>7.4814999999999996</v>
      </c>
      <c r="F422" s="64">
        <f>7.4815 * CHOOSE(CONTROL!$C$22, $C$13, 100%, $E$13)</f>
        <v>7.4814999999999996</v>
      </c>
      <c r="G422" s="64">
        <f>7.4817 * CHOOSE(CONTROL!$C$22, $C$13, 100%, $E$13)</f>
        <v>7.4817</v>
      </c>
      <c r="H422" s="64">
        <f>13.1208* CHOOSE(CONTROL!$C$22, $C$13, 100%, $E$13)</f>
        <v>13.120799999999999</v>
      </c>
      <c r="I422" s="64">
        <f>13.121 * CHOOSE(CONTROL!$C$22, $C$13, 100%, $E$13)</f>
        <v>13.121</v>
      </c>
      <c r="J422" s="64">
        <f>7.4815 * CHOOSE(CONTROL!$C$22, $C$13, 100%, $E$13)</f>
        <v>7.4814999999999996</v>
      </c>
      <c r="K422" s="64">
        <f>7.4817 * CHOOSE(CONTROL!$C$22, $C$13, 100%, $E$13)</f>
        <v>7.4817</v>
      </c>
    </row>
    <row r="423" spans="1:11" ht="15">
      <c r="A423" s="13">
        <v>54514</v>
      </c>
      <c r="B423" s="63">
        <f>6.4817 * CHOOSE(CONTROL!$C$22, $C$13, 100%, $E$13)</f>
        <v>6.4817</v>
      </c>
      <c r="C423" s="63">
        <f>6.4817 * CHOOSE(CONTROL!$C$22, $C$13, 100%, $E$13)</f>
        <v>6.4817</v>
      </c>
      <c r="D423" s="63">
        <f>6.499 * CHOOSE(CONTROL!$C$22, $C$13, 100%, $E$13)</f>
        <v>6.4989999999999997</v>
      </c>
      <c r="E423" s="64">
        <f>7.5466 * CHOOSE(CONTROL!$C$22, $C$13, 100%, $E$13)</f>
        <v>7.5465999999999998</v>
      </c>
      <c r="F423" s="64">
        <f>7.5466 * CHOOSE(CONTROL!$C$22, $C$13, 100%, $E$13)</f>
        <v>7.5465999999999998</v>
      </c>
      <c r="G423" s="64">
        <f>7.5468 * CHOOSE(CONTROL!$C$22, $C$13, 100%, $E$13)</f>
        <v>7.5468000000000002</v>
      </c>
      <c r="H423" s="64">
        <f>13.1482* CHOOSE(CONTROL!$C$22, $C$13, 100%, $E$13)</f>
        <v>13.148199999999999</v>
      </c>
      <c r="I423" s="64">
        <f>13.1483 * CHOOSE(CONTROL!$C$22, $C$13, 100%, $E$13)</f>
        <v>13.148300000000001</v>
      </c>
      <c r="J423" s="64">
        <f>7.5466 * CHOOSE(CONTROL!$C$22, $C$13, 100%, $E$13)</f>
        <v>7.5465999999999998</v>
      </c>
      <c r="K423" s="64">
        <f>7.5468 * CHOOSE(CONTROL!$C$22, $C$13, 100%, $E$13)</f>
        <v>7.5468000000000002</v>
      </c>
    </row>
    <row r="424" spans="1:11" ht="15">
      <c r="A424" s="13">
        <v>54544</v>
      </c>
      <c r="B424" s="63">
        <f>6.4817 * CHOOSE(CONTROL!$C$22, $C$13, 100%, $E$13)</f>
        <v>6.4817</v>
      </c>
      <c r="C424" s="63">
        <f>6.4817 * CHOOSE(CONTROL!$C$22, $C$13, 100%, $E$13)</f>
        <v>6.4817</v>
      </c>
      <c r="D424" s="63">
        <f>6.5163 * CHOOSE(CONTROL!$C$22, $C$13, 100%, $E$13)</f>
        <v>6.5163000000000002</v>
      </c>
      <c r="E424" s="64">
        <f>7.5726 * CHOOSE(CONTROL!$C$22, $C$13, 100%, $E$13)</f>
        <v>7.5726000000000004</v>
      </c>
      <c r="F424" s="64">
        <f>7.5726 * CHOOSE(CONTROL!$C$22, $C$13, 100%, $E$13)</f>
        <v>7.5726000000000004</v>
      </c>
      <c r="G424" s="64">
        <f>7.5748 * CHOOSE(CONTROL!$C$22, $C$13, 100%, $E$13)</f>
        <v>7.5747999999999998</v>
      </c>
      <c r="H424" s="64">
        <f>13.1756* CHOOSE(CONTROL!$C$22, $C$13, 100%, $E$13)</f>
        <v>13.175599999999999</v>
      </c>
      <c r="I424" s="64">
        <f>13.1777 * CHOOSE(CONTROL!$C$22, $C$13, 100%, $E$13)</f>
        <v>13.1777</v>
      </c>
      <c r="J424" s="64">
        <f>7.5726 * CHOOSE(CONTROL!$C$22, $C$13, 100%, $E$13)</f>
        <v>7.5726000000000004</v>
      </c>
      <c r="K424" s="64">
        <f>7.5748 * CHOOSE(CONTROL!$C$22, $C$13, 100%, $E$13)</f>
        <v>7.5747999999999998</v>
      </c>
    </row>
    <row r="425" spans="1:11" ht="15">
      <c r="A425" s="13">
        <v>54575</v>
      </c>
      <c r="B425" s="63">
        <f>6.4877 * CHOOSE(CONTROL!$C$22, $C$13, 100%, $E$13)</f>
        <v>6.4877000000000002</v>
      </c>
      <c r="C425" s="63">
        <f>6.4877 * CHOOSE(CONTROL!$C$22, $C$13, 100%, $E$13)</f>
        <v>6.4877000000000002</v>
      </c>
      <c r="D425" s="63">
        <f>6.5224 * CHOOSE(CONTROL!$C$22, $C$13, 100%, $E$13)</f>
        <v>6.5224000000000002</v>
      </c>
      <c r="E425" s="64">
        <f>7.5509 * CHOOSE(CONTROL!$C$22, $C$13, 100%, $E$13)</f>
        <v>7.5509000000000004</v>
      </c>
      <c r="F425" s="64">
        <f>7.5509 * CHOOSE(CONTROL!$C$22, $C$13, 100%, $E$13)</f>
        <v>7.5509000000000004</v>
      </c>
      <c r="G425" s="64">
        <f>7.553 * CHOOSE(CONTROL!$C$22, $C$13, 100%, $E$13)</f>
        <v>7.5529999999999999</v>
      </c>
      <c r="H425" s="64">
        <f>13.203* CHOOSE(CONTROL!$C$22, $C$13, 100%, $E$13)</f>
        <v>13.202999999999999</v>
      </c>
      <c r="I425" s="64">
        <f>13.2052 * CHOOSE(CONTROL!$C$22, $C$13, 100%, $E$13)</f>
        <v>13.2052</v>
      </c>
      <c r="J425" s="64">
        <f>7.5509 * CHOOSE(CONTROL!$C$22, $C$13, 100%, $E$13)</f>
        <v>7.5509000000000004</v>
      </c>
      <c r="K425" s="64">
        <f>7.553 * CHOOSE(CONTROL!$C$22, $C$13, 100%, $E$13)</f>
        <v>7.5529999999999999</v>
      </c>
    </row>
    <row r="426" spans="1:11" ht="15">
      <c r="A426" s="13">
        <v>54605</v>
      </c>
      <c r="B426" s="63">
        <f>6.5949 * CHOOSE(CONTROL!$C$22, $C$13, 100%, $E$13)</f>
        <v>6.5949</v>
      </c>
      <c r="C426" s="63">
        <f>6.5949 * CHOOSE(CONTROL!$C$22, $C$13, 100%, $E$13)</f>
        <v>6.5949</v>
      </c>
      <c r="D426" s="63">
        <f>6.6296 * CHOOSE(CONTROL!$C$22, $C$13, 100%, $E$13)</f>
        <v>6.6295999999999999</v>
      </c>
      <c r="E426" s="64">
        <f>7.7 * CHOOSE(CONTROL!$C$22, $C$13, 100%, $E$13)</f>
        <v>7.7</v>
      </c>
      <c r="F426" s="64">
        <f>7.7 * CHOOSE(CONTROL!$C$22, $C$13, 100%, $E$13)</f>
        <v>7.7</v>
      </c>
      <c r="G426" s="64">
        <f>7.7022 * CHOOSE(CONTROL!$C$22, $C$13, 100%, $E$13)</f>
        <v>7.7022000000000004</v>
      </c>
      <c r="H426" s="64">
        <f>13.2305* CHOOSE(CONTROL!$C$22, $C$13, 100%, $E$13)</f>
        <v>13.230499999999999</v>
      </c>
      <c r="I426" s="64">
        <f>13.2327 * CHOOSE(CONTROL!$C$22, $C$13, 100%, $E$13)</f>
        <v>13.232699999999999</v>
      </c>
      <c r="J426" s="64">
        <f>7.7 * CHOOSE(CONTROL!$C$22, $C$13, 100%, $E$13)</f>
        <v>7.7</v>
      </c>
      <c r="K426" s="64">
        <f>7.7022 * CHOOSE(CONTROL!$C$22, $C$13, 100%, $E$13)</f>
        <v>7.7022000000000004</v>
      </c>
    </row>
    <row r="427" spans="1:11" ht="15">
      <c r="A427" s="13">
        <v>54636</v>
      </c>
      <c r="B427" s="63">
        <f>6.6016 * CHOOSE(CONTROL!$C$22, $C$13, 100%, $E$13)</f>
        <v>6.6016000000000004</v>
      </c>
      <c r="C427" s="63">
        <f>6.6016 * CHOOSE(CONTROL!$C$22, $C$13, 100%, $E$13)</f>
        <v>6.6016000000000004</v>
      </c>
      <c r="D427" s="63">
        <f>6.6362 * CHOOSE(CONTROL!$C$22, $C$13, 100%, $E$13)</f>
        <v>6.6361999999999997</v>
      </c>
      <c r="E427" s="64">
        <f>7.6266 * CHOOSE(CONTROL!$C$22, $C$13, 100%, $E$13)</f>
        <v>7.6265999999999998</v>
      </c>
      <c r="F427" s="64">
        <f>7.6266 * CHOOSE(CONTROL!$C$22, $C$13, 100%, $E$13)</f>
        <v>7.6265999999999998</v>
      </c>
      <c r="G427" s="64">
        <f>7.6288 * CHOOSE(CONTROL!$C$22, $C$13, 100%, $E$13)</f>
        <v>7.6288</v>
      </c>
      <c r="H427" s="64">
        <f>13.2581* CHOOSE(CONTROL!$C$22, $C$13, 100%, $E$13)</f>
        <v>13.258100000000001</v>
      </c>
      <c r="I427" s="64">
        <f>13.2602 * CHOOSE(CONTROL!$C$22, $C$13, 100%, $E$13)</f>
        <v>13.260199999999999</v>
      </c>
      <c r="J427" s="64">
        <f>7.6266 * CHOOSE(CONTROL!$C$22, $C$13, 100%, $E$13)</f>
        <v>7.6265999999999998</v>
      </c>
      <c r="K427" s="64">
        <f>7.6288 * CHOOSE(CONTROL!$C$22, $C$13, 100%, $E$13)</f>
        <v>7.6288</v>
      </c>
    </row>
    <row r="428" spans="1:11" ht="15">
      <c r="A428" s="13">
        <v>54667</v>
      </c>
      <c r="B428" s="63">
        <f>6.5985 * CHOOSE(CONTROL!$C$22, $C$13, 100%, $E$13)</f>
        <v>6.5984999999999996</v>
      </c>
      <c r="C428" s="63">
        <f>6.5985 * CHOOSE(CONTROL!$C$22, $C$13, 100%, $E$13)</f>
        <v>6.5984999999999996</v>
      </c>
      <c r="D428" s="63">
        <f>6.6332 * CHOOSE(CONTROL!$C$22, $C$13, 100%, $E$13)</f>
        <v>6.6332000000000004</v>
      </c>
      <c r="E428" s="64">
        <f>7.6159 * CHOOSE(CONTROL!$C$22, $C$13, 100%, $E$13)</f>
        <v>7.6158999999999999</v>
      </c>
      <c r="F428" s="64">
        <f>7.6159 * CHOOSE(CONTROL!$C$22, $C$13, 100%, $E$13)</f>
        <v>7.6158999999999999</v>
      </c>
      <c r="G428" s="64">
        <f>7.618 * CHOOSE(CONTROL!$C$22, $C$13, 100%, $E$13)</f>
        <v>7.6180000000000003</v>
      </c>
      <c r="H428" s="64">
        <f>13.2857* CHOOSE(CONTROL!$C$22, $C$13, 100%, $E$13)</f>
        <v>13.2857</v>
      </c>
      <c r="I428" s="64">
        <f>13.2878 * CHOOSE(CONTROL!$C$22, $C$13, 100%, $E$13)</f>
        <v>13.287800000000001</v>
      </c>
      <c r="J428" s="64">
        <f>7.6159 * CHOOSE(CONTROL!$C$22, $C$13, 100%, $E$13)</f>
        <v>7.6158999999999999</v>
      </c>
      <c r="K428" s="64">
        <f>7.618 * CHOOSE(CONTROL!$C$22, $C$13, 100%, $E$13)</f>
        <v>7.6180000000000003</v>
      </c>
    </row>
    <row r="429" spans="1:11" ht="15">
      <c r="A429" s="13">
        <v>54697</v>
      </c>
      <c r="B429" s="63">
        <f>6.6025 * CHOOSE(CONTROL!$C$22, $C$13, 100%, $E$13)</f>
        <v>6.6025</v>
      </c>
      <c r="C429" s="63">
        <f>6.6025 * CHOOSE(CONTROL!$C$22, $C$13, 100%, $E$13)</f>
        <v>6.6025</v>
      </c>
      <c r="D429" s="63">
        <f>6.6198 * CHOOSE(CONTROL!$C$22, $C$13, 100%, $E$13)</f>
        <v>6.6197999999999997</v>
      </c>
      <c r="E429" s="64">
        <f>7.6371 * CHOOSE(CONTROL!$C$22, $C$13, 100%, $E$13)</f>
        <v>7.6371000000000002</v>
      </c>
      <c r="F429" s="64">
        <f>7.6371 * CHOOSE(CONTROL!$C$22, $C$13, 100%, $E$13)</f>
        <v>7.6371000000000002</v>
      </c>
      <c r="G429" s="64">
        <f>7.6373 * CHOOSE(CONTROL!$C$22, $C$13, 100%, $E$13)</f>
        <v>7.6372999999999998</v>
      </c>
      <c r="H429" s="64">
        <f>13.3134* CHOOSE(CONTROL!$C$22, $C$13, 100%, $E$13)</f>
        <v>13.3134</v>
      </c>
      <c r="I429" s="64">
        <f>13.3136 * CHOOSE(CONTROL!$C$22, $C$13, 100%, $E$13)</f>
        <v>13.313599999999999</v>
      </c>
      <c r="J429" s="64">
        <f>7.6371 * CHOOSE(CONTROL!$C$22, $C$13, 100%, $E$13)</f>
        <v>7.6371000000000002</v>
      </c>
      <c r="K429" s="64">
        <f>7.6373 * CHOOSE(CONTROL!$C$22, $C$13, 100%, $E$13)</f>
        <v>7.6372999999999998</v>
      </c>
    </row>
    <row r="430" spans="1:11" ht="15">
      <c r="A430" s="13">
        <v>54728</v>
      </c>
      <c r="B430" s="63">
        <f>6.6056 * CHOOSE(CONTROL!$C$22, $C$13, 100%, $E$13)</f>
        <v>6.6055999999999999</v>
      </c>
      <c r="C430" s="63">
        <f>6.6056 * CHOOSE(CONTROL!$C$22, $C$13, 100%, $E$13)</f>
        <v>6.6055999999999999</v>
      </c>
      <c r="D430" s="63">
        <f>6.6229 * CHOOSE(CONTROL!$C$22, $C$13, 100%, $E$13)</f>
        <v>6.6228999999999996</v>
      </c>
      <c r="E430" s="64">
        <f>7.6566 * CHOOSE(CONTROL!$C$22, $C$13, 100%, $E$13)</f>
        <v>7.6566000000000001</v>
      </c>
      <c r="F430" s="64">
        <f>7.6566 * CHOOSE(CONTROL!$C$22, $C$13, 100%, $E$13)</f>
        <v>7.6566000000000001</v>
      </c>
      <c r="G430" s="64">
        <f>7.6568 * CHOOSE(CONTROL!$C$22, $C$13, 100%, $E$13)</f>
        <v>7.6567999999999996</v>
      </c>
      <c r="H430" s="64">
        <f>13.3411* CHOOSE(CONTROL!$C$22, $C$13, 100%, $E$13)</f>
        <v>13.341100000000001</v>
      </c>
      <c r="I430" s="64">
        <f>13.3413 * CHOOSE(CONTROL!$C$22, $C$13, 100%, $E$13)</f>
        <v>13.3413</v>
      </c>
      <c r="J430" s="64">
        <f>7.6566 * CHOOSE(CONTROL!$C$22, $C$13, 100%, $E$13)</f>
        <v>7.6566000000000001</v>
      </c>
      <c r="K430" s="64">
        <f>7.6568 * CHOOSE(CONTROL!$C$22, $C$13, 100%, $E$13)</f>
        <v>7.6567999999999996</v>
      </c>
    </row>
    <row r="431" spans="1:11" ht="15">
      <c r="A431" s="13">
        <v>54758</v>
      </c>
      <c r="B431" s="63">
        <f>6.6056 * CHOOSE(CONTROL!$C$22, $C$13, 100%, $E$13)</f>
        <v>6.6055999999999999</v>
      </c>
      <c r="C431" s="63">
        <f>6.6056 * CHOOSE(CONTROL!$C$22, $C$13, 100%, $E$13)</f>
        <v>6.6055999999999999</v>
      </c>
      <c r="D431" s="63">
        <f>6.6229 * CHOOSE(CONTROL!$C$22, $C$13, 100%, $E$13)</f>
        <v>6.6228999999999996</v>
      </c>
      <c r="E431" s="64">
        <f>7.6132 * CHOOSE(CONTROL!$C$22, $C$13, 100%, $E$13)</f>
        <v>7.6132</v>
      </c>
      <c r="F431" s="64">
        <f>7.6132 * CHOOSE(CONTROL!$C$22, $C$13, 100%, $E$13)</f>
        <v>7.6132</v>
      </c>
      <c r="G431" s="64">
        <f>7.6134 * CHOOSE(CONTROL!$C$22, $C$13, 100%, $E$13)</f>
        <v>7.6134000000000004</v>
      </c>
      <c r="H431" s="64">
        <f>13.3689* CHOOSE(CONTROL!$C$22, $C$13, 100%, $E$13)</f>
        <v>13.3689</v>
      </c>
      <c r="I431" s="64">
        <f>13.3691 * CHOOSE(CONTROL!$C$22, $C$13, 100%, $E$13)</f>
        <v>13.3691</v>
      </c>
      <c r="J431" s="64">
        <f>7.6132 * CHOOSE(CONTROL!$C$22, $C$13, 100%, $E$13)</f>
        <v>7.6132</v>
      </c>
      <c r="K431" s="64">
        <f>7.6134 * CHOOSE(CONTROL!$C$22, $C$13, 100%, $E$13)</f>
        <v>7.6134000000000004</v>
      </c>
    </row>
    <row r="432" spans="1:11" ht="15">
      <c r="A432" s="13">
        <v>54789</v>
      </c>
      <c r="B432" s="63">
        <f>6.6648 * CHOOSE(CONTROL!$C$22, $C$13, 100%, $E$13)</f>
        <v>6.6647999999999996</v>
      </c>
      <c r="C432" s="63">
        <f>6.6648 * CHOOSE(CONTROL!$C$22, $C$13, 100%, $E$13)</f>
        <v>6.6647999999999996</v>
      </c>
      <c r="D432" s="63">
        <f>6.6822 * CHOOSE(CONTROL!$C$22, $C$13, 100%, $E$13)</f>
        <v>6.6821999999999999</v>
      </c>
      <c r="E432" s="64">
        <f>7.713 * CHOOSE(CONTROL!$C$22, $C$13, 100%, $E$13)</f>
        <v>7.7130000000000001</v>
      </c>
      <c r="F432" s="64">
        <f>7.713 * CHOOSE(CONTROL!$C$22, $C$13, 100%, $E$13)</f>
        <v>7.7130000000000001</v>
      </c>
      <c r="G432" s="64">
        <f>7.7132 * CHOOSE(CONTROL!$C$22, $C$13, 100%, $E$13)</f>
        <v>7.7131999999999996</v>
      </c>
      <c r="H432" s="64">
        <f>13.3968* CHOOSE(CONTROL!$C$22, $C$13, 100%, $E$13)</f>
        <v>13.396800000000001</v>
      </c>
      <c r="I432" s="64">
        <f>13.3969 * CHOOSE(CONTROL!$C$22, $C$13, 100%, $E$13)</f>
        <v>13.3969</v>
      </c>
      <c r="J432" s="64">
        <f>7.713 * CHOOSE(CONTROL!$C$22, $C$13, 100%, $E$13)</f>
        <v>7.7130000000000001</v>
      </c>
      <c r="K432" s="64">
        <f>7.7132 * CHOOSE(CONTROL!$C$22, $C$13, 100%, $E$13)</f>
        <v>7.7131999999999996</v>
      </c>
    </row>
    <row r="433" spans="1:11" ht="15">
      <c r="A433" s="13">
        <v>54820</v>
      </c>
      <c r="B433" s="63">
        <f>6.6618 * CHOOSE(CONTROL!$C$22, $C$13, 100%, $E$13)</f>
        <v>6.6618000000000004</v>
      </c>
      <c r="C433" s="63">
        <f>6.6618 * CHOOSE(CONTROL!$C$22, $C$13, 100%, $E$13)</f>
        <v>6.6618000000000004</v>
      </c>
      <c r="D433" s="63">
        <f>6.6791 * CHOOSE(CONTROL!$C$22, $C$13, 100%, $E$13)</f>
        <v>6.6791</v>
      </c>
      <c r="E433" s="64">
        <f>7.6267 * CHOOSE(CONTROL!$C$22, $C$13, 100%, $E$13)</f>
        <v>7.6266999999999996</v>
      </c>
      <c r="F433" s="64">
        <f>7.6267 * CHOOSE(CONTROL!$C$22, $C$13, 100%, $E$13)</f>
        <v>7.6266999999999996</v>
      </c>
      <c r="G433" s="64">
        <f>7.6268 * CHOOSE(CONTROL!$C$22, $C$13, 100%, $E$13)</f>
        <v>7.6268000000000002</v>
      </c>
      <c r="H433" s="64">
        <f>13.4247* CHOOSE(CONTROL!$C$22, $C$13, 100%, $E$13)</f>
        <v>13.4247</v>
      </c>
      <c r="I433" s="64">
        <f>13.4248 * CHOOSE(CONTROL!$C$22, $C$13, 100%, $E$13)</f>
        <v>13.424799999999999</v>
      </c>
      <c r="J433" s="64">
        <f>7.6267 * CHOOSE(CONTROL!$C$22, $C$13, 100%, $E$13)</f>
        <v>7.6266999999999996</v>
      </c>
      <c r="K433" s="64">
        <f>7.6268 * CHOOSE(CONTROL!$C$22, $C$13, 100%, $E$13)</f>
        <v>7.6268000000000002</v>
      </c>
    </row>
    <row r="434" spans="1:11" ht="15">
      <c r="A434" s="13">
        <v>54848</v>
      </c>
      <c r="B434" s="63">
        <f>6.6588 * CHOOSE(CONTROL!$C$22, $C$13, 100%, $E$13)</f>
        <v>6.6588000000000003</v>
      </c>
      <c r="C434" s="63">
        <f>6.6588 * CHOOSE(CONTROL!$C$22, $C$13, 100%, $E$13)</f>
        <v>6.6588000000000003</v>
      </c>
      <c r="D434" s="63">
        <f>6.6761 * CHOOSE(CONTROL!$C$22, $C$13, 100%, $E$13)</f>
        <v>6.6760999999999999</v>
      </c>
      <c r="E434" s="64">
        <f>7.691 * CHOOSE(CONTROL!$C$22, $C$13, 100%, $E$13)</f>
        <v>7.6909999999999998</v>
      </c>
      <c r="F434" s="64">
        <f>7.691 * CHOOSE(CONTROL!$C$22, $C$13, 100%, $E$13)</f>
        <v>7.6909999999999998</v>
      </c>
      <c r="G434" s="64">
        <f>7.6911 * CHOOSE(CONTROL!$C$22, $C$13, 100%, $E$13)</f>
        <v>7.6910999999999996</v>
      </c>
      <c r="H434" s="64">
        <f>13.4526* CHOOSE(CONTROL!$C$22, $C$13, 100%, $E$13)</f>
        <v>13.4526</v>
      </c>
      <c r="I434" s="64">
        <f>13.4528 * CHOOSE(CONTROL!$C$22, $C$13, 100%, $E$13)</f>
        <v>13.4528</v>
      </c>
      <c r="J434" s="64">
        <f>7.691 * CHOOSE(CONTROL!$C$22, $C$13, 100%, $E$13)</f>
        <v>7.6909999999999998</v>
      </c>
      <c r="K434" s="64">
        <f>7.6911 * CHOOSE(CONTROL!$C$22, $C$13, 100%, $E$13)</f>
        <v>7.6910999999999996</v>
      </c>
    </row>
    <row r="435" spans="1:11" ht="15">
      <c r="A435" s="13">
        <v>54879</v>
      </c>
      <c r="B435" s="63">
        <f>6.6588 * CHOOSE(CONTROL!$C$22, $C$13, 100%, $E$13)</f>
        <v>6.6588000000000003</v>
      </c>
      <c r="C435" s="63">
        <f>6.6588 * CHOOSE(CONTROL!$C$22, $C$13, 100%, $E$13)</f>
        <v>6.6588000000000003</v>
      </c>
      <c r="D435" s="63">
        <f>6.6761 * CHOOSE(CONTROL!$C$22, $C$13, 100%, $E$13)</f>
        <v>6.6760999999999999</v>
      </c>
      <c r="E435" s="64">
        <f>7.758 * CHOOSE(CONTROL!$C$22, $C$13, 100%, $E$13)</f>
        <v>7.758</v>
      </c>
      <c r="F435" s="64">
        <f>7.758 * CHOOSE(CONTROL!$C$22, $C$13, 100%, $E$13)</f>
        <v>7.758</v>
      </c>
      <c r="G435" s="64">
        <f>7.7582 * CHOOSE(CONTROL!$C$22, $C$13, 100%, $E$13)</f>
        <v>7.7582000000000004</v>
      </c>
      <c r="H435" s="64">
        <f>13.4807* CHOOSE(CONTROL!$C$22, $C$13, 100%, $E$13)</f>
        <v>13.480700000000001</v>
      </c>
      <c r="I435" s="64">
        <f>13.4808 * CHOOSE(CONTROL!$C$22, $C$13, 100%, $E$13)</f>
        <v>13.4808</v>
      </c>
      <c r="J435" s="64">
        <f>7.758 * CHOOSE(CONTROL!$C$22, $C$13, 100%, $E$13)</f>
        <v>7.758</v>
      </c>
      <c r="K435" s="64">
        <f>7.7582 * CHOOSE(CONTROL!$C$22, $C$13, 100%, $E$13)</f>
        <v>7.7582000000000004</v>
      </c>
    </row>
    <row r="436" spans="1:11" ht="15">
      <c r="A436" s="13">
        <v>54909</v>
      </c>
      <c r="B436" s="63">
        <f>6.6588 * CHOOSE(CONTROL!$C$22, $C$13, 100%, $E$13)</f>
        <v>6.6588000000000003</v>
      </c>
      <c r="C436" s="63">
        <f>6.6588 * CHOOSE(CONTROL!$C$22, $C$13, 100%, $E$13)</f>
        <v>6.6588000000000003</v>
      </c>
      <c r="D436" s="63">
        <f>6.6934 * CHOOSE(CONTROL!$C$22, $C$13, 100%, $E$13)</f>
        <v>6.6933999999999996</v>
      </c>
      <c r="E436" s="64">
        <f>7.7848 * CHOOSE(CONTROL!$C$22, $C$13, 100%, $E$13)</f>
        <v>7.7847999999999997</v>
      </c>
      <c r="F436" s="64">
        <f>7.7848 * CHOOSE(CONTROL!$C$22, $C$13, 100%, $E$13)</f>
        <v>7.7847999999999997</v>
      </c>
      <c r="G436" s="64">
        <f>7.7869 * CHOOSE(CONTROL!$C$22, $C$13, 100%, $E$13)</f>
        <v>7.7869000000000002</v>
      </c>
      <c r="H436" s="64">
        <f>13.5087* CHOOSE(CONTROL!$C$22, $C$13, 100%, $E$13)</f>
        <v>13.508699999999999</v>
      </c>
      <c r="I436" s="64">
        <f>13.5109 * CHOOSE(CONTROL!$C$22, $C$13, 100%, $E$13)</f>
        <v>13.510899999999999</v>
      </c>
      <c r="J436" s="64">
        <f>7.7848 * CHOOSE(CONTROL!$C$22, $C$13, 100%, $E$13)</f>
        <v>7.7847999999999997</v>
      </c>
      <c r="K436" s="64">
        <f>7.7869 * CHOOSE(CONTROL!$C$22, $C$13, 100%, $E$13)</f>
        <v>7.7869000000000002</v>
      </c>
    </row>
    <row r="437" spans="1:11" ht="15">
      <c r="A437" s="13">
        <v>54940</v>
      </c>
      <c r="B437" s="63">
        <f>6.6649 * CHOOSE(CONTROL!$C$22, $C$13, 100%, $E$13)</f>
        <v>6.6649000000000003</v>
      </c>
      <c r="C437" s="63">
        <f>6.6649 * CHOOSE(CONTROL!$C$22, $C$13, 100%, $E$13)</f>
        <v>6.6649000000000003</v>
      </c>
      <c r="D437" s="63">
        <f>6.6995 * CHOOSE(CONTROL!$C$22, $C$13, 100%, $E$13)</f>
        <v>6.6994999999999996</v>
      </c>
      <c r="E437" s="64">
        <f>7.7623 * CHOOSE(CONTROL!$C$22, $C$13, 100%, $E$13)</f>
        <v>7.7622999999999998</v>
      </c>
      <c r="F437" s="64">
        <f>7.7623 * CHOOSE(CONTROL!$C$22, $C$13, 100%, $E$13)</f>
        <v>7.7622999999999998</v>
      </c>
      <c r="G437" s="64">
        <f>7.7644 * CHOOSE(CONTROL!$C$22, $C$13, 100%, $E$13)</f>
        <v>7.7644000000000002</v>
      </c>
      <c r="H437" s="64">
        <f>13.5369* CHOOSE(CONTROL!$C$22, $C$13, 100%, $E$13)</f>
        <v>13.536899999999999</v>
      </c>
      <c r="I437" s="64">
        <f>13.539 * CHOOSE(CONTROL!$C$22, $C$13, 100%, $E$13)</f>
        <v>13.539</v>
      </c>
      <c r="J437" s="64">
        <f>7.7623 * CHOOSE(CONTROL!$C$22, $C$13, 100%, $E$13)</f>
        <v>7.7622999999999998</v>
      </c>
      <c r="K437" s="64">
        <f>7.7644 * CHOOSE(CONTROL!$C$22, $C$13, 100%, $E$13)</f>
        <v>7.7644000000000002</v>
      </c>
    </row>
    <row r="438" spans="1:11" ht="15">
      <c r="A438" s="13">
        <v>54970</v>
      </c>
      <c r="B438" s="63">
        <f>6.7747 * CHOOSE(CONTROL!$C$22, $C$13, 100%, $E$13)</f>
        <v>6.7747000000000002</v>
      </c>
      <c r="C438" s="63">
        <f>6.7747 * CHOOSE(CONTROL!$C$22, $C$13, 100%, $E$13)</f>
        <v>6.7747000000000002</v>
      </c>
      <c r="D438" s="63">
        <f>6.8093 * CHOOSE(CONTROL!$C$22, $C$13, 100%, $E$13)</f>
        <v>6.8093000000000004</v>
      </c>
      <c r="E438" s="64">
        <f>7.9154 * CHOOSE(CONTROL!$C$22, $C$13, 100%, $E$13)</f>
        <v>7.9154</v>
      </c>
      <c r="F438" s="64">
        <f>7.9154 * CHOOSE(CONTROL!$C$22, $C$13, 100%, $E$13)</f>
        <v>7.9154</v>
      </c>
      <c r="G438" s="64">
        <f>7.9175 * CHOOSE(CONTROL!$C$22, $C$13, 100%, $E$13)</f>
        <v>7.9175000000000004</v>
      </c>
      <c r="H438" s="64">
        <f>13.5651* CHOOSE(CONTROL!$C$22, $C$13, 100%, $E$13)</f>
        <v>13.565099999999999</v>
      </c>
      <c r="I438" s="64">
        <f>13.5672 * CHOOSE(CONTROL!$C$22, $C$13, 100%, $E$13)</f>
        <v>13.5672</v>
      </c>
      <c r="J438" s="64">
        <f>7.9154 * CHOOSE(CONTROL!$C$22, $C$13, 100%, $E$13)</f>
        <v>7.9154</v>
      </c>
      <c r="K438" s="64">
        <f>7.9175 * CHOOSE(CONTROL!$C$22, $C$13, 100%, $E$13)</f>
        <v>7.9175000000000004</v>
      </c>
    </row>
    <row r="439" spans="1:11" ht="15">
      <c r="A439" s="13">
        <v>55001</v>
      </c>
      <c r="B439" s="63">
        <f>6.7813 * CHOOSE(CONTROL!$C$22, $C$13, 100%, $E$13)</f>
        <v>6.7812999999999999</v>
      </c>
      <c r="C439" s="63">
        <f>6.7813 * CHOOSE(CONTROL!$C$22, $C$13, 100%, $E$13)</f>
        <v>6.7812999999999999</v>
      </c>
      <c r="D439" s="63">
        <f>6.816 * CHOOSE(CONTROL!$C$22, $C$13, 100%, $E$13)</f>
        <v>6.8159999999999998</v>
      </c>
      <c r="E439" s="64">
        <f>7.8398 * CHOOSE(CONTROL!$C$22, $C$13, 100%, $E$13)</f>
        <v>7.8398000000000003</v>
      </c>
      <c r="F439" s="64">
        <f>7.8398 * CHOOSE(CONTROL!$C$22, $C$13, 100%, $E$13)</f>
        <v>7.8398000000000003</v>
      </c>
      <c r="G439" s="64">
        <f>7.8419 * CHOOSE(CONTROL!$C$22, $C$13, 100%, $E$13)</f>
        <v>7.8418999999999999</v>
      </c>
      <c r="H439" s="64">
        <f>13.5934* CHOOSE(CONTROL!$C$22, $C$13, 100%, $E$13)</f>
        <v>13.593400000000001</v>
      </c>
      <c r="I439" s="64">
        <f>13.5955 * CHOOSE(CONTROL!$C$22, $C$13, 100%, $E$13)</f>
        <v>13.595499999999999</v>
      </c>
      <c r="J439" s="64">
        <f>7.8398 * CHOOSE(CONTROL!$C$22, $C$13, 100%, $E$13)</f>
        <v>7.8398000000000003</v>
      </c>
      <c r="K439" s="64">
        <f>7.8419 * CHOOSE(CONTROL!$C$22, $C$13, 100%, $E$13)</f>
        <v>7.8418999999999999</v>
      </c>
    </row>
    <row r="440" spans="1:11" ht="15">
      <c r="A440" s="13">
        <v>55032</v>
      </c>
      <c r="B440" s="63">
        <f>6.7783 * CHOOSE(CONTROL!$C$22, $C$13, 100%, $E$13)</f>
        <v>6.7782999999999998</v>
      </c>
      <c r="C440" s="63">
        <f>6.7783 * CHOOSE(CONTROL!$C$22, $C$13, 100%, $E$13)</f>
        <v>6.7782999999999998</v>
      </c>
      <c r="D440" s="63">
        <f>6.813 * CHOOSE(CONTROL!$C$22, $C$13, 100%, $E$13)</f>
        <v>6.8129999999999997</v>
      </c>
      <c r="E440" s="64">
        <f>7.8288 * CHOOSE(CONTROL!$C$22, $C$13, 100%, $E$13)</f>
        <v>7.8288000000000002</v>
      </c>
      <c r="F440" s="64">
        <f>7.8288 * CHOOSE(CONTROL!$C$22, $C$13, 100%, $E$13)</f>
        <v>7.8288000000000002</v>
      </c>
      <c r="G440" s="64">
        <f>7.8309 * CHOOSE(CONTROL!$C$22, $C$13, 100%, $E$13)</f>
        <v>7.8308999999999997</v>
      </c>
      <c r="H440" s="64">
        <f>13.6217* CHOOSE(CONTROL!$C$22, $C$13, 100%, $E$13)</f>
        <v>13.621700000000001</v>
      </c>
      <c r="I440" s="64">
        <f>13.6238 * CHOOSE(CONTROL!$C$22, $C$13, 100%, $E$13)</f>
        <v>13.623799999999999</v>
      </c>
      <c r="J440" s="64">
        <f>7.8288 * CHOOSE(CONTROL!$C$22, $C$13, 100%, $E$13)</f>
        <v>7.8288000000000002</v>
      </c>
      <c r="K440" s="64">
        <f>7.8309 * CHOOSE(CONTROL!$C$22, $C$13, 100%, $E$13)</f>
        <v>7.8308999999999997</v>
      </c>
    </row>
    <row r="441" spans="1:11" ht="15">
      <c r="A441" s="13">
        <v>55062</v>
      </c>
      <c r="B441" s="63">
        <f>6.7829 * CHOOSE(CONTROL!$C$22, $C$13, 100%, $E$13)</f>
        <v>6.7828999999999997</v>
      </c>
      <c r="C441" s="63">
        <f>6.7829 * CHOOSE(CONTROL!$C$22, $C$13, 100%, $E$13)</f>
        <v>6.7828999999999997</v>
      </c>
      <c r="D441" s="63">
        <f>6.8002 * CHOOSE(CONTROL!$C$22, $C$13, 100%, $E$13)</f>
        <v>6.8002000000000002</v>
      </c>
      <c r="E441" s="64">
        <f>7.851 * CHOOSE(CONTROL!$C$22, $C$13, 100%, $E$13)</f>
        <v>7.851</v>
      </c>
      <c r="F441" s="64">
        <f>7.851 * CHOOSE(CONTROL!$C$22, $C$13, 100%, $E$13)</f>
        <v>7.851</v>
      </c>
      <c r="G441" s="64">
        <f>7.8512 * CHOOSE(CONTROL!$C$22, $C$13, 100%, $E$13)</f>
        <v>7.8512000000000004</v>
      </c>
      <c r="H441" s="64">
        <f>13.6501* CHOOSE(CONTROL!$C$22, $C$13, 100%, $E$13)</f>
        <v>13.6501</v>
      </c>
      <c r="I441" s="64">
        <f>13.6502 * CHOOSE(CONTROL!$C$22, $C$13, 100%, $E$13)</f>
        <v>13.6502</v>
      </c>
      <c r="J441" s="64">
        <f>7.851 * CHOOSE(CONTROL!$C$22, $C$13, 100%, $E$13)</f>
        <v>7.851</v>
      </c>
      <c r="K441" s="64">
        <f>7.8512 * CHOOSE(CONTROL!$C$22, $C$13, 100%, $E$13)</f>
        <v>7.8512000000000004</v>
      </c>
    </row>
    <row r="442" spans="1:11" ht="15">
      <c r="A442" s="13">
        <v>55093</v>
      </c>
      <c r="B442" s="63">
        <f>6.7859 * CHOOSE(CONTROL!$C$22, $C$13, 100%, $E$13)</f>
        <v>6.7858999999999998</v>
      </c>
      <c r="C442" s="63">
        <f>6.7859 * CHOOSE(CONTROL!$C$22, $C$13, 100%, $E$13)</f>
        <v>6.7858999999999998</v>
      </c>
      <c r="D442" s="63">
        <f>6.8032 * CHOOSE(CONTROL!$C$22, $C$13, 100%, $E$13)</f>
        <v>6.8032000000000004</v>
      </c>
      <c r="E442" s="64">
        <f>7.8709 * CHOOSE(CONTROL!$C$22, $C$13, 100%, $E$13)</f>
        <v>7.8708999999999998</v>
      </c>
      <c r="F442" s="64">
        <f>7.8709 * CHOOSE(CONTROL!$C$22, $C$13, 100%, $E$13)</f>
        <v>7.8708999999999998</v>
      </c>
      <c r="G442" s="64">
        <f>7.8711 * CHOOSE(CONTROL!$C$22, $C$13, 100%, $E$13)</f>
        <v>7.8711000000000002</v>
      </c>
      <c r="H442" s="64">
        <f>13.6785* CHOOSE(CONTROL!$C$22, $C$13, 100%, $E$13)</f>
        <v>13.6785</v>
      </c>
      <c r="I442" s="64">
        <f>13.6787 * CHOOSE(CONTROL!$C$22, $C$13, 100%, $E$13)</f>
        <v>13.678699999999999</v>
      </c>
      <c r="J442" s="64">
        <f>7.8709 * CHOOSE(CONTROL!$C$22, $C$13, 100%, $E$13)</f>
        <v>7.8708999999999998</v>
      </c>
      <c r="K442" s="64">
        <f>7.8711 * CHOOSE(CONTROL!$C$22, $C$13, 100%, $E$13)</f>
        <v>7.8711000000000002</v>
      </c>
    </row>
    <row r="443" spans="1:11" ht="15">
      <c r="A443" s="13">
        <v>55123</v>
      </c>
      <c r="B443" s="63">
        <f>6.7859 * CHOOSE(CONTROL!$C$22, $C$13, 100%, $E$13)</f>
        <v>6.7858999999999998</v>
      </c>
      <c r="C443" s="63">
        <f>6.7859 * CHOOSE(CONTROL!$C$22, $C$13, 100%, $E$13)</f>
        <v>6.7858999999999998</v>
      </c>
      <c r="D443" s="63">
        <f>6.8032 * CHOOSE(CONTROL!$C$22, $C$13, 100%, $E$13)</f>
        <v>6.8032000000000004</v>
      </c>
      <c r="E443" s="64">
        <f>7.8264 * CHOOSE(CONTROL!$C$22, $C$13, 100%, $E$13)</f>
        <v>7.8263999999999996</v>
      </c>
      <c r="F443" s="64">
        <f>7.8264 * CHOOSE(CONTROL!$C$22, $C$13, 100%, $E$13)</f>
        <v>7.8263999999999996</v>
      </c>
      <c r="G443" s="64">
        <f>7.8265 * CHOOSE(CONTROL!$C$22, $C$13, 100%, $E$13)</f>
        <v>7.8265000000000002</v>
      </c>
      <c r="H443" s="64">
        <f>13.707* CHOOSE(CONTROL!$C$22, $C$13, 100%, $E$13)</f>
        <v>13.707000000000001</v>
      </c>
      <c r="I443" s="64">
        <f>13.7072 * CHOOSE(CONTROL!$C$22, $C$13, 100%, $E$13)</f>
        <v>13.7072</v>
      </c>
      <c r="J443" s="64">
        <f>7.8264 * CHOOSE(CONTROL!$C$22, $C$13, 100%, $E$13)</f>
        <v>7.8263999999999996</v>
      </c>
      <c r="K443" s="64">
        <f>7.8265 * CHOOSE(CONTROL!$C$22, $C$13, 100%, $E$13)</f>
        <v>7.8265000000000002</v>
      </c>
    </row>
    <row r="444" spans="1:11" ht="15">
      <c r="A444" s="13">
        <v>55154</v>
      </c>
      <c r="B444" s="63">
        <f>6.8467 * CHOOSE(CONTROL!$C$22, $C$13, 100%, $E$13)</f>
        <v>6.8467000000000002</v>
      </c>
      <c r="C444" s="63">
        <f>6.8467 * CHOOSE(CONTROL!$C$22, $C$13, 100%, $E$13)</f>
        <v>6.8467000000000002</v>
      </c>
      <c r="D444" s="63">
        <f>6.864 * CHOOSE(CONTROL!$C$22, $C$13, 100%, $E$13)</f>
        <v>6.8639999999999999</v>
      </c>
      <c r="E444" s="64">
        <f>7.9289 * CHOOSE(CONTROL!$C$22, $C$13, 100%, $E$13)</f>
        <v>7.9288999999999996</v>
      </c>
      <c r="F444" s="64">
        <f>7.9289 * CHOOSE(CONTROL!$C$22, $C$13, 100%, $E$13)</f>
        <v>7.9288999999999996</v>
      </c>
      <c r="G444" s="64">
        <f>7.929 * CHOOSE(CONTROL!$C$22, $C$13, 100%, $E$13)</f>
        <v>7.9290000000000003</v>
      </c>
      <c r="H444" s="64">
        <f>13.7355* CHOOSE(CONTROL!$C$22, $C$13, 100%, $E$13)</f>
        <v>13.7355</v>
      </c>
      <c r="I444" s="64">
        <f>13.7357 * CHOOSE(CONTROL!$C$22, $C$13, 100%, $E$13)</f>
        <v>13.7357</v>
      </c>
      <c r="J444" s="64">
        <f>7.9289 * CHOOSE(CONTROL!$C$22, $C$13, 100%, $E$13)</f>
        <v>7.9288999999999996</v>
      </c>
      <c r="K444" s="64">
        <f>7.929 * CHOOSE(CONTROL!$C$22, $C$13, 100%, $E$13)</f>
        <v>7.9290000000000003</v>
      </c>
    </row>
    <row r="445" spans="1:11" ht="15">
      <c r="A445" s="13">
        <v>55185</v>
      </c>
      <c r="B445" s="63">
        <f>6.8437 * CHOOSE(CONTROL!$C$22, $C$13, 100%, $E$13)</f>
        <v>6.8437000000000001</v>
      </c>
      <c r="C445" s="63">
        <f>6.8437 * CHOOSE(CONTROL!$C$22, $C$13, 100%, $E$13)</f>
        <v>6.8437000000000001</v>
      </c>
      <c r="D445" s="63">
        <f>6.861 * CHOOSE(CONTROL!$C$22, $C$13, 100%, $E$13)</f>
        <v>6.8609999999999998</v>
      </c>
      <c r="E445" s="64">
        <f>7.8401 * CHOOSE(CONTROL!$C$22, $C$13, 100%, $E$13)</f>
        <v>7.8400999999999996</v>
      </c>
      <c r="F445" s="64">
        <f>7.8401 * CHOOSE(CONTROL!$C$22, $C$13, 100%, $E$13)</f>
        <v>7.8400999999999996</v>
      </c>
      <c r="G445" s="64">
        <f>7.8403 * CHOOSE(CONTROL!$C$22, $C$13, 100%, $E$13)</f>
        <v>7.8403</v>
      </c>
      <c r="H445" s="64">
        <f>13.7642* CHOOSE(CONTROL!$C$22, $C$13, 100%, $E$13)</f>
        <v>13.764200000000001</v>
      </c>
      <c r="I445" s="64">
        <f>13.7643 * CHOOSE(CONTROL!$C$22, $C$13, 100%, $E$13)</f>
        <v>13.7643</v>
      </c>
      <c r="J445" s="64">
        <f>7.8401 * CHOOSE(CONTROL!$C$22, $C$13, 100%, $E$13)</f>
        <v>7.8400999999999996</v>
      </c>
      <c r="K445" s="64">
        <f>7.8403 * CHOOSE(CONTROL!$C$22, $C$13, 100%, $E$13)</f>
        <v>7.8403</v>
      </c>
    </row>
    <row r="446" spans="1:11" ht="15">
      <c r="A446" s="13">
        <v>55213</v>
      </c>
      <c r="B446" s="63">
        <f>6.8406 * CHOOSE(CONTROL!$C$22, $C$13, 100%, $E$13)</f>
        <v>6.8406000000000002</v>
      </c>
      <c r="C446" s="63">
        <f>6.8406 * CHOOSE(CONTROL!$C$22, $C$13, 100%, $E$13)</f>
        <v>6.8406000000000002</v>
      </c>
      <c r="D446" s="63">
        <f>6.8579 * CHOOSE(CONTROL!$C$22, $C$13, 100%, $E$13)</f>
        <v>6.8578999999999999</v>
      </c>
      <c r="E446" s="64">
        <f>7.9063 * CHOOSE(CONTROL!$C$22, $C$13, 100%, $E$13)</f>
        <v>7.9062999999999999</v>
      </c>
      <c r="F446" s="64">
        <f>7.9063 * CHOOSE(CONTROL!$C$22, $C$13, 100%, $E$13)</f>
        <v>7.9062999999999999</v>
      </c>
      <c r="G446" s="64">
        <f>7.9065 * CHOOSE(CONTROL!$C$22, $C$13, 100%, $E$13)</f>
        <v>7.9065000000000003</v>
      </c>
      <c r="H446" s="64">
        <f>13.7928* CHOOSE(CONTROL!$C$22, $C$13, 100%, $E$13)</f>
        <v>13.7928</v>
      </c>
      <c r="I446" s="64">
        <f>13.793 * CHOOSE(CONTROL!$C$22, $C$13, 100%, $E$13)</f>
        <v>13.792999999999999</v>
      </c>
      <c r="J446" s="64">
        <f>7.9063 * CHOOSE(CONTROL!$C$22, $C$13, 100%, $E$13)</f>
        <v>7.9062999999999999</v>
      </c>
      <c r="K446" s="64">
        <f>7.9065 * CHOOSE(CONTROL!$C$22, $C$13, 100%, $E$13)</f>
        <v>7.9065000000000003</v>
      </c>
    </row>
    <row r="447" spans="1:11" ht="15">
      <c r="A447" s="13">
        <v>55244</v>
      </c>
      <c r="B447" s="63">
        <f>6.8408 * CHOOSE(CONTROL!$C$22, $C$13, 100%, $E$13)</f>
        <v>6.8407999999999998</v>
      </c>
      <c r="C447" s="63">
        <f>6.8408 * CHOOSE(CONTROL!$C$22, $C$13, 100%, $E$13)</f>
        <v>6.8407999999999998</v>
      </c>
      <c r="D447" s="63">
        <f>6.8581 * CHOOSE(CONTROL!$C$22, $C$13, 100%, $E$13)</f>
        <v>6.8581000000000003</v>
      </c>
      <c r="E447" s="64">
        <f>7.9754 * CHOOSE(CONTROL!$C$22, $C$13, 100%, $E$13)</f>
        <v>7.9753999999999996</v>
      </c>
      <c r="F447" s="64">
        <f>7.9754 * CHOOSE(CONTROL!$C$22, $C$13, 100%, $E$13)</f>
        <v>7.9753999999999996</v>
      </c>
      <c r="G447" s="64">
        <f>7.9756 * CHOOSE(CONTROL!$C$22, $C$13, 100%, $E$13)</f>
        <v>7.9756</v>
      </c>
      <c r="H447" s="64">
        <f>13.8216* CHOOSE(CONTROL!$C$22, $C$13, 100%, $E$13)</f>
        <v>13.8216</v>
      </c>
      <c r="I447" s="64">
        <f>13.8217 * CHOOSE(CONTROL!$C$22, $C$13, 100%, $E$13)</f>
        <v>13.8217</v>
      </c>
      <c r="J447" s="64">
        <f>7.9754 * CHOOSE(CONTROL!$C$22, $C$13, 100%, $E$13)</f>
        <v>7.9753999999999996</v>
      </c>
      <c r="K447" s="64">
        <f>7.9756 * CHOOSE(CONTROL!$C$22, $C$13, 100%, $E$13)</f>
        <v>7.9756</v>
      </c>
    </row>
    <row r="448" spans="1:11" ht="15">
      <c r="A448" s="13">
        <v>55274</v>
      </c>
      <c r="B448" s="63">
        <f>6.8408 * CHOOSE(CONTROL!$C$22, $C$13, 100%, $E$13)</f>
        <v>6.8407999999999998</v>
      </c>
      <c r="C448" s="63">
        <f>6.8408 * CHOOSE(CONTROL!$C$22, $C$13, 100%, $E$13)</f>
        <v>6.8407999999999998</v>
      </c>
      <c r="D448" s="63">
        <f>6.8754 * CHOOSE(CONTROL!$C$22, $C$13, 100%, $E$13)</f>
        <v>6.8754</v>
      </c>
      <c r="E448" s="64">
        <f>8.0029 * CHOOSE(CONTROL!$C$22, $C$13, 100%, $E$13)</f>
        <v>8.0029000000000003</v>
      </c>
      <c r="F448" s="64">
        <f>8.0029 * CHOOSE(CONTROL!$C$22, $C$13, 100%, $E$13)</f>
        <v>8.0029000000000003</v>
      </c>
      <c r="G448" s="64">
        <f>8.005 * CHOOSE(CONTROL!$C$22, $C$13, 100%, $E$13)</f>
        <v>8.0050000000000008</v>
      </c>
      <c r="H448" s="64">
        <f>13.8504* CHOOSE(CONTROL!$C$22, $C$13, 100%, $E$13)</f>
        <v>13.8504</v>
      </c>
      <c r="I448" s="64">
        <f>13.8525 * CHOOSE(CONTROL!$C$22, $C$13, 100%, $E$13)</f>
        <v>13.852499999999999</v>
      </c>
      <c r="J448" s="64">
        <f>8.0029 * CHOOSE(CONTROL!$C$22, $C$13, 100%, $E$13)</f>
        <v>8.0029000000000003</v>
      </c>
      <c r="K448" s="64">
        <f>8.005 * CHOOSE(CONTROL!$C$22, $C$13, 100%, $E$13)</f>
        <v>8.0050000000000008</v>
      </c>
    </row>
    <row r="449" spans="1:11" ht="15">
      <c r="A449" s="13">
        <v>55305</v>
      </c>
      <c r="B449" s="63">
        <f>6.8469 * CHOOSE(CONTROL!$C$22, $C$13, 100%, $E$13)</f>
        <v>6.8468999999999998</v>
      </c>
      <c r="C449" s="63">
        <f>6.8469 * CHOOSE(CONTROL!$C$22, $C$13, 100%, $E$13)</f>
        <v>6.8468999999999998</v>
      </c>
      <c r="D449" s="63">
        <f>6.8815 * CHOOSE(CONTROL!$C$22, $C$13, 100%, $E$13)</f>
        <v>6.8815</v>
      </c>
      <c r="E449" s="64">
        <f>7.9796 * CHOOSE(CONTROL!$C$22, $C$13, 100%, $E$13)</f>
        <v>7.9795999999999996</v>
      </c>
      <c r="F449" s="64">
        <f>7.9796 * CHOOSE(CONTROL!$C$22, $C$13, 100%, $E$13)</f>
        <v>7.9795999999999996</v>
      </c>
      <c r="G449" s="64">
        <f>7.9818 * CHOOSE(CONTROL!$C$22, $C$13, 100%, $E$13)</f>
        <v>7.9817999999999998</v>
      </c>
      <c r="H449" s="64">
        <f>13.8792* CHOOSE(CONTROL!$C$22, $C$13, 100%, $E$13)</f>
        <v>13.879200000000001</v>
      </c>
      <c r="I449" s="64">
        <f>13.8814 * CHOOSE(CONTROL!$C$22, $C$13, 100%, $E$13)</f>
        <v>13.881399999999999</v>
      </c>
      <c r="J449" s="64">
        <f>7.9796 * CHOOSE(CONTROL!$C$22, $C$13, 100%, $E$13)</f>
        <v>7.9795999999999996</v>
      </c>
      <c r="K449" s="64">
        <f>7.9818 * CHOOSE(CONTROL!$C$22, $C$13, 100%, $E$13)</f>
        <v>7.9817999999999998</v>
      </c>
    </row>
    <row r="450" spans="1:11" ht="15">
      <c r="A450" s="13">
        <v>55335</v>
      </c>
      <c r="B450" s="63">
        <f>6.9594 * CHOOSE(CONTROL!$C$22, $C$13, 100%, $E$13)</f>
        <v>6.9593999999999996</v>
      </c>
      <c r="C450" s="63">
        <f>6.9594 * CHOOSE(CONTROL!$C$22, $C$13, 100%, $E$13)</f>
        <v>6.9593999999999996</v>
      </c>
      <c r="D450" s="63">
        <f>6.994 * CHOOSE(CONTROL!$C$22, $C$13, 100%, $E$13)</f>
        <v>6.9939999999999998</v>
      </c>
      <c r="E450" s="64">
        <f>8.1367 * CHOOSE(CONTROL!$C$22, $C$13, 100%, $E$13)</f>
        <v>8.1366999999999994</v>
      </c>
      <c r="F450" s="64">
        <f>8.1367 * CHOOSE(CONTROL!$C$22, $C$13, 100%, $E$13)</f>
        <v>8.1366999999999994</v>
      </c>
      <c r="G450" s="64">
        <f>8.1389 * CHOOSE(CONTROL!$C$22, $C$13, 100%, $E$13)</f>
        <v>8.1388999999999996</v>
      </c>
      <c r="H450" s="64">
        <f>13.9081* CHOOSE(CONTROL!$C$22, $C$13, 100%, $E$13)</f>
        <v>13.908099999999999</v>
      </c>
      <c r="I450" s="64">
        <f>13.9103 * CHOOSE(CONTROL!$C$22, $C$13, 100%, $E$13)</f>
        <v>13.910299999999999</v>
      </c>
      <c r="J450" s="64">
        <f>8.1367 * CHOOSE(CONTROL!$C$22, $C$13, 100%, $E$13)</f>
        <v>8.1366999999999994</v>
      </c>
      <c r="K450" s="64">
        <f>8.1389 * CHOOSE(CONTROL!$C$22, $C$13, 100%, $E$13)</f>
        <v>8.1388999999999996</v>
      </c>
    </row>
    <row r="451" spans="1:11" ht="15">
      <c r="A451" s="13">
        <v>55366</v>
      </c>
      <c r="B451" s="63">
        <f>6.9661 * CHOOSE(CONTROL!$C$22, $C$13, 100%, $E$13)</f>
        <v>6.9661</v>
      </c>
      <c r="C451" s="63">
        <f>6.9661 * CHOOSE(CONTROL!$C$22, $C$13, 100%, $E$13)</f>
        <v>6.9661</v>
      </c>
      <c r="D451" s="63">
        <f>7.0007 * CHOOSE(CONTROL!$C$22, $C$13, 100%, $E$13)</f>
        <v>7.0007000000000001</v>
      </c>
      <c r="E451" s="64">
        <f>8.0589 * CHOOSE(CONTROL!$C$22, $C$13, 100%, $E$13)</f>
        <v>8.0588999999999995</v>
      </c>
      <c r="F451" s="64">
        <f>8.0589 * CHOOSE(CONTROL!$C$22, $C$13, 100%, $E$13)</f>
        <v>8.0588999999999995</v>
      </c>
      <c r="G451" s="64">
        <f>8.061 * CHOOSE(CONTROL!$C$22, $C$13, 100%, $E$13)</f>
        <v>8.0609999999999999</v>
      </c>
      <c r="H451" s="64">
        <f>13.9371* CHOOSE(CONTROL!$C$22, $C$13, 100%, $E$13)</f>
        <v>13.937099999999999</v>
      </c>
      <c r="I451" s="64">
        <f>13.9393 * CHOOSE(CONTROL!$C$22, $C$13, 100%, $E$13)</f>
        <v>13.939299999999999</v>
      </c>
      <c r="J451" s="64">
        <f>8.0589 * CHOOSE(CONTROL!$C$22, $C$13, 100%, $E$13)</f>
        <v>8.0588999999999995</v>
      </c>
      <c r="K451" s="64">
        <f>8.061 * CHOOSE(CONTROL!$C$22, $C$13, 100%, $E$13)</f>
        <v>8.0609999999999999</v>
      </c>
    </row>
    <row r="452" spans="1:11" ht="15">
      <c r="A452" s="13">
        <v>55397</v>
      </c>
      <c r="B452" s="63">
        <f>6.963 * CHOOSE(CONTROL!$C$22, $C$13, 100%, $E$13)</f>
        <v>6.9630000000000001</v>
      </c>
      <c r="C452" s="63">
        <f>6.963 * CHOOSE(CONTROL!$C$22, $C$13, 100%, $E$13)</f>
        <v>6.9630000000000001</v>
      </c>
      <c r="D452" s="63">
        <f>6.9977 * CHOOSE(CONTROL!$C$22, $C$13, 100%, $E$13)</f>
        <v>6.9977</v>
      </c>
      <c r="E452" s="64">
        <f>8.0476 * CHOOSE(CONTROL!$C$22, $C$13, 100%, $E$13)</f>
        <v>8.0475999999999992</v>
      </c>
      <c r="F452" s="64">
        <f>8.0476 * CHOOSE(CONTROL!$C$22, $C$13, 100%, $E$13)</f>
        <v>8.0475999999999992</v>
      </c>
      <c r="G452" s="64">
        <f>8.0497 * CHOOSE(CONTROL!$C$22, $C$13, 100%, $E$13)</f>
        <v>8.0496999999999996</v>
      </c>
      <c r="H452" s="64">
        <f>13.9661* CHOOSE(CONTROL!$C$22, $C$13, 100%, $E$13)</f>
        <v>13.966100000000001</v>
      </c>
      <c r="I452" s="64">
        <f>13.9683 * CHOOSE(CONTROL!$C$22, $C$13, 100%, $E$13)</f>
        <v>13.968299999999999</v>
      </c>
      <c r="J452" s="64">
        <f>8.0476 * CHOOSE(CONTROL!$C$22, $C$13, 100%, $E$13)</f>
        <v>8.0475999999999992</v>
      </c>
      <c r="K452" s="64">
        <f>8.0497 * CHOOSE(CONTROL!$C$22, $C$13, 100%, $E$13)</f>
        <v>8.0496999999999996</v>
      </c>
    </row>
    <row r="453" spans="1:11" ht="15">
      <c r="A453" s="13">
        <v>55427</v>
      </c>
      <c r="B453" s="63">
        <f>6.9682 * CHOOSE(CONTROL!$C$22, $C$13, 100%, $E$13)</f>
        <v>6.9682000000000004</v>
      </c>
      <c r="C453" s="63">
        <f>6.9682 * CHOOSE(CONTROL!$C$22, $C$13, 100%, $E$13)</f>
        <v>6.9682000000000004</v>
      </c>
      <c r="D453" s="63">
        <f>6.9855 * CHOOSE(CONTROL!$C$22, $C$13, 100%, $E$13)</f>
        <v>6.9855</v>
      </c>
      <c r="E453" s="64">
        <f>8.0709 * CHOOSE(CONTROL!$C$22, $C$13, 100%, $E$13)</f>
        <v>8.0709</v>
      </c>
      <c r="F453" s="64">
        <f>8.0709 * CHOOSE(CONTROL!$C$22, $C$13, 100%, $E$13)</f>
        <v>8.0709</v>
      </c>
      <c r="G453" s="64">
        <f>8.071 * CHOOSE(CONTROL!$C$22, $C$13, 100%, $E$13)</f>
        <v>8.0709999999999997</v>
      </c>
      <c r="H453" s="64">
        <f>13.9952* CHOOSE(CONTROL!$C$22, $C$13, 100%, $E$13)</f>
        <v>13.995200000000001</v>
      </c>
      <c r="I453" s="64">
        <f>13.9954 * CHOOSE(CONTROL!$C$22, $C$13, 100%, $E$13)</f>
        <v>13.9954</v>
      </c>
      <c r="J453" s="64">
        <f>8.0709 * CHOOSE(CONTROL!$C$22, $C$13, 100%, $E$13)</f>
        <v>8.0709</v>
      </c>
      <c r="K453" s="64">
        <f>8.071 * CHOOSE(CONTROL!$C$22, $C$13, 100%, $E$13)</f>
        <v>8.0709999999999997</v>
      </c>
    </row>
    <row r="454" spans="1:11" ht="15">
      <c r="A454" s="13">
        <v>55458</v>
      </c>
      <c r="B454" s="63">
        <f>6.9712 * CHOOSE(CONTROL!$C$22, $C$13, 100%, $E$13)</f>
        <v>6.9711999999999996</v>
      </c>
      <c r="C454" s="63">
        <f>6.9712 * CHOOSE(CONTROL!$C$22, $C$13, 100%, $E$13)</f>
        <v>6.9711999999999996</v>
      </c>
      <c r="D454" s="63">
        <f>6.9885 * CHOOSE(CONTROL!$C$22, $C$13, 100%, $E$13)</f>
        <v>6.9885000000000002</v>
      </c>
      <c r="E454" s="64">
        <f>8.0913 * CHOOSE(CONTROL!$C$22, $C$13, 100%, $E$13)</f>
        <v>8.0913000000000004</v>
      </c>
      <c r="F454" s="64">
        <f>8.0913 * CHOOSE(CONTROL!$C$22, $C$13, 100%, $E$13)</f>
        <v>8.0913000000000004</v>
      </c>
      <c r="G454" s="64">
        <f>8.0915 * CHOOSE(CONTROL!$C$22, $C$13, 100%, $E$13)</f>
        <v>8.0914999999999999</v>
      </c>
      <c r="H454" s="64">
        <f>14.0244* CHOOSE(CONTROL!$C$22, $C$13, 100%, $E$13)</f>
        <v>14.0244</v>
      </c>
      <c r="I454" s="64">
        <f>14.0246 * CHOOSE(CONTROL!$C$22, $C$13, 100%, $E$13)</f>
        <v>14.0246</v>
      </c>
      <c r="J454" s="64">
        <f>8.0913 * CHOOSE(CONTROL!$C$22, $C$13, 100%, $E$13)</f>
        <v>8.0913000000000004</v>
      </c>
      <c r="K454" s="64">
        <f>8.0915 * CHOOSE(CONTROL!$C$22, $C$13, 100%, $E$13)</f>
        <v>8.0914999999999999</v>
      </c>
    </row>
    <row r="455" spans="1:11" ht="15">
      <c r="A455" s="13">
        <v>55488</v>
      </c>
      <c r="B455" s="63">
        <f>6.9712 * CHOOSE(CONTROL!$C$22, $C$13, 100%, $E$13)</f>
        <v>6.9711999999999996</v>
      </c>
      <c r="C455" s="63">
        <f>6.9712 * CHOOSE(CONTROL!$C$22, $C$13, 100%, $E$13)</f>
        <v>6.9711999999999996</v>
      </c>
      <c r="D455" s="63">
        <f>6.9885 * CHOOSE(CONTROL!$C$22, $C$13, 100%, $E$13)</f>
        <v>6.9885000000000002</v>
      </c>
      <c r="E455" s="64">
        <f>8.0455 * CHOOSE(CONTROL!$C$22, $C$13, 100%, $E$13)</f>
        <v>8.0455000000000005</v>
      </c>
      <c r="F455" s="64">
        <f>8.0455 * CHOOSE(CONTROL!$C$22, $C$13, 100%, $E$13)</f>
        <v>8.0455000000000005</v>
      </c>
      <c r="G455" s="64">
        <f>8.0456 * CHOOSE(CONTROL!$C$22, $C$13, 100%, $E$13)</f>
        <v>8.0456000000000003</v>
      </c>
      <c r="H455" s="64">
        <f>14.0536* CHOOSE(CONTROL!$C$22, $C$13, 100%, $E$13)</f>
        <v>14.053599999999999</v>
      </c>
      <c r="I455" s="64">
        <f>14.0538 * CHOOSE(CONTROL!$C$22, $C$13, 100%, $E$13)</f>
        <v>14.053800000000001</v>
      </c>
      <c r="J455" s="64">
        <f>8.0455 * CHOOSE(CONTROL!$C$22, $C$13, 100%, $E$13)</f>
        <v>8.0455000000000005</v>
      </c>
      <c r="K455" s="64">
        <f>8.0456 * CHOOSE(CONTROL!$C$22, $C$13, 100%, $E$13)</f>
        <v>8.0456000000000003</v>
      </c>
    </row>
    <row r="456" spans="1:11" ht="15">
      <c r="A456" s="13">
        <v>55519</v>
      </c>
      <c r="B456" s="63">
        <f>7.0336 * CHOOSE(CONTROL!$C$22, $C$13, 100%, $E$13)</f>
        <v>7.0335999999999999</v>
      </c>
      <c r="C456" s="63">
        <f>7.0336 * CHOOSE(CONTROL!$C$22, $C$13, 100%, $E$13)</f>
        <v>7.0335999999999999</v>
      </c>
      <c r="D456" s="63">
        <f>7.0509 * CHOOSE(CONTROL!$C$22, $C$13, 100%, $E$13)</f>
        <v>7.0509000000000004</v>
      </c>
      <c r="E456" s="64">
        <f>8.1507 * CHOOSE(CONTROL!$C$22, $C$13, 100%, $E$13)</f>
        <v>8.1507000000000005</v>
      </c>
      <c r="F456" s="64">
        <f>8.1507 * CHOOSE(CONTROL!$C$22, $C$13, 100%, $E$13)</f>
        <v>8.1507000000000005</v>
      </c>
      <c r="G456" s="64">
        <f>8.1509 * CHOOSE(CONTROL!$C$22, $C$13, 100%, $E$13)</f>
        <v>8.1509</v>
      </c>
      <c r="H456" s="64">
        <f>14.0829* CHOOSE(CONTROL!$C$22, $C$13, 100%, $E$13)</f>
        <v>14.0829</v>
      </c>
      <c r="I456" s="64">
        <f>14.0831 * CHOOSE(CONTROL!$C$22, $C$13, 100%, $E$13)</f>
        <v>14.0831</v>
      </c>
      <c r="J456" s="64">
        <f>8.1507 * CHOOSE(CONTROL!$C$22, $C$13, 100%, $E$13)</f>
        <v>8.1507000000000005</v>
      </c>
      <c r="K456" s="64">
        <f>8.1509 * CHOOSE(CONTROL!$C$22, $C$13, 100%, $E$13)</f>
        <v>8.1509</v>
      </c>
    </row>
    <row r="457" spans="1:11" ht="15">
      <c r="A457" s="13">
        <v>55550</v>
      </c>
      <c r="B457" s="63">
        <f>7.0305 * CHOOSE(CONTROL!$C$22, $C$13, 100%, $E$13)</f>
        <v>7.0305</v>
      </c>
      <c r="C457" s="63">
        <f>7.0305 * CHOOSE(CONTROL!$C$22, $C$13, 100%, $E$13)</f>
        <v>7.0305</v>
      </c>
      <c r="D457" s="63">
        <f>7.0478 * CHOOSE(CONTROL!$C$22, $C$13, 100%, $E$13)</f>
        <v>7.0477999999999996</v>
      </c>
      <c r="E457" s="64">
        <f>8.0596 * CHOOSE(CONTROL!$C$22, $C$13, 100%, $E$13)</f>
        <v>8.0595999999999997</v>
      </c>
      <c r="F457" s="64">
        <f>8.0596 * CHOOSE(CONTROL!$C$22, $C$13, 100%, $E$13)</f>
        <v>8.0595999999999997</v>
      </c>
      <c r="G457" s="64">
        <f>8.0598 * CHOOSE(CONTROL!$C$22, $C$13, 100%, $E$13)</f>
        <v>8.0597999999999992</v>
      </c>
      <c r="H457" s="64">
        <f>14.1122* CHOOSE(CONTROL!$C$22, $C$13, 100%, $E$13)</f>
        <v>14.1122</v>
      </c>
      <c r="I457" s="64">
        <f>14.1124 * CHOOSE(CONTROL!$C$22, $C$13, 100%, $E$13)</f>
        <v>14.112399999999999</v>
      </c>
      <c r="J457" s="64">
        <f>8.0596 * CHOOSE(CONTROL!$C$22, $C$13, 100%, $E$13)</f>
        <v>8.0595999999999997</v>
      </c>
      <c r="K457" s="64">
        <f>8.0598 * CHOOSE(CONTROL!$C$22, $C$13, 100%, $E$13)</f>
        <v>8.0597999999999992</v>
      </c>
    </row>
    <row r="458" spans="1:11" ht="15">
      <c r="A458" s="13">
        <v>55579</v>
      </c>
      <c r="B458" s="63">
        <f>7.0275 * CHOOSE(CONTROL!$C$22, $C$13, 100%, $E$13)</f>
        <v>7.0274999999999999</v>
      </c>
      <c r="C458" s="63">
        <f>7.0275 * CHOOSE(CONTROL!$C$22, $C$13, 100%, $E$13)</f>
        <v>7.0274999999999999</v>
      </c>
      <c r="D458" s="63">
        <f>7.0448 * CHOOSE(CONTROL!$C$22, $C$13, 100%, $E$13)</f>
        <v>7.0448000000000004</v>
      </c>
      <c r="E458" s="64">
        <f>8.1277 * CHOOSE(CONTROL!$C$22, $C$13, 100%, $E$13)</f>
        <v>8.1277000000000008</v>
      </c>
      <c r="F458" s="64">
        <f>8.1277 * CHOOSE(CONTROL!$C$22, $C$13, 100%, $E$13)</f>
        <v>8.1277000000000008</v>
      </c>
      <c r="G458" s="64">
        <f>8.1278 * CHOOSE(CONTROL!$C$22, $C$13, 100%, $E$13)</f>
        <v>8.1278000000000006</v>
      </c>
      <c r="H458" s="64">
        <f>14.1416* CHOOSE(CONTROL!$C$22, $C$13, 100%, $E$13)</f>
        <v>14.1416</v>
      </c>
      <c r="I458" s="64">
        <f>14.1418 * CHOOSE(CONTROL!$C$22, $C$13, 100%, $E$13)</f>
        <v>14.1418</v>
      </c>
      <c r="J458" s="64">
        <f>8.1277 * CHOOSE(CONTROL!$C$22, $C$13, 100%, $E$13)</f>
        <v>8.1277000000000008</v>
      </c>
      <c r="K458" s="64">
        <f>8.1278 * CHOOSE(CONTROL!$C$22, $C$13, 100%, $E$13)</f>
        <v>8.1278000000000006</v>
      </c>
    </row>
    <row r="459" spans="1:11" ht="15">
      <c r="A459" s="13">
        <v>55610</v>
      </c>
      <c r="B459" s="63">
        <f>7.0278 * CHOOSE(CONTROL!$C$22, $C$13, 100%, $E$13)</f>
        <v>7.0278</v>
      </c>
      <c r="C459" s="63">
        <f>7.0278 * CHOOSE(CONTROL!$C$22, $C$13, 100%, $E$13)</f>
        <v>7.0278</v>
      </c>
      <c r="D459" s="63">
        <f>7.0451 * CHOOSE(CONTROL!$C$22, $C$13, 100%, $E$13)</f>
        <v>7.0450999999999997</v>
      </c>
      <c r="E459" s="64">
        <f>8.1988 * CHOOSE(CONTROL!$C$22, $C$13, 100%, $E$13)</f>
        <v>8.1988000000000003</v>
      </c>
      <c r="F459" s="64">
        <f>8.1988 * CHOOSE(CONTROL!$C$22, $C$13, 100%, $E$13)</f>
        <v>8.1988000000000003</v>
      </c>
      <c r="G459" s="64">
        <f>8.199 * CHOOSE(CONTROL!$C$22, $C$13, 100%, $E$13)</f>
        <v>8.1989999999999998</v>
      </c>
      <c r="H459" s="64">
        <f>14.1711* CHOOSE(CONTROL!$C$22, $C$13, 100%, $E$13)</f>
        <v>14.171099999999999</v>
      </c>
      <c r="I459" s="64">
        <f>14.1713 * CHOOSE(CONTROL!$C$22, $C$13, 100%, $E$13)</f>
        <v>14.1713</v>
      </c>
      <c r="J459" s="64">
        <f>8.1988 * CHOOSE(CONTROL!$C$22, $C$13, 100%, $E$13)</f>
        <v>8.1988000000000003</v>
      </c>
      <c r="K459" s="64">
        <f>8.199 * CHOOSE(CONTROL!$C$22, $C$13, 100%, $E$13)</f>
        <v>8.1989999999999998</v>
      </c>
    </row>
    <row r="460" spans="1:11" ht="15">
      <c r="A460" s="13">
        <v>55640</v>
      </c>
      <c r="B460" s="63">
        <f>7.0278 * CHOOSE(CONTROL!$C$22, $C$13, 100%, $E$13)</f>
        <v>7.0278</v>
      </c>
      <c r="C460" s="63">
        <f>7.0278 * CHOOSE(CONTROL!$C$22, $C$13, 100%, $E$13)</f>
        <v>7.0278</v>
      </c>
      <c r="D460" s="63">
        <f>7.0625 * CHOOSE(CONTROL!$C$22, $C$13, 100%, $E$13)</f>
        <v>7.0625</v>
      </c>
      <c r="E460" s="64">
        <f>8.2271 * CHOOSE(CONTROL!$C$22, $C$13, 100%, $E$13)</f>
        <v>8.2271000000000001</v>
      </c>
      <c r="F460" s="64">
        <f>8.2271 * CHOOSE(CONTROL!$C$22, $C$13, 100%, $E$13)</f>
        <v>8.2271000000000001</v>
      </c>
      <c r="G460" s="64">
        <f>8.2292 * CHOOSE(CONTROL!$C$22, $C$13, 100%, $E$13)</f>
        <v>8.2292000000000005</v>
      </c>
      <c r="H460" s="64">
        <f>14.2006* CHOOSE(CONTROL!$C$22, $C$13, 100%, $E$13)</f>
        <v>14.2006</v>
      </c>
      <c r="I460" s="64">
        <f>14.2028 * CHOOSE(CONTROL!$C$22, $C$13, 100%, $E$13)</f>
        <v>14.2028</v>
      </c>
      <c r="J460" s="64">
        <f>8.2271 * CHOOSE(CONTROL!$C$22, $C$13, 100%, $E$13)</f>
        <v>8.2271000000000001</v>
      </c>
      <c r="K460" s="64">
        <f>8.2292 * CHOOSE(CONTROL!$C$22, $C$13, 100%, $E$13)</f>
        <v>8.2292000000000005</v>
      </c>
    </row>
    <row r="461" spans="1:11" ht="15">
      <c r="A461" s="13">
        <v>55671</v>
      </c>
      <c r="B461" s="63">
        <f>7.0339 * CHOOSE(CONTROL!$C$22, $C$13, 100%, $E$13)</f>
        <v>7.0339</v>
      </c>
      <c r="C461" s="63">
        <f>7.0339 * CHOOSE(CONTROL!$C$22, $C$13, 100%, $E$13)</f>
        <v>7.0339</v>
      </c>
      <c r="D461" s="63">
        <f>7.0685 * CHOOSE(CONTROL!$C$22, $C$13, 100%, $E$13)</f>
        <v>7.0685000000000002</v>
      </c>
      <c r="E461" s="64">
        <f>8.203 * CHOOSE(CONTROL!$C$22, $C$13, 100%, $E$13)</f>
        <v>8.2029999999999994</v>
      </c>
      <c r="F461" s="64">
        <f>8.203 * CHOOSE(CONTROL!$C$22, $C$13, 100%, $E$13)</f>
        <v>8.2029999999999994</v>
      </c>
      <c r="G461" s="64">
        <f>8.2052 * CHOOSE(CONTROL!$C$22, $C$13, 100%, $E$13)</f>
        <v>8.2051999999999996</v>
      </c>
      <c r="H461" s="64">
        <f>14.2302* CHOOSE(CONTROL!$C$22, $C$13, 100%, $E$13)</f>
        <v>14.2302</v>
      </c>
      <c r="I461" s="64">
        <f>14.2323 * CHOOSE(CONTROL!$C$22, $C$13, 100%, $E$13)</f>
        <v>14.2323</v>
      </c>
      <c r="J461" s="64">
        <f>8.203 * CHOOSE(CONTROL!$C$22, $C$13, 100%, $E$13)</f>
        <v>8.2029999999999994</v>
      </c>
      <c r="K461" s="64">
        <f>8.2052 * CHOOSE(CONTROL!$C$22, $C$13, 100%, $E$13)</f>
        <v>8.2051999999999996</v>
      </c>
    </row>
    <row r="462" spans="1:11" ht="15">
      <c r="A462" s="13">
        <v>55701</v>
      </c>
      <c r="B462" s="63">
        <f>7.1492 * CHOOSE(CONTROL!$C$22, $C$13, 100%, $E$13)</f>
        <v>7.1492000000000004</v>
      </c>
      <c r="C462" s="63">
        <f>7.1492 * CHOOSE(CONTROL!$C$22, $C$13, 100%, $E$13)</f>
        <v>7.1492000000000004</v>
      </c>
      <c r="D462" s="63">
        <f>7.1838 * CHOOSE(CONTROL!$C$22, $C$13, 100%, $E$13)</f>
        <v>7.1837999999999997</v>
      </c>
      <c r="E462" s="64">
        <f>8.3643 * CHOOSE(CONTROL!$C$22, $C$13, 100%, $E$13)</f>
        <v>8.3643000000000001</v>
      </c>
      <c r="F462" s="64">
        <f>8.3643 * CHOOSE(CONTROL!$C$22, $C$13, 100%, $E$13)</f>
        <v>8.3643000000000001</v>
      </c>
      <c r="G462" s="64">
        <f>8.3664 * CHOOSE(CONTROL!$C$22, $C$13, 100%, $E$13)</f>
        <v>8.3664000000000005</v>
      </c>
      <c r="H462" s="64">
        <f>14.2598* CHOOSE(CONTROL!$C$22, $C$13, 100%, $E$13)</f>
        <v>14.2598</v>
      </c>
      <c r="I462" s="64">
        <f>14.262 * CHOOSE(CONTROL!$C$22, $C$13, 100%, $E$13)</f>
        <v>14.262</v>
      </c>
      <c r="J462" s="64">
        <f>8.3643 * CHOOSE(CONTROL!$C$22, $C$13, 100%, $E$13)</f>
        <v>8.3643000000000001</v>
      </c>
      <c r="K462" s="64">
        <f>8.3664 * CHOOSE(CONTROL!$C$22, $C$13, 100%, $E$13)</f>
        <v>8.3664000000000005</v>
      </c>
    </row>
    <row r="463" spans="1:11" ht="15">
      <c r="A463" s="13">
        <v>55732</v>
      </c>
      <c r="B463" s="63">
        <f>7.1559 * CHOOSE(CONTROL!$C$22, $C$13, 100%, $E$13)</f>
        <v>7.1558999999999999</v>
      </c>
      <c r="C463" s="63">
        <f>7.1559 * CHOOSE(CONTROL!$C$22, $C$13, 100%, $E$13)</f>
        <v>7.1558999999999999</v>
      </c>
      <c r="D463" s="63">
        <f>7.1905 * CHOOSE(CONTROL!$C$22, $C$13, 100%, $E$13)</f>
        <v>7.1905000000000001</v>
      </c>
      <c r="E463" s="64">
        <f>8.2841 * CHOOSE(CONTROL!$C$22, $C$13, 100%, $E$13)</f>
        <v>8.2841000000000005</v>
      </c>
      <c r="F463" s="64">
        <f>8.2841 * CHOOSE(CONTROL!$C$22, $C$13, 100%, $E$13)</f>
        <v>8.2841000000000005</v>
      </c>
      <c r="G463" s="64">
        <f>8.2863 * CHOOSE(CONTROL!$C$22, $C$13, 100%, $E$13)</f>
        <v>8.2863000000000007</v>
      </c>
      <c r="H463" s="64">
        <f>14.2896* CHOOSE(CONTROL!$C$22, $C$13, 100%, $E$13)</f>
        <v>14.2896</v>
      </c>
      <c r="I463" s="64">
        <f>14.2917 * CHOOSE(CONTROL!$C$22, $C$13, 100%, $E$13)</f>
        <v>14.291700000000001</v>
      </c>
      <c r="J463" s="64">
        <f>8.2841 * CHOOSE(CONTROL!$C$22, $C$13, 100%, $E$13)</f>
        <v>8.2841000000000005</v>
      </c>
      <c r="K463" s="64">
        <f>8.2863 * CHOOSE(CONTROL!$C$22, $C$13, 100%, $E$13)</f>
        <v>8.2863000000000007</v>
      </c>
    </row>
    <row r="464" spans="1:11" ht="15">
      <c r="A464" s="13">
        <v>55763</v>
      </c>
      <c r="B464" s="63">
        <f>7.1528 * CHOOSE(CONTROL!$C$22, $C$13, 100%, $E$13)</f>
        <v>7.1528</v>
      </c>
      <c r="C464" s="63">
        <f>7.1528 * CHOOSE(CONTROL!$C$22, $C$13, 100%, $E$13)</f>
        <v>7.1528</v>
      </c>
      <c r="D464" s="63">
        <f>7.1875 * CHOOSE(CONTROL!$C$22, $C$13, 100%, $E$13)</f>
        <v>7.1875</v>
      </c>
      <c r="E464" s="64">
        <f>8.2726 * CHOOSE(CONTROL!$C$22, $C$13, 100%, $E$13)</f>
        <v>8.2726000000000006</v>
      </c>
      <c r="F464" s="64">
        <f>8.2726 * CHOOSE(CONTROL!$C$22, $C$13, 100%, $E$13)</f>
        <v>8.2726000000000006</v>
      </c>
      <c r="G464" s="64">
        <f>8.2747 * CHOOSE(CONTROL!$C$22, $C$13, 100%, $E$13)</f>
        <v>8.2746999999999993</v>
      </c>
      <c r="H464" s="64">
        <f>14.3193* CHOOSE(CONTROL!$C$22, $C$13, 100%, $E$13)</f>
        <v>14.3193</v>
      </c>
      <c r="I464" s="64">
        <f>14.3215 * CHOOSE(CONTROL!$C$22, $C$13, 100%, $E$13)</f>
        <v>14.3215</v>
      </c>
      <c r="J464" s="64">
        <f>8.2726 * CHOOSE(CONTROL!$C$22, $C$13, 100%, $E$13)</f>
        <v>8.2726000000000006</v>
      </c>
      <c r="K464" s="64">
        <f>8.2747 * CHOOSE(CONTROL!$C$22, $C$13, 100%, $E$13)</f>
        <v>8.2746999999999993</v>
      </c>
    </row>
    <row r="465" spans="1:11" ht="15">
      <c r="A465" s="13">
        <v>55793</v>
      </c>
      <c r="B465" s="63">
        <f>7.1586 * CHOOSE(CONTROL!$C$22, $C$13, 100%, $E$13)</f>
        <v>7.1585999999999999</v>
      </c>
      <c r="C465" s="63">
        <f>7.1586 * CHOOSE(CONTROL!$C$22, $C$13, 100%, $E$13)</f>
        <v>7.1585999999999999</v>
      </c>
      <c r="D465" s="63">
        <f>7.1759 * CHOOSE(CONTROL!$C$22, $C$13, 100%, $E$13)</f>
        <v>7.1759000000000004</v>
      </c>
      <c r="E465" s="64">
        <f>8.2969 * CHOOSE(CONTROL!$C$22, $C$13, 100%, $E$13)</f>
        <v>8.2969000000000008</v>
      </c>
      <c r="F465" s="64">
        <f>8.2969 * CHOOSE(CONTROL!$C$22, $C$13, 100%, $E$13)</f>
        <v>8.2969000000000008</v>
      </c>
      <c r="G465" s="64">
        <f>8.297 * CHOOSE(CONTROL!$C$22, $C$13, 100%, $E$13)</f>
        <v>8.2970000000000006</v>
      </c>
      <c r="H465" s="64">
        <f>14.3492* CHOOSE(CONTROL!$C$22, $C$13, 100%, $E$13)</f>
        <v>14.3492</v>
      </c>
      <c r="I465" s="64">
        <f>14.3493 * CHOOSE(CONTROL!$C$22, $C$13, 100%, $E$13)</f>
        <v>14.349299999999999</v>
      </c>
      <c r="J465" s="64">
        <f>8.2969 * CHOOSE(CONTROL!$C$22, $C$13, 100%, $E$13)</f>
        <v>8.2969000000000008</v>
      </c>
      <c r="K465" s="64">
        <f>8.297 * CHOOSE(CONTROL!$C$22, $C$13, 100%, $E$13)</f>
        <v>8.2970000000000006</v>
      </c>
    </row>
    <row r="466" spans="1:11" ht="15">
      <c r="A466" s="13">
        <v>55824</v>
      </c>
      <c r="B466" s="63">
        <f>7.1616 * CHOOSE(CONTROL!$C$22, $C$13, 100%, $E$13)</f>
        <v>7.1616</v>
      </c>
      <c r="C466" s="63">
        <f>7.1616 * CHOOSE(CONTROL!$C$22, $C$13, 100%, $E$13)</f>
        <v>7.1616</v>
      </c>
      <c r="D466" s="63">
        <f>7.179 * CHOOSE(CONTROL!$C$22, $C$13, 100%, $E$13)</f>
        <v>7.1790000000000003</v>
      </c>
      <c r="E466" s="64">
        <f>8.3178 * CHOOSE(CONTROL!$C$22, $C$13, 100%, $E$13)</f>
        <v>8.3178000000000001</v>
      </c>
      <c r="F466" s="64">
        <f>8.3178 * CHOOSE(CONTROL!$C$22, $C$13, 100%, $E$13)</f>
        <v>8.3178000000000001</v>
      </c>
      <c r="G466" s="64">
        <f>8.318 * CHOOSE(CONTROL!$C$22, $C$13, 100%, $E$13)</f>
        <v>8.3179999999999996</v>
      </c>
      <c r="H466" s="64">
        <f>14.3791* CHOOSE(CONTROL!$C$22, $C$13, 100%, $E$13)</f>
        <v>14.379099999999999</v>
      </c>
      <c r="I466" s="64">
        <f>14.3792 * CHOOSE(CONTROL!$C$22, $C$13, 100%, $E$13)</f>
        <v>14.379200000000001</v>
      </c>
      <c r="J466" s="64">
        <f>8.3178 * CHOOSE(CONTROL!$C$22, $C$13, 100%, $E$13)</f>
        <v>8.3178000000000001</v>
      </c>
      <c r="K466" s="64">
        <f>8.318 * CHOOSE(CONTROL!$C$22, $C$13, 100%, $E$13)</f>
        <v>8.3179999999999996</v>
      </c>
    </row>
    <row r="467" spans="1:11" ht="15">
      <c r="A467" s="13">
        <v>55854</v>
      </c>
      <c r="B467" s="63">
        <f>7.1616 * CHOOSE(CONTROL!$C$22, $C$13, 100%, $E$13)</f>
        <v>7.1616</v>
      </c>
      <c r="C467" s="63">
        <f>7.1616 * CHOOSE(CONTROL!$C$22, $C$13, 100%, $E$13)</f>
        <v>7.1616</v>
      </c>
      <c r="D467" s="63">
        <f>7.179 * CHOOSE(CONTROL!$C$22, $C$13, 100%, $E$13)</f>
        <v>7.1790000000000003</v>
      </c>
      <c r="E467" s="64">
        <f>8.2707 * CHOOSE(CONTROL!$C$22, $C$13, 100%, $E$13)</f>
        <v>8.2706999999999997</v>
      </c>
      <c r="F467" s="64">
        <f>8.2707 * CHOOSE(CONTROL!$C$22, $C$13, 100%, $E$13)</f>
        <v>8.2706999999999997</v>
      </c>
      <c r="G467" s="64">
        <f>8.2709 * CHOOSE(CONTROL!$C$22, $C$13, 100%, $E$13)</f>
        <v>8.2708999999999993</v>
      </c>
      <c r="H467" s="64">
        <f>14.409* CHOOSE(CONTROL!$C$22, $C$13, 100%, $E$13)</f>
        <v>14.409000000000001</v>
      </c>
      <c r="I467" s="64">
        <f>14.4092 * CHOOSE(CONTROL!$C$22, $C$13, 100%, $E$13)</f>
        <v>14.4092</v>
      </c>
      <c r="J467" s="64">
        <f>8.2707 * CHOOSE(CONTROL!$C$22, $C$13, 100%, $E$13)</f>
        <v>8.2706999999999997</v>
      </c>
      <c r="K467" s="64">
        <f>8.2709 * CHOOSE(CONTROL!$C$22, $C$13, 100%, $E$13)</f>
        <v>8.2708999999999993</v>
      </c>
    </row>
    <row r="468" spans="1:11" ht="15">
      <c r="A468" s="13">
        <v>55885</v>
      </c>
      <c r="B468" s="63">
        <f>7.2256 * CHOOSE(CONTROL!$C$22, $C$13, 100%, $E$13)</f>
        <v>7.2256</v>
      </c>
      <c r="C468" s="63">
        <f>7.2256 * CHOOSE(CONTROL!$C$22, $C$13, 100%, $E$13)</f>
        <v>7.2256</v>
      </c>
      <c r="D468" s="63">
        <f>7.2429 * CHOOSE(CONTROL!$C$22, $C$13, 100%, $E$13)</f>
        <v>7.2428999999999997</v>
      </c>
      <c r="E468" s="64">
        <f>8.3788 * CHOOSE(CONTROL!$C$22, $C$13, 100%, $E$13)</f>
        <v>8.3788</v>
      </c>
      <c r="F468" s="64">
        <f>8.3788 * CHOOSE(CONTROL!$C$22, $C$13, 100%, $E$13)</f>
        <v>8.3788</v>
      </c>
      <c r="G468" s="64">
        <f>8.379 * CHOOSE(CONTROL!$C$22, $C$13, 100%, $E$13)</f>
        <v>8.3789999999999996</v>
      </c>
      <c r="H468" s="64">
        <f>14.439* CHOOSE(CONTROL!$C$22, $C$13, 100%, $E$13)</f>
        <v>14.439</v>
      </c>
      <c r="I468" s="64">
        <f>14.4392 * CHOOSE(CONTROL!$C$22, $C$13, 100%, $E$13)</f>
        <v>14.4392</v>
      </c>
      <c r="J468" s="64">
        <f>8.3788 * CHOOSE(CONTROL!$C$22, $C$13, 100%, $E$13)</f>
        <v>8.3788</v>
      </c>
      <c r="K468" s="64">
        <f>8.379 * CHOOSE(CONTROL!$C$22, $C$13, 100%, $E$13)</f>
        <v>8.3789999999999996</v>
      </c>
    </row>
    <row r="469" spans="1:11" ht="15">
      <c r="A469" s="13">
        <v>55916</v>
      </c>
      <c r="B469" s="63">
        <f>7.2225 * CHOOSE(CONTROL!$C$22, $C$13, 100%, $E$13)</f>
        <v>7.2225000000000001</v>
      </c>
      <c r="C469" s="63">
        <f>7.2225 * CHOOSE(CONTROL!$C$22, $C$13, 100%, $E$13)</f>
        <v>7.2225000000000001</v>
      </c>
      <c r="D469" s="63">
        <f>7.2399 * CHOOSE(CONTROL!$C$22, $C$13, 100%, $E$13)</f>
        <v>7.2398999999999996</v>
      </c>
      <c r="E469" s="64">
        <f>8.2852 * CHOOSE(CONTROL!$C$22, $C$13, 100%, $E$13)</f>
        <v>8.2851999999999997</v>
      </c>
      <c r="F469" s="64">
        <f>8.2852 * CHOOSE(CONTROL!$C$22, $C$13, 100%, $E$13)</f>
        <v>8.2851999999999997</v>
      </c>
      <c r="G469" s="64">
        <f>8.2854 * CHOOSE(CONTROL!$C$22, $C$13, 100%, $E$13)</f>
        <v>8.2853999999999992</v>
      </c>
      <c r="H469" s="64">
        <f>14.4691* CHOOSE(CONTROL!$C$22, $C$13, 100%, $E$13)</f>
        <v>14.469099999999999</v>
      </c>
      <c r="I469" s="64">
        <f>14.4693 * CHOOSE(CONTROL!$C$22, $C$13, 100%, $E$13)</f>
        <v>14.4693</v>
      </c>
      <c r="J469" s="64">
        <f>8.2852 * CHOOSE(CONTROL!$C$22, $C$13, 100%, $E$13)</f>
        <v>8.2851999999999997</v>
      </c>
      <c r="K469" s="64">
        <f>8.2854 * CHOOSE(CONTROL!$C$22, $C$13, 100%, $E$13)</f>
        <v>8.2853999999999992</v>
      </c>
    </row>
    <row r="470" spans="1:11" ht="15">
      <c r="A470" s="13">
        <v>55944</v>
      </c>
      <c r="B470" s="63">
        <f>7.2195 * CHOOSE(CONTROL!$C$22, $C$13, 100%, $E$13)</f>
        <v>7.2195</v>
      </c>
      <c r="C470" s="63">
        <f>7.2195 * CHOOSE(CONTROL!$C$22, $C$13, 100%, $E$13)</f>
        <v>7.2195</v>
      </c>
      <c r="D470" s="63">
        <f>7.2368 * CHOOSE(CONTROL!$C$22, $C$13, 100%, $E$13)</f>
        <v>7.2367999999999997</v>
      </c>
      <c r="E470" s="64">
        <f>8.3552 * CHOOSE(CONTROL!$C$22, $C$13, 100%, $E$13)</f>
        <v>8.3552</v>
      </c>
      <c r="F470" s="64">
        <f>8.3552 * CHOOSE(CONTROL!$C$22, $C$13, 100%, $E$13)</f>
        <v>8.3552</v>
      </c>
      <c r="G470" s="64">
        <f>8.3554 * CHOOSE(CONTROL!$C$22, $C$13, 100%, $E$13)</f>
        <v>8.3553999999999995</v>
      </c>
      <c r="H470" s="64">
        <f>14.4993* CHOOSE(CONTROL!$C$22, $C$13, 100%, $E$13)</f>
        <v>14.4993</v>
      </c>
      <c r="I470" s="64">
        <f>14.4994 * CHOOSE(CONTROL!$C$22, $C$13, 100%, $E$13)</f>
        <v>14.4994</v>
      </c>
      <c r="J470" s="64">
        <f>8.3552 * CHOOSE(CONTROL!$C$22, $C$13, 100%, $E$13)</f>
        <v>8.3552</v>
      </c>
      <c r="K470" s="64">
        <f>8.3554 * CHOOSE(CONTROL!$C$22, $C$13, 100%, $E$13)</f>
        <v>8.3553999999999995</v>
      </c>
    </row>
    <row r="471" spans="1:11" ht="15">
      <c r="A471" s="13">
        <v>55975</v>
      </c>
      <c r="B471" s="63">
        <f>7.22 * CHOOSE(CONTROL!$C$22, $C$13, 100%, $E$13)</f>
        <v>7.22</v>
      </c>
      <c r="C471" s="63">
        <f>7.22 * CHOOSE(CONTROL!$C$22, $C$13, 100%, $E$13)</f>
        <v>7.22</v>
      </c>
      <c r="D471" s="63">
        <f>7.2373 * CHOOSE(CONTROL!$C$22, $C$13, 100%, $E$13)</f>
        <v>7.2373000000000003</v>
      </c>
      <c r="E471" s="64">
        <f>8.4285 * CHOOSE(CONTROL!$C$22, $C$13, 100%, $E$13)</f>
        <v>8.4284999999999997</v>
      </c>
      <c r="F471" s="64">
        <f>8.4285 * CHOOSE(CONTROL!$C$22, $C$13, 100%, $E$13)</f>
        <v>8.4284999999999997</v>
      </c>
      <c r="G471" s="64">
        <f>8.4287 * CHOOSE(CONTROL!$C$22, $C$13, 100%, $E$13)</f>
        <v>8.4286999999999992</v>
      </c>
      <c r="H471" s="64">
        <f>14.5295* CHOOSE(CONTROL!$C$22, $C$13, 100%, $E$13)</f>
        <v>14.529500000000001</v>
      </c>
      <c r="I471" s="64">
        <f>14.5296 * CHOOSE(CONTROL!$C$22, $C$13, 100%, $E$13)</f>
        <v>14.5296</v>
      </c>
      <c r="J471" s="64">
        <f>8.4285 * CHOOSE(CONTROL!$C$22, $C$13, 100%, $E$13)</f>
        <v>8.4284999999999997</v>
      </c>
      <c r="K471" s="64">
        <f>8.4287 * CHOOSE(CONTROL!$C$22, $C$13, 100%, $E$13)</f>
        <v>8.4286999999999992</v>
      </c>
    </row>
    <row r="472" spans="1:11" ht="15">
      <c r="A472" s="13">
        <v>56005</v>
      </c>
      <c r="B472" s="63">
        <f>7.22 * CHOOSE(CONTROL!$C$22, $C$13, 100%, $E$13)</f>
        <v>7.22</v>
      </c>
      <c r="C472" s="63">
        <f>7.22 * CHOOSE(CONTROL!$C$22, $C$13, 100%, $E$13)</f>
        <v>7.22</v>
      </c>
      <c r="D472" s="63">
        <f>7.2546 * CHOOSE(CONTROL!$C$22, $C$13, 100%, $E$13)</f>
        <v>7.2545999999999999</v>
      </c>
      <c r="E472" s="64">
        <f>8.4576 * CHOOSE(CONTROL!$C$22, $C$13, 100%, $E$13)</f>
        <v>8.4575999999999993</v>
      </c>
      <c r="F472" s="64">
        <f>8.4576 * CHOOSE(CONTROL!$C$22, $C$13, 100%, $E$13)</f>
        <v>8.4575999999999993</v>
      </c>
      <c r="G472" s="64">
        <f>8.4597 * CHOOSE(CONTROL!$C$22, $C$13, 100%, $E$13)</f>
        <v>8.4596999999999998</v>
      </c>
      <c r="H472" s="64">
        <f>14.5597* CHOOSE(CONTROL!$C$22, $C$13, 100%, $E$13)</f>
        <v>14.559699999999999</v>
      </c>
      <c r="I472" s="64">
        <f>14.5619 * CHOOSE(CONTROL!$C$22, $C$13, 100%, $E$13)</f>
        <v>14.5619</v>
      </c>
      <c r="J472" s="64">
        <f>8.4576 * CHOOSE(CONTROL!$C$22, $C$13, 100%, $E$13)</f>
        <v>8.4575999999999993</v>
      </c>
      <c r="K472" s="64">
        <f>8.4597 * CHOOSE(CONTROL!$C$22, $C$13, 100%, $E$13)</f>
        <v>8.4596999999999998</v>
      </c>
    </row>
    <row r="473" spans="1:11" ht="15">
      <c r="A473" s="13">
        <v>56036</v>
      </c>
      <c r="B473" s="63">
        <f>7.2261 * CHOOSE(CONTROL!$C$22, $C$13, 100%, $E$13)</f>
        <v>7.2260999999999997</v>
      </c>
      <c r="C473" s="63">
        <f>7.2261 * CHOOSE(CONTROL!$C$22, $C$13, 100%, $E$13)</f>
        <v>7.2260999999999997</v>
      </c>
      <c r="D473" s="63">
        <f>7.2607 * CHOOSE(CONTROL!$C$22, $C$13, 100%, $E$13)</f>
        <v>7.2606999999999999</v>
      </c>
      <c r="E473" s="64">
        <f>8.4327 * CHOOSE(CONTROL!$C$22, $C$13, 100%, $E$13)</f>
        <v>8.4327000000000005</v>
      </c>
      <c r="F473" s="64">
        <f>8.4327 * CHOOSE(CONTROL!$C$22, $C$13, 100%, $E$13)</f>
        <v>8.4327000000000005</v>
      </c>
      <c r="G473" s="64">
        <f>8.4349 * CHOOSE(CONTROL!$C$22, $C$13, 100%, $E$13)</f>
        <v>8.4349000000000007</v>
      </c>
      <c r="H473" s="64">
        <f>14.5901* CHOOSE(CONTROL!$C$22, $C$13, 100%, $E$13)</f>
        <v>14.5901</v>
      </c>
      <c r="I473" s="64">
        <f>14.5922 * CHOOSE(CONTROL!$C$22, $C$13, 100%, $E$13)</f>
        <v>14.5922</v>
      </c>
      <c r="J473" s="64">
        <f>8.4327 * CHOOSE(CONTROL!$C$22, $C$13, 100%, $E$13)</f>
        <v>8.4327000000000005</v>
      </c>
      <c r="K473" s="64">
        <f>8.4349 * CHOOSE(CONTROL!$C$22, $C$13, 100%, $E$13)</f>
        <v>8.4349000000000007</v>
      </c>
    </row>
    <row r="474" spans="1:11" ht="15">
      <c r="A474" s="13">
        <v>56066</v>
      </c>
      <c r="B474" s="63">
        <f>7.3442 * CHOOSE(CONTROL!$C$22, $C$13, 100%, $E$13)</f>
        <v>7.3441999999999998</v>
      </c>
      <c r="C474" s="63">
        <f>7.3442 * CHOOSE(CONTROL!$C$22, $C$13, 100%, $E$13)</f>
        <v>7.3441999999999998</v>
      </c>
      <c r="D474" s="63">
        <f>7.3789 * CHOOSE(CONTROL!$C$22, $C$13, 100%, $E$13)</f>
        <v>7.3788999999999998</v>
      </c>
      <c r="E474" s="64">
        <f>8.5982 * CHOOSE(CONTROL!$C$22, $C$13, 100%, $E$13)</f>
        <v>8.5982000000000003</v>
      </c>
      <c r="F474" s="64">
        <f>8.5982 * CHOOSE(CONTROL!$C$22, $C$13, 100%, $E$13)</f>
        <v>8.5982000000000003</v>
      </c>
      <c r="G474" s="64">
        <f>8.6003 * CHOOSE(CONTROL!$C$22, $C$13, 100%, $E$13)</f>
        <v>8.6003000000000007</v>
      </c>
      <c r="H474" s="64">
        <f>14.6205* CHOOSE(CONTROL!$C$22, $C$13, 100%, $E$13)</f>
        <v>14.6205</v>
      </c>
      <c r="I474" s="64">
        <f>14.6226 * CHOOSE(CONTROL!$C$22, $C$13, 100%, $E$13)</f>
        <v>14.6226</v>
      </c>
      <c r="J474" s="64">
        <f>8.5982 * CHOOSE(CONTROL!$C$22, $C$13, 100%, $E$13)</f>
        <v>8.5982000000000003</v>
      </c>
      <c r="K474" s="64">
        <f>8.6003 * CHOOSE(CONTROL!$C$22, $C$13, 100%, $E$13)</f>
        <v>8.6003000000000007</v>
      </c>
    </row>
    <row r="475" spans="1:11" ht="15">
      <c r="A475" s="13">
        <v>56097</v>
      </c>
      <c r="B475" s="63">
        <f>7.3509 * CHOOSE(CONTROL!$C$22, $C$13, 100%, $E$13)</f>
        <v>7.3509000000000002</v>
      </c>
      <c r="C475" s="63">
        <f>7.3509 * CHOOSE(CONTROL!$C$22, $C$13, 100%, $E$13)</f>
        <v>7.3509000000000002</v>
      </c>
      <c r="D475" s="63">
        <f>7.3855 * CHOOSE(CONTROL!$C$22, $C$13, 100%, $E$13)</f>
        <v>7.3855000000000004</v>
      </c>
      <c r="E475" s="64">
        <f>8.5157 * CHOOSE(CONTROL!$C$22, $C$13, 100%, $E$13)</f>
        <v>8.5157000000000007</v>
      </c>
      <c r="F475" s="64">
        <f>8.5157 * CHOOSE(CONTROL!$C$22, $C$13, 100%, $E$13)</f>
        <v>8.5157000000000007</v>
      </c>
      <c r="G475" s="64">
        <f>8.5178 * CHOOSE(CONTROL!$C$22, $C$13, 100%, $E$13)</f>
        <v>8.5177999999999994</v>
      </c>
      <c r="H475" s="64">
        <f>14.6509* CHOOSE(CONTROL!$C$22, $C$13, 100%, $E$13)</f>
        <v>14.6509</v>
      </c>
      <c r="I475" s="64">
        <f>14.6531 * CHOOSE(CONTROL!$C$22, $C$13, 100%, $E$13)</f>
        <v>14.6531</v>
      </c>
      <c r="J475" s="64">
        <f>8.5157 * CHOOSE(CONTROL!$C$22, $C$13, 100%, $E$13)</f>
        <v>8.5157000000000007</v>
      </c>
      <c r="K475" s="64">
        <f>8.5178 * CHOOSE(CONTROL!$C$22, $C$13, 100%, $E$13)</f>
        <v>8.5177999999999994</v>
      </c>
    </row>
    <row r="476" spans="1:11" ht="15">
      <c r="A476" s="13">
        <v>56128</v>
      </c>
      <c r="B476" s="63">
        <f>7.3479 * CHOOSE(CONTROL!$C$22, $C$13, 100%, $E$13)</f>
        <v>7.3479000000000001</v>
      </c>
      <c r="C476" s="63">
        <f>7.3479 * CHOOSE(CONTROL!$C$22, $C$13, 100%, $E$13)</f>
        <v>7.3479000000000001</v>
      </c>
      <c r="D476" s="63">
        <f>7.3825 * CHOOSE(CONTROL!$C$22, $C$13, 100%, $E$13)</f>
        <v>7.3825000000000003</v>
      </c>
      <c r="E476" s="64">
        <f>8.5039 * CHOOSE(CONTROL!$C$22, $C$13, 100%, $E$13)</f>
        <v>8.5038999999999998</v>
      </c>
      <c r="F476" s="64">
        <f>8.5039 * CHOOSE(CONTROL!$C$22, $C$13, 100%, $E$13)</f>
        <v>8.5038999999999998</v>
      </c>
      <c r="G476" s="64">
        <f>8.506 * CHOOSE(CONTROL!$C$22, $C$13, 100%, $E$13)</f>
        <v>8.5060000000000002</v>
      </c>
      <c r="H476" s="64">
        <f>14.6814* CHOOSE(CONTROL!$C$22, $C$13, 100%, $E$13)</f>
        <v>14.6814</v>
      </c>
      <c r="I476" s="64">
        <f>14.6836 * CHOOSE(CONTROL!$C$22, $C$13, 100%, $E$13)</f>
        <v>14.6836</v>
      </c>
      <c r="J476" s="64">
        <f>8.5039 * CHOOSE(CONTROL!$C$22, $C$13, 100%, $E$13)</f>
        <v>8.5038999999999998</v>
      </c>
      <c r="K476" s="64">
        <f>8.506 * CHOOSE(CONTROL!$C$22, $C$13, 100%, $E$13)</f>
        <v>8.5060000000000002</v>
      </c>
    </row>
    <row r="477" spans="1:11" ht="15">
      <c r="A477" s="13">
        <v>56158</v>
      </c>
      <c r="B477" s="63">
        <f>7.3543 * CHOOSE(CONTROL!$C$22, $C$13, 100%, $E$13)</f>
        <v>7.3543000000000003</v>
      </c>
      <c r="C477" s="63">
        <f>7.3543 * CHOOSE(CONTROL!$C$22, $C$13, 100%, $E$13)</f>
        <v>7.3543000000000003</v>
      </c>
      <c r="D477" s="63">
        <f>7.3716 * CHOOSE(CONTROL!$C$22, $C$13, 100%, $E$13)</f>
        <v>7.3715999999999999</v>
      </c>
      <c r="E477" s="64">
        <f>8.5292 * CHOOSE(CONTROL!$C$22, $C$13, 100%, $E$13)</f>
        <v>8.5291999999999994</v>
      </c>
      <c r="F477" s="64">
        <f>8.5292 * CHOOSE(CONTROL!$C$22, $C$13, 100%, $E$13)</f>
        <v>8.5291999999999994</v>
      </c>
      <c r="G477" s="64">
        <f>8.5294 * CHOOSE(CONTROL!$C$22, $C$13, 100%, $E$13)</f>
        <v>8.5294000000000008</v>
      </c>
      <c r="H477" s="64">
        <f>14.712* CHOOSE(CONTROL!$C$22, $C$13, 100%, $E$13)</f>
        <v>14.712</v>
      </c>
      <c r="I477" s="64">
        <f>14.7122 * CHOOSE(CONTROL!$C$22, $C$13, 100%, $E$13)</f>
        <v>14.712199999999999</v>
      </c>
      <c r="J477" s="64">
        <f>8.5292 * CHOOSE(CONTROL!$C$22, $C$13, 100%, $E$13)</f>
        <v>8.5291999999999994</v>
      </c>
      <c r="K477" s="64">
        <f>8.5294 * CHOOSE(CONTROL!$C$22, $C$13, 100%, $E$13)</f>
        <v>8.5294000000000008</v>
      </c>
    </row>
    <row r="478" spans="1:11" ht="15">
      <c r="A478" s="13">
        <v>56189</v>
      </c>
      <c r="B478" s="63">
        <f>7.3573 * CHOOSE(CONTROL!$C$22, $C$13, 100%, $E$13)</f>
        <v>7.3573000000000004</v>
      </c>
      <c r="C478" s="63">
        <f>7.3573 * CHOOSE(CONTROL!$C$22, $C$13, 100%, $E$13)</f>
        <v>7.3573000000000004</v>
      </c>
      <c r="D478" s="63">
        <f>7.3746 * CHOOSE(CONTROL!$C$22, $C$13, 100%, $E$13)</f>
        <v>7.3746</v>
      </c>
      <c r="E478" s="64">
        <f>8.5507 * CHOOSE(CONTROL!$C$22, $C$13, 100%, $E$13)</f>
        <v>8.5507000000000009</v>
      </c>
      <c r="F478" s="64">
        <f>8.5507 * CHOOSE(CONTROL!$C$22, $C$13, 100%, $E$13)</f>
        <v>8.5507000000000009</v>
      </c>
      <c r="G478" s="64">
        <f>8.5509 * CHOOSE(CONTROL!$C$22, $C$13, 100%, $E$13)</f>
        <v>8.5509000000000004</v>
      </c>
      <c r="H478" s="64">
        <f>14.7427* CHOOSE(CONTROL!$C$22, $C$13, 100%, $E$13)</f>
        <v>14.742699999999999</v>
      </c>
      <c r="I478" s="64">
        <f>14.7429 * CHOOSE(CONTROL!$C$22, $C$13, 100%, $E$13)</f>
        <v>14.742900000000001</v>
      </c>
      <c r="J478" s="64">
        <f>8.5507 * CHOOSE(CONTROL!$C$22, $C$13, 100%, $E$13)</f>
        <v>8.5507000000000009</v>
      </c>
      <c r="K478" s="64">
        <f>8.5509 * CHOOSE(CONTROL!$C$22, $C$13, 100%, $E$13)</f>
        <v>8.5509000000000004</v>
      </c>
    </row>
    <row r="479" spans="1:11" ht="15">
      <c r="A479" s="13">
        <v>56219</v>
      </c>
      <c r="B479" s="63">
        <f>7.3573 * CHOOSE(CONTROL!$C$22, $C$13, 100%, $E$13)</f>
        <v>7.3573000000000004</v>
      </c>
      <c r="C479" s="63">
        <f>7.3573 * CHOOSE(CONTROL!$C$22, $C$13, 100%, $E$13)</f>
        <v>7.3573000000000004</v>
      </c>
      <c r="D479" s="63">
        <f>7.3746 * CHOOSE(CONTROL!$C$22, $C$13, 100%, $E$13)</f>
        <v>7.3746</v>
      </c>
      <c r="E479" s="64">
        <f>8.5022 * CHOOSE(CONTROL!$C$22, $C$13, 100%, $E$13)</f>
        <v>8.5022000000000002</v>
      </c>
      <c r="F479" s="64">
        <f>8.5022 * CHOOSE(CONTROL!$C$22, $C$13, 100%, $E$13)</f>
        <v>8.5022000000000002</v>
      </c>
      <c r="G479" s="64">
        <f>8.5024 * CHOOSE(CONTROL!$C$22, $C$13, 100%, $E$13)</f>
        <v>8.5023999999999997</v>
      </c>
      <c r="H479" s="64">
        <f>14.7734* CHOOSE(CONTROL!$C$22, $C$13, 100%, $E$13)</f>
        <v>14.773400000000001</v>
      </c>
      <c r="I479" s="64">
        <f>14.7736 * CHOOSE(CONTROL!$C$22, $C$13, 100%, $E$13)</f>
        <v>14.7736</v>
      </c>
      <c r="J479" s="64">
        <f>8.5022 * CHOOSE(CONTROL!$C$22, $C$13, 100%, $E$13)</f>
        <v>8.5022000000000002</v>
      </c>
      <c r="K479" s="64">
        <f>8.5024 * CHOOSE(CONTROL!$C$22, $C$13, 100%, $E$13)</f>
        <v>8.5023999999999997</v>
      </c>
    </row>
    <row r="480" spans="1:11" ht="15">
      <c r="A480" s="13">
        <v>56250</v>
      </c>
      <c r="B480" s="63">
        <f>7.4229 * CHOOSE(CONTROL!$C$22, $C$13, 100%, $E$13)</f>
        <v>7.4229000000000003</v>
      </c>
      <c r="C480" s="63">
        <f>7.4229 * CHOOSE(CONTROL!$C$22, $C$13, 100%, $E$13)</f>
        <v>7.4229000000000003</v>
      </c>
      <c r="D480" s="63">
        <f>7.4402 * CHOOSE(CONTROL!$C$22, $C$13, 100%, $E$13)</f>
        <v>7.4401999999999999</v>
      </c>
      <c r="E480" s="64">
        <f>8.6133 * CHOOSE(CONTROL!$C$22, $C$13, 100%, $E$13)</f>
        <v>8.6133000000000006</v>
      </c>
      <c r="F480" s="64">
        <f>8.6133 * CHOOSE(CONTROL!$C$22, $C$13, 100%, $E$13)</f>
        <v>8.6133000000000006</v>
      </c>
      <c r="G480" s="64">
        <f>8.6135 * CHOOSE(CONTROL!$C$22, $C$13, 100%, $E$13)</f>
        <v>8.6135000000000002</v>
      </c>
      <c r="H480" s="64">
        <f>14.8042* CHOOSE(CONTROL!$C$22, $C$13, 100%, $E$13)</f>
        <v>14.8042</v>
      </c>
      <c r="I480" s="64">
        <f>14.8043 * CHOOSE(CONTROL!$C$22, $C$13, 100%, $E$13)</f>
        <v>14.8043</v>
      </c>
      <c r="J480" s="64">
        <f>8.6133 * CHOOSE(CONTROL!$C$22, $C$13, 100%, $E$13)</f>
        <v>8.6133000000000006</v>
      </c>
      <c r="K480" s="64">
        <f>8.6135 * CHOOSE(CONTROL!$C$22, $C$13, 100%, $E$13)</f>
        <v>8.6135000000000002</v>
      </c>
    </row>
    <row r="481" spans="1:11" ht="15">
      <c r="A481" s="13">
        <v>56281</v>
      </c>
      <c r="B481" s="63">
        <f>7.4198 * CHOOSE(CONTROL!$C$22, $C$13, 100%, $E$13)</f>
        <v>7.4198000000000004</v>
      </c>
      <c r="C481" s="63">
        <f>7.4198 * CHOOSE(CONTROL!$C$22, $C$13, 100%, $E$13)</f>
        <v>7.4198000000000004</v>
      </c>
      <c r="D481" s="63">
        <f>7.4372 * CHOOSE(CONTROL!$C$22, $C$13, 100%, $E$13)</f>
        <v>7.4371999999999998</v>
      </c>
      <c r="E481" s="64">
        <f>8.5171 * CHOOSE(CONTROL!$C$22, $C$13, 100%, $E$13)</f>
        <v>8.5170999999999992</v>
      </c>
      <c r="F481" s="64">
        <f>8.5171 * CHOOSE(CONTROL!$C$22, $C$13, 100%, $E$13)</f>
        <v>8.5170999999999992</v>
      </c>
      <c r="G481" s="64">
        <f>8.5173 * CHOOSE(CONTROL!$C$22, $C$13, 100%, $E$13)</f>
        <v>8.5173000000000005</v>
      </c>
      <c r="H481" s="64">
        <f>14.835* CHOOSE(CONTROL!$C$22, $C$13, 100%, $E$13)</f>
        <v>14.835000000000001</v>
      </c>
      <c r="I481" s="64">
        <f>14.8352 * CHOOSE(CONTROL!$C$22, $C$13, 100%, $E$13)</f>
        <v>14.8352</v>
      </c>
      <c r="J481" s="64">
        <f>8.5171 * CHOOSE(CONTROL!$C$22, $C$13, 100%, $E$13)</f>
        <v>8.5170999999999992</v>
      </c>
      <c r="K481" s="64">
        <f>8.5173 * CHOOSE(CONTROL!$C$22, $C$13, 100%, $E$13)</f>
        <v>8.5173000000000005</v>
      </c>
    </row>
    <row r="482" spans="1:11" ht="15">
      <c r="A482" s="13">
        <v>56309</v>
      </c>
      <c r="B482" s="63">
        <f>7.4168 * CHOOSE(CONTROL!$C$22, $C$13, 100%, $E$13)</f>
        <v>7.4168000000000003</v>
      </c>
      <c r="C482" s="63">
        <f>7.4168 * CHOOSE(CONTROL!$C$22, $C$13, 100%, $E$13)</f>
        <v>7.4168000000000003</v>
      </c>
      <c r="D482" s="63">
        <f>7.4341 * CHOOSE(CONTROL!$C$22, $C$13, 100%, $E$13)</f>
        <v>7.4340999999999999</v>
      </c>
      <c r="E482" s="64">
        <f>8.5892 * CHOOSE(CONTROL!$C$22, $C$13, 100%, $E$13)</f>
        <v>8.5891999999999999</v>
      </c>
      <c r="F482" s="64">
        <f>8.5892 * CHOOSE(CONTROL!$C$22, $C$13, 100%, $E$13)</f>
        <v>8.5891999999999999</v>
      </c>
      <c r="G482" s="64">
        <f>8.5893 * CHOOSE(CONTROL!$C$22, $C$13, 100%, $E$13)</f>
        <v>8.5892999999999997</v>
      </c>
      <c r="H482" s="64">
        <f>14.8659* CHOOSE(CONTROL!$C$22, $C$13, 100%, $E$13)</f>
        <v>14.8659</v>
      </c>
      <c r="I482" s="64">
        <f>14.8661 * CHOOSE(CONTROL!$C$22, $C$13, 100%, $E$13)</f>
        <v>14.866099999999999</v>
      </c>
      <c r="J482" s="64">
        <f>8.5892 * CHOOSE(CONTROL!$C$22, $C$13, 100%, $E$13)</f>
        <v>8.5891999999999999</v>
      </c>
      <c r="K482" s="64">
        <f>8.5893 * CHOOSE(CONTROL!$C$22, $C$13, 100%, $E$13)</f>
        <v>8.5892999999999997</v>
      </c>
    </row>
    <row r="483" spans="1:11" ht="15">
      <c r="A483" s="13">
        <v>56340</v>
      </c>
      <c r="B483" s="63">
        <f>7.4175 * CHOOSE(CONTROL!$C$22, $C$13, 100%, $E$13)</f>
        <v>7.4175000000000004</v>
      </c>
      <c r="C483" s="63">
        <f>7.4175 * CHOOSE(CONTROL!$C$22, $C$13, 100%, $E$13)</f>
        <v>7.4175000000000004</v>
      </c>
      <c r="D483" s="63">
        <f>7.4348 * CHOOSE(CONTROL!$C$22, $C$13, 100%, $E$13)</f>
        <v>7.4348000000000001</v>
      </c>
      <c r="E483" s="64">
        <f>8.6646 * CHOOSE(CONTROL!$C$22, $C$13, 100%, $E$13)</f>
        <v>8.6646000000000001</v>
      </c>
      <c r="F483" s="64">
        <f>8.6646 * CHOOSE(CONTROL!$C$22, $C$13, 100%, $E$13)</f>
        <v>8.6646000000000001</v>
      </c>
      <c r="G483" s="64">
        <f>8.6648 * CHOOSE(CONTROL!$C$22, $C$13, 100%, $E$13)</f>
        <v>8.6647999999999996</v>
      </c>
      <c r="H483" s="64">
        <f>14.8969* CHOOSE(CONTROL!$C$22, $C$13, 100%, $E$13)</f>
        <v>14.8969</v>
      </c>
      <c r="I483" s="64">
        <f>14.8971 * CHOOSE(CONTROL!$C$22, $C$13, 100%, $E$13)</f>
        <v>14.8971</v>
      </c>
      <c r="J483" s="64">
        <f>8.6646 * CHOOSE(CONTROL!$C$22, $C$13, 100%, $E$13)</f>
        <v>8.6646000000000001</v>
      </c>
      <c r="K483" s="64">
        <f>8.6648 * CHOOSE(CONTROL!$C$22, $C$13, 100%, $E$13)</f>
        <v>8.6647999999999996</v>
      </c>
    </row>
    <row r="484" spans="1:11" ht="15">
      <c r="A484" s="13">
        <v>56370</v>
      </c>
      <c r="B484" s="63">
        <f>7.4175 * CHOOSE(CONTROL!$C$22, $C$13, 100%, $E$13)</f>
        <v>7.4175000000000004</v>
      </c>
      <c r="C484" s="63">
        <f>7.4175 * CHOOSE(CONTROL!$C$22, $C$13, 100%, $E$13)</f>
        <v>7.4175000000000004</v>
      </c>
      <c r="D484" s="63">
        <f>7.4521 * CHOOSE(CONTROL!$C$22, $C$13, 100%, $E$13)</f>
        <v>7.4520999999999997</v>
      </c>
      <c r="E484" s="64">
        <f>8.6945 * CHOOSE(CONTROL!$C$22, $C$13, 100%, $E$13)</f>
        <v>8.6944999999999997</v>
      </c>
      <c r="F484" s="64">
        <f>8.6945 * CHOOSE(CONTROL!$C$22, $C$13, 100%, $E$13)</f>
        <v>8.6944999999999997</v>
      </c>
      <c r="G484" s="64">
        <f>8.6966 * CHOOSE(CONTROL!$C$22, $C$13, 100%, $E$13)</f>
        <v>8.6966000000000001</v>
      </c>
      <c r="H484" s="64">
        <f>14.9279* CHOOSE(CONTROL!$C$22, $C$13, 100%, $E$13)</f>
        <v>14.927899999999999</v>
      </c>
      <c r="I484" s="64">
        <f>14.9301 * CHOOSE(CONTROL!$C$22, $C$13, 100%, $E$13)</f>
        <v>14.930099999999999</v>
      </c>
      <c r="J484" s="64">
        <f>8.6945 * CHOOSE(CONTROL!$C$22, $C$13, 100%, $E$13)</f>
        <v>8.6944999999999997</v>
      </c>
      <c r="K484" s="64">
        <f>8.6966 * CHOOSE(CONTROL!$C$22, $C$13, 100%, $E$13)</f>
        <v>8.6966000000000001</v>
      </c>
    </row>
    <row r="485" spans="1:11" ht="15">
      <c r="A485" s="13">
        <v>56401</v>
      </c>
      <c r="B485" s="63">
        <f>7.4235 * CHOOSE(CONTROL!$C$22, $C$13, 100%, $E$13)</f>
        <v>7.4234999999999998</v>
      </c>
      <c r="C485" s="63">
        <f>7.4235 * CHOOSE(CONTROL!$C$22, $C$13, 100%, $E$13)</f>
        <v>7.4234999999999998</v>
      </c>
      <c r="D485" s="63">
        <f>7.4582 * CHOOSE(CONTROL!$C$22, $C$13, 100%, $E$13)</f>
        <v>7.4581999999999997</v>
      </c>
      <c r="E485" s="64">
        <f>8.6688 * CHOOSE(CONTROL!$C$22, $C$13, 100%, $E$13)</f>
        <v>8.6687999999999992</v>
      </c>
      <c r="F485" s="64">
        <f>8.6688 * CHOOSE(CONTROL!$C$22, $C$13, 100%, $E$13)</f>
        <v>8.6687999999999992</v>
      </c>
      <c r="G485" s="64">
        <f>8.671 * CHOOSE(CONTROL!$C$22, $C$13, 100%, $E$13)</f>
        <v>8.6709999999999994</v>
      </c>
      <c r="H485" s="64">
        <f>14.959* CHOOSE(CONTROL!$C$22, $C$13, 100%, $E$13)</f>
        <v>14.959</v>
      </c>
      <c r="I485" s="64">
        <f>14.9612 * CHOOSE(CONTROL!$C$22, $C$13, 100%, $E$13)</f>
        <v>14.9612</v>
      </c>
      <c r="J485" s="64">
        <f>8.6688 * CHOOSE(CONTROL!$C$22, $C$13, 100%, $E$13)</f>
        <v>8.6687999999999992</v>
      </c>
      <c r="K485" s="64">
        <f>8.671 * CHOOSE(CONTROL!$C$22, $C$13, 100%, $E$13)</f>
        <v>8.6709999999999994</v>
      </c>
    </row>
    <row r="486" spans="1:11" ht="15">
      <c r="A486" s="13">
        <v>56431</v>
      </c>
      <c r="B486" s="63">
        <f>7.5446 * CHOOSE(CONTROL!$C$22, $C$13, 100%, $E$13)</f>
        <v>7.5446</v>
      </c>
      <c r="C486" s="63">
        <f>7.5446 * CHOOSE(CONTROL!$C$22, $C$13, 100%, $E$13)</f>
        <v>7.5446</v>
      </c>
      <c r="D486" s="63">
        <f>7.5793 * CHOOSE(CONTROL!$C$22, $C$13, 100%, $E$13)</f>
        <v>7.5792999999999999</v>
      </c>
      <c r="E486" s="64">
        <f>8.8387 * CHOOSE(CONTROL!$C$22, $C$13, 100%, $E$13)</f>
        <v>8.8386999999999993</v>
      </c>
      <c r="F486" s="64">
        <f>8.8387 * CHOOSE(CONTROL!$C$22, $C$13, 100%, $E$13)</f>
        <v>8.8386999999999993</v>
      </c>
      <c r="G486" s="64">
        <f>8.8408 * CHOOSE(CONTROL!$C$22, $C$13, 100%, $E$13)</f>
        <v>8.8407999999999998</v>
      </c>
      <c r="H486" s="64">
        <f>14.9902* CHOOSE(CONTROL!$C$22, $C$13, 100%, $E$13)</f>
        <v>14.9902</v>
      </c>
      <c r="I486" s="64">
        <f>14.9923 * CHOOSE(CONTROL!$C$22, $C$13, 100%, $E$13)</f>
        <v>14.9923</v>
      </c>
      <c r="J486" s="64">
        <f>8.8387 * CHOOSE(CONTROL!$C$22, $C$13, 100%, $E$13)</f>
        <v>8.8386999999999993</v>
      </c>
      <c r="K486" s="64">
        <f>8.8408 * CHOOSE(CONTROL!$C$22, $C$13, 100%, $E$13)</f>
        <v>8.8407999999999998</v>
      </c>
    </row>
    <row r="487" spans="1:11" ht="15">
      <c r="A487" s="13">
        <v>56462</v>
      </c>
      <c r="B487" s="63">
        <f>7.5513 * CHOOSE(CONTROL!$C$22, $C$13, 100%, $E$13)</f>
        <v>7.5513000000000003</v>
      </c>
      <c r="C487" s="63">
        <f>7.5513 * CHOOSE(CONTROL!$C$22, $C$13, 100%, $E$13)</f>
        <v>7.5513000000000003</v>
      </c>
      <c r="D487" s="63">
        <f>7.586 * CHOOSE(CONTROL!$C$22, $C$13, 100%, $E$13)</f>
        <v>7.5860000000000003</v>
      </c>
      <c r="E487" s="64">
        <f>8.7537 * CHOOSE(CONTROL!$C$22, $C$13, 100%, $E$13)</f>
        <v>8.7537000000000003</v>
      </c>
      <c r="F487" s="64">
        <f>8.7537 * CHOOSE(CONTROL!$C$22, $C$13, 100%, $E$13)</f>
        <v>8.7537000000000003</v>
      </c>
      <c r="G487" s="64">
        <f>8.7558 * CHOOSE(CONTROL!$C$22, $C$13, 100%, $E$13)</f>
        <v>8.7558000000000007</v>
      </c>
      <c r="H487" s="64">
        <f>15.0214* CHOOSE(CONTROL!$C$22, $C$13, 100%, $E$13)</f>
        <v>15.0214</v>
      </c>
      <c r="I487" s="64">
        <f>15.0236 * CHOOSE(CONTROL!$C$22, $C$13, 100%, $E$13)</f>
        <v>15.0236</v>
      </c>
      <c r="J487" s="64">
        <f>8.7537 * CHOOSE(CONTROL!$C$22, $C$13, 100%, $E$13)</f>
        <v>8.7537000000000003</v>
      </c>
      <c r="K487" s="64">
        <f>8.7558 * CHOOSE(CONTROL!$C$22, $C$13, 100%, $E$13)</f>
        <v>8.7558000000000007</v>
      </c>
    </row>
    <row r="488" spans="1:11" ht="15">
      <c r="A488" s="13">
        <v>56493</v>
      </c>
      <c r="B488" s="63">
        <f>7.5483 * CHOOSE(CONTROL!$C$22, $C$13, 100%, $E$13)</f>
        <v>7.5483000000000002</v>
      </c>
      <c r="C488" s="63">
        <f>7.5483 * CHOOSE(CONTROL!$C$22, $C$13, 100%, $E$13)</f>
        <v>7.5483000000000002</v>
      </c>
      <c r="D488" s="63">
        <f>7.5829 * CHOOSE(CONTROL!$C$22, $C$13, 100%, $E$13)</f>
        <v>7.5829000000000004</v>
      </c>
      <c r="E488" s="64">
        <f>8.7416 * CHOOSE(CONTROL!$C$22, $C$13, 100%, $E$13)</f>
        <v>8.7416</v>
      </c>
      <c r="F488" s="64">
        <f>8.7416 * CHOOSE(CONTROL!$C$22, $C$13, 100%, $E$13)</f>
        <v>8.7416</v>
      </c>
      <c r="G488" s="64">
        <f>8.7437 * CHOOSE(CONTROL!$C$22, $C$13, 100%, $E$13)</f>
        <v>8.7437000000000005</v>
      </c>
      <c r="H488" s="64">
        <f>15.0527* CHOOSE(CONTROL!$C$22, $C$13, 100%, $E$13)</f>
        <v>15.0527</v>
      </c>
      <c r="I488" s="64">
        <f>15.0549 * CHOOSE(CONTROL!$C$22, $C$13, 100%, $E$13)</f>
        <v>15.0549</v>
      </c>
      <c r="J488" s="64">
        <f>8.7416 * CHOOSE(CONTROL!$C$22, $C$13, 100%, $E$13)</f>
        <v>8.7416</v>
      </c>
      <c r="K488" s="64">
        <f>8.7437 * CHOOSE(CONTROL!$C$22, $C$13, 100%, $E$13)</f>
        <v>8.7437000000000005</v>
      </c>
    </row>
    <row r="489" spans="1:11" ht="15">
      <c r="A489" s="13">
        <v>56523</v>
      </c>
      <c r="B489" s="63">
        <f>7.5554 * CHOOSE(CONTROL!$C$22, $C$13, 100%, $E$13)</f>
        <v>7.5553999999999997</v>
      </c>
      <c r="C489" s="63">
        <f>7.5554 * CHOOSE(CONTROL!$C$22, $C$13, 100%, $E$13)</f>
        <v>7.5553999999999997</v>
      </c>
      <c r="D489" s="63">
        <f>7.5727 * CHOOSE(CONTROL!$C$22, $C$13, 100%, $E$13)</f>
        <v>7.5727000000000002</v>
      </c>
      <c r="E489" s="64">
        <f>8.768 * CHOOSE(CONTROL!$C$22, $C$13, 100%, $E$13)</f>
        <v>8.7680000000000007</v>
      </c>
      <c r="F489" s="64">
        <f>8.768 * CHOOSE(CONTROL!$C$22, $C$13, 100%, $E$13)</f>
        <v>8.7680000000000007</v>
      </c>
      <c r="G489" s="64">
        <f>8.7682 * CHOOSE(CONTROL!$C$22, $C$13, 100%, $E$13)</f>
        <v>8.7682000000000002</v>
      </c>
      <c r="H489" s="64">
        <f>15.0841* CHOOSE(CONTROL!$C$22, $C$13, 100%, $E$13)</f>
        <v>15.084099999999999</v>
      </c>
      <c r="I489" s="64">
        <f>15.0842 * CHOOSE(CONTROL!$C$22, $C$13, 100%, $E$13)</f>
        <v>15.084199999999999</v>
      </c>
      <c r="J489" s="64">
        <f>8.768 * CHOOSE(CONTROL!$C$22, $C$13, 100%, $E$13)</f>
        <v>8.7680000000000007</v>
      </c>
      <c r="K489" s="64">
        <f>8.7682 * CHOOSE(CONTROL!$C$22, $C$13, 100%, $E$13)</f>
        <v>8.7682000000000002</v>
      </c>
    </row>
    <row r="490" spans="1:11" ht="15">
      <c r="A490" s="13">
        <v>56554</v>
      </c>
      <c r="B490" s="63">
        <f>7.5584 * CHOOSE(CONTROL!$C$22, $C$13, 100%, $E$13)</f>
        <v>7.5583999999999998</v>
      </c>
      <c r="C490" s="63">
        <f>7.5584 * CHOOSE(CONTROL!$C$22, $C$13, 100%, $E$13)</f>
        <v>7.5583999999999998</v>
      </c>
      <c r="D490" s="63">
        <f>7.5757 * CHOOSE(CONTROL!$C$22, $C$13, 100%, $E$13)</f>
        <v>7.5757000000000003</v>
      </c>
      <c r="E490" s="64">
        <f>8.7901 * CHOOSE(CONTROL!$C$22, $C$13, 100%, $E$13)</f>
        <v>8.7901000000000007</v>
      </c>
      <c r="F490" s="64">
        <f>8.7901 * CHOOSE(CONTROL!$C$22, $C$13, 100%, $E$13)</f>
        <v>8.7901000000000007</v>
      </c>
      <c r="G490" s="64">
        <f>8.7902 * CHOOSE(CONTROL!$C$22, $C$13, 100%, $E$13)</f>
        <v>8.7902000000000005</v>
      </c>
      <c r="H490" s="64">
        <f>15.1155* CHOOSE(CONTROL!$C$22, $C$13, 100%, $E$13)</f>
        <v>15.115500000000001</v>
      </c>
      <c r="I490" s="64">
        <f>15.1157 * CHOOSE(CONTROL!$C$22, $C$13, 100%, $E$13)</f>
        <v>15.1157</v>
      </c>
      <c r="J490" s="64">
        <f>8.7901 * CHOOSE(CONTROL!$C$22, $C$13, 100%, $E$13)</f>
        <v>8.7901000000000007</v>
      </c>
      <c r="K490" s="64">
        <f>8.7902 * CHOOSE(CONTROL!$C$22, $C$13, 100%, $E$13)</f>
        <v>8.7902000000000005</v>
      </c>
    </row>
    <row r="491" spans="1:11" ht="15">
      <c r="A491" s="13">
        <v>56584</v>
      </c>
      <c r="B491" s="63">
        <f>7.5584 * CHOOSE(CONTROL!$C$22, $C$13, 100%, $E$13)</f>
        <v>7.5583999999999998</v>
      </c>
      <c r="C491" s="63">
        <f>7.5584 * CHOOSE(CONTROL!$C$22, $C$13, 100%, $E$13)</f>
        <v>7.5583999999999998</v>
      </c>
      <c r="D491" s="63">
        <f>7.5757 * CHOOSE(CONTROL!$C$22, $C$13, 100%, $E$13)</f>
        <v>7.5757000000000003</v>
      </c>
      <c r="E491" s="64">
        <f>8.7403 * CHOOSE(CONTROL!$C$22, $C$13, 100%, $E$13)</f>
        <v>8.7402999999999995</v>
      </c>
      <c r="F491" s="64">
        <f>8.7403 * CHOOSE(CONTROL!$C$22, $C$13, 100%, $E$13)</f>
        <v>8.7402999999999995</v>
      </c>
      <c r="G491" s="64">
        <f>8.7404 * CHOOSE(CONTROL!$C$22, $C$13, 100%, $E$13)</f>
        <v>8.7403999999999993</v>
      </c>
      <c r="H491" s="64">
        <f>15.147* CHOOSE(CONTROL!$C$22, $C$13, 100%, $E$13)</f>
        <v>15.147</v>
      </c>
      <c r="I491" s="64">
        <f>15.1472 * CHOOSE(CONTROL!$C$22, $C$13, 100%, $E$13)</f>
        <v>15.1472</v>
      </c>
      <c r="J491" s="64">
        <f>8.7403 * CHOOSE(CONTROL!$C$22, $C$13, 100%, $E$13)</f>
        <v>8.7402999999999995</v>
      </c>
      <c r="K491" s="64">
        <f>8.7404 * CHOOSE(CONTROL!$C$22, $C$13, 100%, $E$13)</f>
        <v>8.7403999999999993</v>
      </c>
    </row>
    <row r="492" spans="1:11" ht="15">
      <c r="A492" s="13">
        <v>56615</v>
      </c>
      <c r="B492" s="63">
        <f>7.6256 * CHOOSE(CONTROL!$C$22, $C$13, 100%, $E$13)</f>
        <v>7.6256000000000004</v>
      </c>
      <c r="C492" s="63">
        <f>7.6256 * CHOOSE(CONTROL!$C$22, $C$13, 100%, $E$13)</f>
        <v>7.6256000000000004</v>
      </c>
      <c r="D492" s="63">
        <f>7.6429 * CHOOSE(CONTROL!$C$22, $C$13, 100%, $E$13)</f>
        <v>7.6429</v>
      </c>
      <c r="E492" s="64">
        <f>8.8543 * CHOOSE(CONTROL!$C$22, $C$13, 100%, $E$13)</f>
        <v>8.8543000000000003</v>
      </c>
      <c r="F492" s="64">
        <f>8.8543 * CHOOSE(CONTROL!$C$22, $C$13, 100%, $E$13)</f>
        <v>8.8543000000000003</v>
      </c>
      <c r="G492" s="64">
        <f>8.8545 * CHOOSE(CONTROL!$C$22, $C$13, 100%, $E$13)</f>
        <v>8.8544999999999998</v>
      </c>
      <c r="H492" s="64">
        <f>15.1785* CHOOSE(CONTROL!$C$22, $C$13, 100%, $E$13)</f>
        <v>15.1785</v>
      </c>
      <c r="I492" s="64">
        <f>15.1787 * CHOOSE(CONTROL!$C$22, $C$13, 100%, $E$13)</f>
        <v>15.178699999999999</v>
      </c>
      <c r="J492" s="64">
        <f>8.8543 * CHOOSE(CONTROL!$C$22, $C$13, 100%, $E$13)</f>
        <v>8.8543000000000003</v>
      </c>
      <c r="K492" s="64">
        <f>8.8545 * CHOOSE(CONTROL!$C$22, $C$13, 100%, $E$13)</f>
        <v>8.8544999999999998</v>
      </c>
    </row>
    <row r="493" spans="1:11" ht="15">
      <c r="A493" s="13">
        <v>56646</v>
      </c>
      <c r="B493" s="63">
        <f>7.6226 * CHOOSE(CONTROL!$C$22, $C$13, 100%, $E$13)</f>
        <v>7.6226000000000003</v>
      </c>
      <c r="C493" s="63">
        <f>7.6226 * CHOOSE(CONTROL!$C$22, $C$13, 100%, $E$13)</f>
        <v>7.6226000000000003</v>
      </c>
      <c r="D493" s="63">
        <f>7.6399 * CHOOSE(CONTROL!$C$22, $C$13, 100%, $E$13)</f>
        <v>7.6398999999999999</v>
      </c>
      <c r="E493" s="64">
        <f>8.7555 * CHOOSE(CONTROL!$C$22, $C$13, 100%, $E$13)</f>
        <v>8.7554999999999996</v>
      </c>
      <c r="F493" s="64">
        <f>8.7555 * CHOOSE(CONTROL!$C$22, $C$13, 100%, $E$13)</f>
        <v>8.7554999999999996</v>
      </c>
      <c r="G493" s="64">
        <f>8.7557 * CHOOSE(CONTROL!$C$22, $C$13, 100%, $E$13)</f>
        <v>8.7556999999999992</v>
      </c>
      <c r="H493" s="64">
        <f>15.2102* CHOOSE(CONTROL!$C$22, $C$13, 100%, $E$13)</f>
        <v>15.2102</v>
      </c>
      <c r="I493" s="64">
        <f>15.2103 * CHOOSE(CONTROL!$C$22, $C$13, 100%, $E$13)</f>
        <v>15.2103</v>
      </c>
      <c r="J493" s="64">
        <f>8.7555 * CHOOSE(CONTROL!$C$22, $C$13, 100%, $E$13)</f>
        <v>8.7554999999999996</v>
      </c>
      <c r="K493" s="64">
        <f>8.7557 * CHOOSE(CONTROL!$C$22, $C$13, 100%, $E$13)</f>
        <v>8.7556999999999992</v>
      </c>
    </row>
    <row r="494" spans="1:11" ht="15">
      <c r="A494" s="13">
        <v>56674</v>
      </c>
      <c r="B494" s="63">
        <f>7.6195 * CHOOSE(CONTROL!$C$22, $C$13, 100%, $E$13)</f>
        <v>7.6195000000000004</v>
      </c>
      <c r="C494" s="63">
        <f>7.6195 * CHOOSE(CONTROL!$C$22, $C$13, 100%, $E$13)</f>
        <v>7.6195000000000004</v>
      </c>
      <c r="D494" s="63">
        <f>7.6369 * CHOOSE(CONTROL!$C$22, $C$13, 100%, $E$13)</f>
        <v>7.6368999999999998</v>
      </c>
      <c r="E494" s="64">
        <f>8.8296 * CHOOSE(CONTROL!$C$22, $C$13, 100%, $E$13)</f>
        <v>8.8295999999999992</v>
      </c>
      <c r="F494" s="64">
        <f>8.8296 * CHOOSE(CONTROL!$C$22, $C$13, 100%, $E$13)</f>
        <v>8.8295999999999992</v>
      </c>
      <c r="G494" s="64">
        <f>8.8298 * CHOOSE(CONTROL!$C$22, $C$13, 100%, $E$13)</f>
        <v>8.8298000000000005</v>
      </c>
      <c r="H494" s="64">
        <f>15.2419* CHOOSE(CONTROL!$C$22, $C$13, 100%, $E$13)</f>
        <v>15.241899999999999</v>
      </c>
      <c r="I494" s="64">
        <f>15.242 * CHOOSE(CONTROL!$C$22, $C$13, 100%, $E$13)</f>
        <v>15.242000000000001</v>
      </c>
      <c r="J494" s="64">
        <f>8.8296 * CHOOSE(CONTROL!$C$22, $C$13, 100%, $E$13)</f>
        <v>8.8295999999999992</v>
      </c>
      <c r="K494" s="64">
        <f>8.8298 * CHOOSE(CONTROL!$C$22, $C$13, 100%, $E$13)</f>
        <v>8.8298000000000005</v>
      </c>
    </row>
    <row r="495" spans="1:11" ht="15">
      <c r="A495" s="13">
        <v>56705</v>
      </c>
      <c r="B495" s="63">
        <f>7.6204 * CHOOSE(CONTROL!$C$22, $C$13, 100%, $E$13)</f>
        <v>7.6204000000000001</v>
      </c>
      <c r="C495" s="63">
        <f>7.6204 * CHOOSE(CONTROL!$C$22, $C$13, 100%, $E$13)</f>
        <v>7.6204000000000001</v>
      </c>
      <c r="D495" s="63">
        <f>7.6377 * CHOOSE(CONTROL!$C$22, $C$13, 100%, $E$13)</f>
        <v>7.6376999999999997</v>
      </c>
      <c r="E495" s="64">
        <f>8.9073 * CHOOSE(CONTROL!$C$22, $C$13, 100%, $E$13)</f>
        <v>8.9072999999999993</v>
      </c>
      <c r="F495" s="64">
        <f>8.9073 * CHOOSE(CONTROL!$C$22, $C$13, 100%, $E$13)</f>
        <v>8.9072999999999993</v>
      </c>
      <c r="G495" s="64">
        <f>8.9075 * CHOOSE(CONTROL!$C$22, $C$13, 100%, $E$13)</f>
        <v>8.9075000000000006</v>
      </c>
      <c r="H495" s="64">
        <f>15.2736* CHOOSE(CONTROL!$C$22, $C$13, 100%, $E$13)</f>
        <v>15.2736</v>
      </c>
      <c r="I495" s="64">
        <f>15.2738 * CHOOSE(CONTROL!$C$22, $C$13, 100%, $E$13)</f>
        <v>15.2738</v>
      </c>
      <c r="J495" s="64">
        <f>8.9073 * CHOOSE(CONTROL!$C$22, $C$13, 100%, $E$13)</f>
        <v>8.9072999999999993</v>
      </c>
      <c r="K495" s="64">
        <f>8.9075 * CHOOSE(CONTROL!$C$22, $C$13, 100%, $E$13)</f>
        <v>8.9075000000000006</v>
      </c>
    </row>
    <row r="496" spans="1:11" ht="15">
      <c r="A496" s="13">
        <v>56735</v>
      </c>
      <c r="B496" s="63">
        <f>7.6204 * CHOOSE(CONTROL!$C$22, $C$13, 100%, $E$13)</f>
        <v>7.6204000000000001</v>
      </c>
      <c r="C496" s="63">
        <f>7.6204 * CHOOSE(CONTROL!$C$22, $C$13, 100%, $E$13)</f>
        <v>7.6204000000000001</v>
      </c>
      <c r="D496" s="63">
        <f>7.655 * CHOOSE(CONTROL!$C$22, $C$13, 100%, $E$13)</f>
        <v>7.6550000000000002</v>
      </c>
      <c r="E496" s="64">
        <f>8.938 * CHOOSE(CONTROL!$C$22, $C$13, 100%, $E$13)</f>
        <v>8.9380000000000006</v>
      </c>
      <c r="F496" s="64">
        <f>8.938 * CHOOSE(CONTROL!$C$22, $C$13, 100%, $E$13)</f>
        <v>8.9380000000000006</v>
      </c>
      <c r="G496" s="64">
        <f>8.9402 * CHOOSE(CONTROL!$C$22, $C$13, 100%, $E$13)</f>
        <v>8.9402000000000008</v>
      </c>
      <c r="H496" s="64">
        <f>15.3054* CHOOSE(CONTROL!$C$22, $C$13, 100%, $E$13)</f>
        <v>15.305400000000001</v>
      </c>
      <c r="I496" s="64">
        <f>15.3076 * CHOOSE(CONTROL!$C$22, $C$13, 100%, $E$13)</f>
        <v>15.307600000000001</v>
      </c>
      <c r="J496" s="64">
        <f>8.938 * CHOOSE(CONTROL!$C$22, $C$13, 100%, $E$13)</f>
        <v>8.9380000000000006</v>
      </c>
      <c r="K496" s="64">
        <f>8.9402 * CHOOSE(CONTROL!$C$22, $C$13, 100%, $E$13)</f>
        <v>8.9402000000000008</v>
      </c>
    </row>
    <row r="497" spans="1:11" ht="15">
      <c r="A497" s="13">
        <v>56766</v>
      </c>
      <c r="B497" s="63">
        <f>7.6264 * CHOOSE(CONTROL!$C$22, $C$13, 100%, $E$13)</f>
        <v>7.6264000000000003</v>
      </c>
      <c r="C497" s="63">
        <f>7.6264 * CHOOSE(CONTROL!$C$22, $C$13, 100%, $E$13)</f>
        <v>7.6264000000000003</v>
      </c>
      <c r="D497" s="63">
        <f>7.6611 * CHOOSE(CONTROL!$C$22, $C$13, 100%, $E$13)</f>
        <v>7.6611000000000002</v>
      </c>
      <c r="E497" s="64">
        <f>8.9115 * CHOOSE(CONTROL!$C$22, $C$13, 100%, $E$13)</f>
        <v>8.9115000000000002</v>
      </c>
      <c r="F497" s="64">
        <f>8.9115 * CHOOSE(CONTROL!$C$22, $C$13, 100%, $E$13)</f>
        <v>8.9115000000000002</v>
      </c>
      <c r="G497" s="64">
        <f>8.9137 * CHOOSE(CONTROL!$C$22, $C$13, 100%, $E$13)</f>
        <v>8.9137000000000004</v>
      </c>
      <c r="H497" s="64">
        <f>15.3373* CHOOSE(CONTROL!$C$22, $C$13, 100%, $E$13)</f>
        <v>15.337300000000001</v>
      </c>
      <c r="I497" s="64">
        <f>15.3395 * CHOOSE(CONTROL!$C$22, $C$13, 100%, $E$13)</f>
        <v>15.339499999999999</v>
      </c>
      <c r="J497" s="64">
        <f>8.9115 * CHOOSE(CONTROL!$C$22, $C$13, 100%, $E$13)</f>
        <v>8.9115000000000002</v>
      </c>
      <c r="K497" s="64">
        <f>8.9137 * CHOOSE(CONTROL!$C$22, $C$13, 100%, $E$13)</f>
        <v>8.9137000000000004</v>
      </c>
    </row>
    <row r="498" spans="1:11" ht="15">
      <c r="A498" s="13">
        <v>56796</v>
      </c>
      <c r="B498" s="63">
        <f>7.7506 * CHOOSE(CONTROL!$C$22, $C$13, 100%, $E$13)</f>
        <v>7.7506000000000004</v>
      </c>
      <c r="C498" s="63">
        <f>7.7506 * CHOOSE(CONTROL!$C$22, $C$13, 100%, $E$13)</f>
        <v>7.7506000000000004</v>
      </c>
      <c r="D498" s="63">
        <f>7.7852 * CHOOSE(CONTROL!$C$22, $C$13, 100%, $E$13)</f>
        <v>7.7851999999999997</v>
      </c>
      <c r="E498" s="64">
        <f>9.0859 * CHOOSE(CONTROL!$C$22, $C$13, 100%, $E$13)</f>
        <v>9.0859000000000005</v>
      </c>
      <c r="F498" s="64">
        <f>9.0859 * CHOOSE(CONTROL!$C$22, $C$13, 100%, $E$13)</f>
        <v>9.0859000000000005</v>
      </c>
      <c r="G498" s="64">
        <f>9.088 * CHOOSE(CONTROL!$C$22, $C$13, 100%, $E$13)</f>
        <v>9.0879999999999992</v>
      </c>
      <c r="H498" s="64">
        <f>15.3693* CHOOSE(CONTROL!$C$22, $C$13, 100%, $E$13)</f>
        <v>15.369300000000001</v>
      </c>
      <c r="I498" s="64">
        <f>15.3714 * CHOOSE(CONTROL!$C$22, $C$13, 100%, $E$13)</f>
        <v>15.3714</v>
      </c>
      <c r="J498" s="64">
        <f>9.0859 * CHOOSE(CONTROL!$C$22, $C$13, 100%, $E$13)</f>
        <v>9.0859000000000005</v>
      </c>
      <c r="K498" s="64">
        <f>9.088 * CHOOSE(CONTROL!$C$22, $C$13, 100%, $E$13)</f>
        <v>9.0879999999999992</v>
      </c>
    </row>
    <row r="499" spans="1:11" ht="15">
      <c r="A499" s="13">
        <v>56827</v>
      </c>
      <c r="B499" s="63">
        <f>7.7573 * CHOOSE(CONTROL!$C$22, $C$13, 100%, $E$13)</f>
        <v>7.7572999999999999</v>
      </c>
      <c r="C499" s="63">
        <f>7.7573 * CHOOSE(CONTROL!$C$22, $C$13, 100%, $E$13)</f>
        <v>7.7572999999999999</v>
      </c>
      <c r="D499" s="63">
        <f>7.7919 * CHOOSE(CONTROL!$C$22, $C$13, 100%, $E$13)</f>
        <v>7.7919</v>
      </c>
      <c r="E499" s="64">
        <f>8.9984 * CHOOSE(CONTROL!$C$22, $C$13, 100%, $E$13)</f>
        <v>8.9984000000000002</v>
      </c>
      <c r="F499" s="64">
        <f>8.9984 * CHOOSE(CONTROL!$C$22, $C$13, 100%, $E$13)</f>
        <v>8.9984000000000002</v>
      </c>
      <c r="G499" s="64">
        <f>9.0005 * CHOOSE(CONTROL!$C$22, $C$13, 100%, $E$13)</f>
        <v>9.0005000000000006</v>
      </c>
      <c r="H499" s="64">
        <f>15.4013* CHOOSE(CONTROL!$C$22, $C$13, 100%, $E$13)</f>
        <v>15.401300000000001</v>
      </c>
      <c r="I499" s="64">
        <f>15.4034 * CHOOSE(CONTROL!$C$22, $C$13, 100%, $E$13)</f>
        <v>15.4034</v>
      </c>
      <c r="J499" s="64">
        <f>8.9984 * CHOOSE(CONTROL!$C$22, $C$13, 100%, $E$13)</f>
        <v>8.9984000000000002</v>
      </c>
      <c r="K499" s="64">
        <f>9.0005 * CHOOSE(CONTROL!$C$22, $C$13, 100%, $E$13)</f>
        <v>9.0005000000000006</v>
      </c>
    </row>
    <row r="500" spans="1:11" ht="15">
      <c r="A500" s="13">
        <v>56858</v>
      </c>
      <c r="B500" s="63">
        <f>7.7542 * CHOOSE(CONTROL!$C$22, $C$13, 100%, $E$13)</f>
        <v>7.7542</v>
      </c>
      <c r="C500" s="63">
        <f>7.7542 * CHOOSE(CONTROL!$C$22, $C$13, 100%, $E$13)</f>
        <v>7.7542</v>
      </c>
      <c r="D500" s="63">
        <f>7.7889 * CHOOSE(CONTROL!$C$22, $C$13, 100%, $E$13)</f>
        <v>7.7888999999999999</v>
      </c>
      <c r="E500" s="64">
        <f>8.986 * CHOOSE(CONTROL!$C$22, $C$13, 100%, $E$13)</f>
        <v>8.9860000000000007</v>
      </c>
      <c r="F500" s="64">
        <f>8.986 * CHOOSE(CONTROL!$C$22, $C$13, 100%, $E$13)</f>
        <v>8.9860000000000007</v>
      </c>
      <c r="G500" s="64">
        <f>8.9881 * CHOOSE(CONTROL!$C$22, $C$13, 100%, $E$13)</f>
        <v>8.9880999999999993</v>
      </c>
      <c r="H500" s="64">
        <f>15.4334* CHOOSE(CONTROL!$C$22, $C$13, 100%, $E$13)</f>
        <v>15.433400000000001</v>
      </c>
      <c r="I500" s="64">
        <f>15.4355 * CHOOSE(CONTROL!$C$22, $C$13, 100%, $E$13)</f>
        <v>15.435499999999999</v>
      </c>
      <c r="J500" s="64">
        <f>8.986 * CHOOSE(CONTROL!$C$22, $C$13, 100%, $E$13)</f>
        <v>8.9860000000000007</v>
      </c>
      <c r="K500" s="64">
        <f>8.9881 * CHOOSE(CONTROL!$C$22, $C$13, 100%, $E$13)</f>
        <v>8.9880999999999993</v>
      </c>
    </row>
    <row r="501" spans="1:11" ht="15">
      <c r="A501" s="13">
        <v>56888</v>
      </c>
      <c r="B501" s="63">
        <f>7.762 * CHOOSE(CONTROL!$C$22, $C$13, 100%, $E$13)</f>
        <v>7.7619999999999996</v>
      </c>
      <c r="C501" s="63">
        <f>7.762 * CHOOSE(CONTROL!$C$22, $C$13, 100%, $E$13)</f>
        <v>7.7619999999999996</v>
      </c>
      <c r="D501" s="63">
        <f>7.7793 * CHOOSE(CONTROL!$C$22, $C$13, 100%, $E$13)</f>
        <v>7.7793000000000001</v>
      </c>
      <c r="E501" s="64">
        <f>9.0135 * CHOOSE(CONTROL!$C$22, $C$13, 100%, $E$13)</f>
        <v>9.0135000000000005</v>
      </c>
      <c r="F501" s="64">
        <f>9.0135 * CHOOSE(CONTROL!$C$22, $C$13, 100%, $E$13)</f>
        <v>9.0135000000000005</v>
      </c>
      <c r="G501" s="64">
        <f>9.0137 * CHOOSE(CONTROL!$C$22, $C$13, 100%, $E$13)</f>
        <v>9.0137</v>
      </c>
      <c r="H501" s="64">
        <f>15.4655* CHOOSE(CONTROL!$C$22, $C$13, 100%, $E$13)</f>
        <v>15.4655</v>
      </c>
      <c r="I501" s="64">
        <f>15.4657 * CHOOSE(CONTROL!$C$22, $C$13, 100%, $E$13)</f>
        <v>15.4657</v>
      </c>
      <c r="J501" s="64">
        <f>9.0135 * CHOOSE(CONTROL!$C$22, $C$13, 100%, $E$13)</f>
        <v>9.0135000000000005</v>
      </c>
      <c r="K501" s="64">
        <f>9.0137 * CHOOSE(CONTROL!$C$22, $C$13, 100%, $E$13)</f>
        <v>9.0137</v>
      </c>
    </row>
    <row r="502" spans="1:11" ht="15">
      <c r="A502" s="13">
        <v>56919</v>
      </c>
      <c r="B502" s="63">
        <f>7.765 * CHOOSE(CONTROL!$C$22, $C$13, 100%, $E$13)</f>
        <v>7.7649999999999997</v>
      </c>
      <c r="C502" s="63">
        <f>7.765 * CHOOSE(CONTROL!$C$22, $C$13, 100%, $E$13)</f>
        <v>7.7649999999999997</v>
      </c>
      <c r="D502" s="63">
        <f>7.7823 * CHOOSE(CONTROL!$C$22, $C$13, 100%, $E$13)</f>
        <v>7.7823000000000002</v>
      </c>
      <c r="E502" s="64">
        <f>9.0361 * CHOOSE(CONTROL!$C$22, $C$13, 100%, $E$13)</f>
        <v>9.0360999999999994</v>
      </c>
      <c r="F502" s="64">
        <f>9.0361 * CHOOSE(CONTROL!$C$22, $C$13, 100%, $E$13)</f>
        <v>9.0360999999999994</v>
      </c>
      <c r="G502" s="64">
        <f>9.0363 * CHOOSE(CONTROL!$C$22, $C$13, 100%, $E$13)</f>
        <v>9.0363000000000007</v>
      </c>
      <c r="H502" s="64">
        <f>15.4977* CHOOSE(CONTROL!$C$22, $C$13, 100%, $E$13)</f>
        <v>15.4977</v>
      </c>
      <c r="I502" s="64">
        <f>15.4979 * CHOOSE(CONTROL!$C$22, $C$13, 100%, $E$13)</f>
        <v>15.4979</v>
      </c>
      <c r="J502" s="64">
        <f>9.0361 * CHOOSE(CONTROL!$C$22, $C$13, 100%, $E$13)</f>
        <v>9.0360999999999994</v>
      </c>
      <c r="K502" s="64">
        <f>9.0363 * CHOOSE(CONTROL!$C$22, $C$13, 100%, $E$13)</f>
        <v>9.0363000000000007</v>
      </c>
    </row>
    <row r="503" spans="1:11" ht="15">
      <c r="A503" s="13">
        <v>56949</v>
      </c>
      <c r="B503" s="63">
        <f>7.765 * CHOOSE(CONTROL!$C$22, $C$13, 100%, $E$13)</f>
        <v>7.7649999999999997</v>
      </c>
      <c r="C503" s="63">
        <f>7.765 * CHOOSE(CONTROL!$C$22, $C$13, 100%, $E$13)</f>
        <v>7.7649999999999997</v>
      </c>
      <c r="D503" s="63">
        <f>7.7823 * CHOOSE(CONTROL!$C$22, $C$13, 100%, $E$13)</f>
        <v>7.7823000000000002</v>
      </c>
      <c r="E503" s="64">
        <f>8.9849 * CHOOSE(CONTROL!$C$22, $C$13, 100%, $E$13)</f>
        <v>8.9848999999999997</v>
      </c>
      <c r="F503" s="64">
        <f>8.9849 * CHOOSE(CONTROL!$C$22, $C$13, 100%, $E$13)</f>
        <v>8.9848999999999997</v>
      </c>
      <c r="G503" s="64">
        <f>8.9851 * CHOOSE(CONTROL!$C$22, $C$13, 100%, $E$13)</f>
        <v>8.9850999999999992</v>
      </c>
      <c r="H503" s="64">
        <f>15.53* CHOOSE(CONTROL!$C$22, $C$13, 100%, $E$13)</f>
        <v>15.53</v>
      </c>
      <c r="I503" s="64">
        <f>15.5302 * CHOOSE(CONTROL!$C$22, $C$13, 100%, $E$13)</f>
        <v>15.530200000000001</v>
      </c>
      <c r="J503" s="64">
        <f>8.9849 * CHOOSE(CONTROL!$C$22, $C$13, 100%, $E$13)</f>
        <v>8.9848999999999997</v>
      </c>
      <c r="K503" s="64">
        <f>8.9851 * CHOOSE(CONTROL!$C$22, $C$13, 100%, $E$13)</f>
        <v>8.9850999999999992</v>
      </c>
    </row>
    <row r="504" spans="1:11" ht="15">
      <c r="A504" s="13">
        <v>56980</v>
      </c>
      <c r="B504" s="63">
        <f>7.8339 * CHOOSE(CONTROL!$C$22, $C$13, 100%, $E$13)</f>
        <v>7.8338999999999999</v>
      </c>
      <c r="C504" s="63">
        <f>7.8339 * CHOOSE(CONTROL!$C$22, $C$13, 100%, $E$13)</f>
        <v>7.8338999999999999</v>
      </c>
      <c r="D504" s="63">
        <f>7.8513 * CHOOSE(CONTROL!$C$22, $C$13, 100%, $E$13)</f>
        <v>7.8513000000000002</v>
      </c>
      <c r="E504" s="64">
        <f>9.1021 * CHOOSE(CONTROL!$C$22, $C$13, 100%, $E$13)</f>
        <v>9.1021000000000001</v>
      </c>
      <c r="F504" s="64">
        <f>9.1021 * CHOOSE(CONTROL!$C$22, $C$13, 100%, $E$13)</f>
        <v>9.1021000000000001</v>
      </c>
      <c r="G504" s="64">
        <f>9.1023 * CHOOSE(CONTROL!$C$22, $C$13, 100%, $E$13)</f>
        <v>9.1022999999999996</v>
      </c>
      <c r="H504" s="64">
        <f>15.5624* CHOOSE(CONTROL!$C$22, $C$13, 100%, $E$13)</f>
        <v>15.5624</v>
      </c>
      <c r="I504" s="64">
        <f>15.5626 * CHOOSE(CONTROL!$C$22, $C$13, 100%, $E$13)</f>
        <v>15.5626</v>
      </c>
      <c r="J504" s="64">
        <f>9.1021 * CHOOSE(CONTROL!$C$22, $C$13, 100%, $E$13)</f>
        <v>9.1021000000000001</v>
      </c>
      <c r="K504" s="64">
        <f>9.1023 * CHOOSE(CONTROL!$C$22, $C$13, 100%, $E$13)</f>
        <v>9.1022999999999996</v>
      </c>
    </row>
    <row r="505" spans="1:11" ht="15">
      <c r="A505" s="13">
        <v>57011</v>
      </c>
      <c r="B505" s="63">
        <f>7.8309 * CHOOSE(CONTROL!$C$22, $C$13, 100%, $E$13)</f>
        <v>7.8308999999999997</v>
      </c>
      <c r="C505" s="63">
        <f>7.8309 * CHOOSE(CONTROL!$C$22, $C$13, 100%, $E$13)</f>
        <v>7.8308999999999997</v>
      </c>
      <c r="D505" s="63">
        <f>7.8482 * CHOOSE(CONTROL!$C$22, $C$13, 100%, $E$13)</f>
        <v>7.8482000000000003</v>
      </c>
      <c r="E505" s="64">
        <f>9.0005 * CHOOSE(CONTROL!$C$22, $C$13, 100%, $E$13)</f>
        <v>9.0005000000000006</v>
      </c>
      <c r="F505" s="64">
        <f>9.0005 * CHOOSE(CONTROL!$C$22, $C$13, 100%, $E$13)</f>
        <v>9.0005000000000006</v>
      </c>
      <c r="G505" s="64">
        <f>9.0007 * CHOOSE(CONTROL!$C$22, $C$13, 100%, $E$13)</f>
        <v>9.0007000000000001</v>
      </c>
      <c r="H505" s="64">
        <f>15.5948* CHOOSE(CONTROL!$C$22, $C$13, 100%, $E$13)</f>
        <v>15.594799999999999</v>
      </c>
      <c r="I505" s="64">
        <f>15.595 * CHOOSE(CONTROL!$C$22, $C$13, 100%, $E$13)</f>
        <v>15.595000000000001</v>
      </c>
      <c r="J505" s="64">
        <f>9.0005 * CHOOSE(CONTROL!$C$22, $C$13, 100%, $E$13)</f>
        <v>9.0005000000000006</v>
      </c>
      <c r="K505" s="64">
        <f>9.0007 * CHOOSE(CONTROL!$C$22, $C$13, 100%, $E$13)</f>
        <v>9.0007000000000001</v>
      </c>
    </row>
    <row r="506" spans="1:11" ht="15">
      <c r="A506" s="13">
        <v>57040</v>
      </c>
      <c r="B506" s="63">
        <f>7.8279 * CHOOSE(CONTROL!$C$22, $C$13, 100%, $E$13)</f>
        <v>7.8278999999999996</v>
      </c>
      <c r="C506" s="63">
        <f>7.8279 * CHOOSE(CONTROL!$C$22, $C$13, 100%, $E$13)</f>
        <v>7.8278999999999996</v>
      </c>
      <c r="D506" s="63">
        <f>7.8452 * CHOOSE(CONTROL!$C$22, $C$13, 100%, $E$13)</f>
        <v>7.8452000000000002</v>
      </c>
      <c r="E506" s="64">
        <f>9.0768 * CHOOSE(CONTROL!$C$22, $C$13, 100%, $E$13)</f>
        <v>9.0768000000000004</v>
      </c>
      <c r="F506" s="64">
        <f>9.0768 * CHOOSE(CONTROL!$C$22, $C$13, 100%, $E$13)</f>
        <v>9.0768000000000004</v>
      </c>
      <c r="G506" s="64">
        <f>9.077 * CHOOSE(CONTROL!$C$22, $C$13, 100%, $E$13)</f>
        <v>9.077</v>
      </c>
      <c r="H506" s="64">
        <f>15.6273* CHOOSE(CONTROL!$C$22, $C$13, 100%, $E$13)</f>
        <v>15.6273</v>
      </c>
      <c r="I506" s="64">
        <f>15.6275 * CHOOSE(CONTROL!$C$22, $C$13, 100%, $E$13)</f>
        <v>15.6275</v>
      </c>
      <c r="J506" s="64">
        <f>9.0768 * CHOOSE(CONTROL!$C$22, $C$13, 100%, $E$13)</f>
        <v>9.0768000000000004</v>
      </c>
      <c r="K506" s="64">
        <f>9.077 * CHOOSE(CONTROL!$C$22, $C$13, 100%, $E$13)</f>
        <v>9.077</v>
      </c>
    </row>
    <row r="507" spans="1:11" ht="15">
      <c r="A507" s="13">
        <v>57071</v>
      </c>
      <c r="B507" s="63">
        <f>7.8289 * CHOOSE(CONTROL!$C$22, $C$13, 100%, $E$13)</f>
        <v>7.8289</v>
      </c>
      <c r="C507" s="63">
        <f>7.8289 * CHOOSE(CONTROL!$C$22, $C$13, 100%, $E$13)</f>
        <v>7.8289</v>
      </c>
      <c r="D507" s="63">
        <f>7.8462 * CHOOSE(CONTROL!$C$22, $C$13, 100%, $E$13)</f>
        <v>7.8461999999999996</v>
      </c>
      <c r="E507" s="64">
        <f>9.1568 * CHOOSE(CONTROL!$C$22, $C$13, 100%, $E$13)</f>
        <v>9.1568000000000005</v>
      </c>
      <c r="F507" s="64">
        <f>9.1568 * CHOOSE(CONTROL!$C$22, $C$13, 100%, $E$13)</f>
        <v>9.1568000000000005</v>
      </c>
      <c r="G507" s="64">
        <f>9.157 * CHOOSE(CONTROL!$C$22, $C$13, 100%, $E$13)</f>
        <v>9.157</v>
      </c>
      <c r="H507" s="64">
        <f>15.6599* CHOOSE(CONTROL!$C$22, $C$13, 100%, $E$13)</f>
        <v>15.6599</v>
      </c>
      <c r="I507" s="64">
        <f>15.66 * CHOOSE(CONTROL!$C$22, $C$13, 100%, $E$13)</f>
        <v>15.66</v>
      </c>
      <c r="J507" s="64">
        <f>9.1568 * CHOOSE(CONTROL!$C$22, $C$13, 100%, $E$13)</f>
        <v>9.1568000000000005</v>
      </c>
      <c r="K507" s="64">
        <f>9.157 * CHOOSE(CONTROL!$C$22, $C$13, 100%, $E$13)</f>
        <v>9.157</v>
      </c>
    </row>
    <row r="508" spans="1:11" ht="15">
      <c r="A508" s="13">
        <v>57101</v>
      </c>
      <c r="B508" s="63">
        <f>7.8289 * CHOOSE(CONTROL!$C$22, $C$13, 100%, $E$13)</f>
        <v>7.8289</v>
      </c>
      <c r="C508" s="63">
        <f>7.8289 * CHOOSE(CONTROL!$C$22, $C$13, 100%, $E$13)</f>
        <v>7.8289</v>
      </c>
      <c r="D508" s="63">
        <f>7.8635 * CHOOSE(CONTROL!$C$22, $C$13, 100%, $E$13)</f>
        <v>7.8635000000000002</v>
      </c>
      <c r="E508" s="64">
        <f>9.1884 * CHOOSE(CONTROL!$C$22, $C$13, 100%, $E$13)</f>
        <v>9.1883999999999997</v>
      </c>
      <c r="F508" s="64">
        <f>9.1884 * CHOOSE(CONTROL!$C$22, $C$13, 100%, $E$13)</f>
        <v>9.1883999999999997</v>
      </c>
      <c r="G508" s="64">
        <f>9.1905 * CHOOSE(CONTROL!$C$22, $C$13, 100%, $E$13)</f>
        <v>9.1905000000000001</v>
      </c>
      <c r="H508" s="64">
        <f>15.6925* CHOOSE(CONTROL!$C$22, $C$13, 100%, $E$13)</f>
        <v>15.692500000000001</v>
      </c>
      <c r="I508" s="64">
        <f>15.6946 * CHOOSE(CONTROL!$C$22, $C$13, 100%, $E$13)</f>
        <v>15.694599999999999</v>
      </c>
      <c r="J508" s="64">
        <f>9.1884 * CHOOSE(CONTROL!$C$22, $C$13, 100%, $E$13)</f>
        <v>9.1883999999999997</v>
      </c>
      <c r="K508" s="64">
        <f>9.1905 * CHOOSE(CONTROL!$C$22, $C$13, 100%, $E$13)</f>
        <v>9.1905000000000001</v>
      </c>
    </row>
    <row r="509" spans="1:11" ht="15">
      <c r="A509" s="13">
        <v>57132</v>
      </c>
      <c r="B509" s="63">
        <f>7.835 * CHOOSE(CONTROL!$C$22, $C$13, 100%, $E$13)</f>
        <v>7.835</v>
      </c>
      <c r="C509" s="63">
        <f>7.835 * CHOOSE(CONTROL!$C$22, $C$13, 100%, $E$13)</f>
        <v>7.835</v>
      </c>
      <c r="D509" s="63">
        <f>7.8696 * CHOOSE(CONTROL!$C$22, $C$13, 100%, $E$13)</f>
        <v>7.8696000000000002</v>
      </c>
      <c r="E509" s="64">
        <f>9.1611 * CHOOSE(CONTROL!$C$22, $C$13, 100%, $E$13)</f>
        <v>9.1610999999999994</v>
      </c>
      <c r="F509" s="64">
        <f>9.1611 * CHOOSE(CONTROL!$C$22, $C$13, 100%, $E$13)</f>
        <v>9.1610999999999994</v>
      </c>
      <c r="G509" s="64">
        <f>9.1632 * CHOOSE(CONTROL!$C$22, $C$13, 100%, $E$13)</f>
        <v>9.1631999999999998</v>
      </c>
      <c r="H509" s="64">
        <f>15.7252* CHOOSE(CONTROL!$C$22, $C$13, 100%, $E$13)</f>
        <v>15.725199999999999</v>
      </c>
      <c r="I509" s="64">
        <f>15.7273 * CHOOSE(CONTROL!$C$22, $C$13, 100%, $E$13)</f>
        <v>15.7273</v>
      </c>
      <c r="J509" s="64">
        <f>9.1611 * CHOOSE(CONTROL!$C$22, $C$13, 100%, $E$13)</f>
        <v>9.1610999999999994</v>
      </c>
      <c r="K509" s="64">
        <f>9.1632 * CHOOSE(CONTROL!$C$22, $C$13, 100%, $E$13)</f>
        <v>9.1631999999999998</v>
      </c>
    </row>
    <row r="510" spans="1:11" ht="15">
      <c r="A510" s="13">
        <v>57162</v>
      </c>
      <c r="B510" s="63">
        <f>7.9622 * CHOOSE(CONTROL!$C$22, $C$13, 100%, $E$13)</f>
        <v>7.9622000000000002</v>
      </c>
      <c r="C510" s="63">
        <f>7.9622 * CHOOSE(CONTROL!$C$22, $C$13, 100%, $E$13)</f>
        <v>7.9622000000000002</v>
      </c>
      <c r="D510" s="63">
        <f>7.9968 * CHOOSE(CONTROL!$C$22, $C$13, 100%, $E$13)</f>
        <v>7.9968000000000004</v>
      </c>
      <c r="E510" s="64">
        <f>9.34 * CHOOSE(CONTROL!$C$22, $C$13, 100%, $E$13)</f>
        <v>9.34</v>
      </c>
      <c r="F510" s="64">
        <f>9.34 * CHOOSE(CONTROL!$C$22, $C$13, 100%, $E$13)</f>
        <v>9.34</v>
      </c>
      <c r="G510" s="64">
        <f>9.3421 * CHOOSE(CONTROL!$C$22, $C$13, 100%, $E$13)</f>
        <v>9.3421000000000003</v>
      </c>
      <c r="H510" s="64">
        <f>15.7579* CHOOSE(CONTROL!$C$22, $C$13, 100%, $E$13)</f>
        <v>15.757899999999999</v>
      </c>
      <c r="I510" s="64">
        <f>15.7601 * CHOOSE(CONTROL!$C$22, $C$13, 100%, $E$13)</f>
        <v>15.7601</v>
      </c>
      <c r="J510" s="64">
        <f>9.34 * CHOOSE(CONTROL!$C$22, $C$13, 100%, $E$13)</f>
        <v>9.34</v>
      </c>
      <c r="K510" s="64">
        <f>9.3421 * CHOOSE(CONTROL!$C$22, $C$13, 100%, $E$13)</f>
        <v>9.3421000000000003</v>
      </c>
    </row>
    <row r="511" spans="1:11" ht="15">
      <c r="A511" s="13">
        <v>57193</v>
      </c>
      <c r="B511" s="63">
        <f>7.9689 * CHOOSE(CONTROL!$C$22, $C$13, 100%, $E$13)</f>
        <v>7.9688999999999997</v>
      </c>
      <c r="C511" s="63">
        <f>7.9689 * CHOOSE(CONTROL!$C$22, $C$13, 100%, $E$13)</f>
        <v>7.9688999999999997</v>
      </c>
      <c r="D511" s="63">
        <f>8.0035 * CHOOSE(CONTROL!$C$22, $C$13, 100%, $E$13)</f>
        <v>8.0035000000000007</v>
      </c>
      <c r="E511" s="64">
        <f>9.2499 * CHOOSE(CONTROL!$C$22, $C$13, 100%, $E$13)</f>
        <v>9.2499000000000002</v>
      </c>
      <c r="F511" s="64">
        <f>9.2499 * CHOOSE(CONTROL!$C$22, $C$13, 100%, $E$13)</f>
        <v>9.2499000000000002</v>
      </c>
      <c r="G511" s="64">
        <f>9.252 * CHOOSE(CONTROL!$C$22, $C$13, 100%, $E$13)</f>
        <v>9.2520000000000007</v>
      </c>
      <c r="H511" s="64">
        <f>15.7908* CHOOSE(CONTROL!$C$22, $C$13, 100%, $E$13)</f>
        <v>15.790800000000001</v>
      </c>
      <c r="I511" s="64">
        <f>15.7929 * CHOOSE(CONTROL!$C$22, $C$13, 100%, $E$13)</f>
        <v>15.792899999999999</v>
      </c>
      <c r="J511" s="64">
        <f>9.2499 * CHOOSE(CONTROL!$C$22, $C$13, 100%, $E$13)</f>
        <v>9.2499000000000002</v>
      </c>
      <c r="K511" s="64">
        <f>9.252 * CHOOSE(CONTROL!$C$22, $C$13, 100%, $E$13)</f>
        <v>9.2520000000000007</v>
      </c>
    </row>
    <row r="512" spans="1:11" ht="15">
      <c r="A512" s="13">
        <v>57224</v>
      </c>
      <c r="B512" s="63">
        <f>7.9658 * CHOOSE(CONTROL!$C$22, $C$13, 100%, $E$13)</f>
        <v>7.9657999999999998</v>
      </c>
      <c r="C512" s="63">
        <f>7.9658 * CHOOSE(CONTROL!$C$22, $C$13, 100%, $E$13)</f>
        <v>7.9657999999999998</v>
      </c>
      <c r="D512" s="63">
        <f>8.0005 * CHOOSE(CONTROL!$C$22, $C$13, 100%, $E$13)</f>
        <v>8.0005000000000006</v>
      </c>
      <c r="E512" s="64">
        <f>9.2372 * CHOOSE(CONTROL!$C$22, $C$13, 100%, $E$13)</f>
        <v>9.2371999999999996</v>
      </c>
      <c r="F512" s="64">
        <f>9.2372 * CHOOSE(CONTROL!$C$22, $C$13, 100%, $E$13)</f>
        <v>9.2371999999999996</v>
      </c>
      <c r="G512" s="64">
        <f>9.2394 * CHOOSE(CONTROL!$C$22, $C$13, 100%, $E$13)</f>
        <v>9.2393999999999998</v>
      </c>
      <c r="H512" s="64">
        <f>15.8237* CHOOSE(CONTROL!$C$22, $C$13, 100%, $E$13)</f>
        <v>15.823700000000001</v>
      </c>
      <c r="I512" s="64">
        <f>15.8258 * CHOOSE(CONTROL!$C$22, $C$13, 100%, $E$13)</f>
        <v>15.825799999999999</v>
      </c>
      <c r="J512" s="64">
        <f>9.2372 * CHOOSE(CONTROL!$C$22, $C$13, 100%, $E$13)</f>
        <v>9.2371999999999996</v>
      </c>
      <c r="K512" s="64">
        <f>9.2394 * CHOOSE(CONTROL!$C$22, $C$13, 100%, $E$13)</f>
        <v>9.2393999999999998</v>
      </c>
    </row>
    <row r="513" spans="1:11" ht="15">
      <c r="A513" s="13">
        <v>57254</v>
      </c>
      <c r="B513" s="63">
        <f>7.9743 * CHOOSE(CONTROL!$C$22, $C$13, 100%, $E$13)</f>
        <v>7.9743000000000004</v>
      </c>
      <c r="C513" s="63">
        <f>7.9743 * CHOOSE(CONTROL!$C$22, $C$13, 100%, $E$13)</f>
        <v>7.9743000000000004</v>
      </c>
      <c r="D513" s="63">
        <f>7.9916 * CHOOSE(CONTROL!$C$22, $C$13, 100%, $E$13)</f>
        <v>7.9916</v>
      </c>
      <c r="E513" s="64">
        <f>9.2659 * CHOOSE(CONTROL!$C$22, $C$13, 100%, $E$13)</f>
        <v>9.2659000000000002</v>
      </c>
      <c r="F513" s="64">
        <f>9.2659 * CHOOSE(CONTROL!$C$22, $C$13, 100%, $E$13)</f>
        <v>9.2659000000000002</v>
      </c>
      <c r="G513" s="64">
        <f>9.2661 * CHOOSE(CONTROL!$C$22, $C$13, 100%, $E$13)</f>
        <v>9.2660999999999998</v>
      </c>
      <c r="H513" s="64">
        <f>15.8566* CHOOSE(CONTROL!$C$22, $C$13, 100%, $E$13)</f>
        <v>15.8566</v>
      </c>
      <c r="I513" s="64">
        <f>15.8568 * CHOOSE(CONTROL!$C$22, $C$13, 100%, $E$13)</f>
        <v>15.8568</v>
      </c>
      <c r="J513" s="64">
        <f>9.2659 * CHOOSE(CONTROL!$C$22, $C$13, 100%, $E$13)</f>
        <v>9.2659000000000002</v>
      </c>
      <c r="K513" s="64">
        <f>9.2661 * CHOOSE(CONTROL!$C$22, $C$13, 100%, $E$13)</f>
        <v>9.2660999999999998</v>
      </c>
    </row>
    <row r="514" spans="1:11" ht="15">
      <c r="A514" s="13">
        <v>57285</v>
      </c>
      <c r="B514" s="63">
        <f>7.9773 * CHOOSE(CONTROL!$C$22, $C$13, 100%, $E$13)</f>
        <v>7.9772999999999996</v>
      </c>
      <c r="C514" s="63">
        <f>7.9773 * CHOOSE(CONTROL!$C$22, $C$13, 100%, $E$13)</f>
        <v>7.9772999999999996</v>
      </c>
      <c r="D514" s="63">
        <f>7.9947 * CHOOSE(CONTROL!$C$22, $C$13, 100%, $E$13)</f>
        <v>7.9946999999999999</v>
      </c>
      <c r="E514" s="64">
        <f>9.2891 * CHOOSE(CONTROL!$C$22, $C$13, 100%, $E$13)</f>
        <v>9.2890999999999995</v>
      </c>
      <c r="F514" s="64">
        <f>9.2891 * CHOOSE(CONTROL!$C$22, $C$13, 100%, $E$13)</f>
        <v>9.2890999999999995</v>
      </c>
      <c r="G514" s="64">
        <f>9.2893 * CHOOSE(CONTROL!$C$22, $C$13, 100%, $E$13)</f>
        <v>9.2893000000000008</v>
      </c>
      <c r="H514" s="64">
        <f>15.8897* CHOOSE(CONTROL!$C$22, $C$13, 100%, $E$13)</f>
        <v>15.889699999999999</v>
      </c>
      <c r="I514" s="64">
        <f>15.8898 * CHOOSE(CONTROL!$C$22, $C$13, 100%, $E$13)</f>
        <v>15.889799999999999</v>
      </c>
      <c r="J514" s="64">
        <f>9.2891 * CHOOSE(CONTROL!$C$22, $C$13, 100%, $E$13)</f>
        <v>9.2890999999999995</v>
      </c>
      <c r="K514" s="64">
        <f>9.2893 * CHOOSE(CONTROL!$C$22, $C$13, 100%, $E$13)</f>
        <v>9.2893000000000008</v>
      </c>
    </row>
    <row r="515" spans="1:11" ht="15">
      <c r="A515" s="13">
        <v>57315</v>
      </c>
      <c r="B515" s="63">
        <f>7.9773 * CHOOSE(CONTROL!$C$22, $C$13, 100%, $E$13)</f>
        <v>7.9772999999999996</v>
      </c>
      <c r="C515" s="63">
        <f>7.9773 * CHOOSE(CONTROL!$C$22, $C$13, 100%, $E$13)</f>
        <v>7.9772999999999996</v>
      </c>
      <c r="D515" s="63">
        <f>7.9947 * CHOOSE(CONTROL!$C$22, $C$13, 100%, $E$13)</f>
        <v>7.9946999999999999</v>
      </c>
      <c r="E515" s="64">
        <f>9.2365 * CHOOSE(CONTROL!$C$22, $C$13, 100%, $E$13)</f>
        <v>9.2364999999999995</v>
      </c>
      <c r="F515" s="64">
        <f>9.2365 * CHOOSE(CONTROL!$C$22, $C$13, 100%, $E$13)</f>
        <v>9.2364999999999995</v>
      </c>
      <c r="G515" s="64">
        <f>9.2366 * CHOOSE(CONTROL!$C$22, $C$13, 100%, $E$13)</f>
        <v>9.2365999999999993</v>
      </c>
      <c r="H515" s="64">
        <f>15.9228* CHOOSE(CONTROL!$C$22, $C$13, 100%, $E$13)</f>
        <v>15.922800000000001</v>
      </c>
      <c r="I515" s="64">
        <f>15.9229 * CHOOSE(CONTROL!$C$22, $C$13, 100%, $E$13)</f>
        <v>15.9229</v>
      </c>
      <c r="J515" s="64">
        <f>9.2365 * CHOOSE(CONTROL!$C$22, $C$13, 100%, $E$13)</f>
        <v>9.2364999999999995</v>
      </c>
      <c r="K515" s="64">
        <f>9.2366 * CHOOSE(CONTROL!$C$22, $C$13, 100%, $E$13)</f>
        <v>9.2365999999999993</v>
      </c>
    </row>
    <row r="516" spans="1:11" ht="15">
      <c r="A516" s="13">
        <v>57346</v>
      </c>
      <c r="B516" s="63">
        <f>8.048 * CHOOSE(CONTROL!$C$22, $C$13, 100%, $E$13)</f>
        <v>8.048</v>
      </c>
      <c r="C516" s="63">
        <f>8.048 * CHOOSE(CONTROL!$C$22, $C$13, 100%, $E$13)</f>
        <v>8.048</v>
      </c>
      <c r="D516" s="63">
        <f>8.0654 * CHOOSE(CONTROL!$C$22, $C$13, 100%, $E$13)</f>
        <v>8.0654000000000003</v>
      </c>
      <c r="E516" s="64">
        <f>9.3568 * CHOOSE(CONTROL!$C$22, $C$13, 100%, $E$13)</f>
        <v>9.3567999999999998</v>
      </c>
      <c r="F516" s="64">
        <f>9.3568 * CHOOSE(CONTROL!$C$22, $C$13, 100%, $E$13)</f>
        <v>9.3567999999999998</v>
      </c>
      <c r="G516" s="64">
        <f>9.357 * CHOOSE(CONTROL!$C$22, $C$13, 100%, $E$13)</f>
        <v>9.3569999999999993</v>
      </c>
      <c r="H516" s="64">
        <f>15.9559* CHOOSE(CONTROL!$C$22, $C$13, 100%, $E$13)</f>
        <v>15.9559</v>
      </c>
      <c r="I516" s="64">
        <f>15.9561 * CHOOSE(CONTROL!$C$22, $C$13, 100%, $E$13)</f>
        <v>15.956099999999999</v>
      </c>
      <c r="J516" s="64">
        <f>9.3568 * CHOOSE(CONTROL!$C$22, $C$13, 100%, $E$13)</f>
        <v>9.3567999999999998</v>
      </c>
      <c r="K516" s="64">
        <f>9.357 * CHOOSE(CONTROL!$C$22, $C$13, 100%, $E$13)</f>
        <v>9.3569999999999993</v>
      </c>
    </row>
    <row r="517" spans="1:11" ht="15">
      <c r="A517" s="13">
        <v>57377</v>
      </c>
      <c r="B517" s="63">
        <f>8.045 * CHOOSE(CONTROL!$C$22, $C$13, 100%, $E$13)</f>
        <v>8.0449999999999999</v>
      </c>
      <c r="C517" s="63">
        <f>8.045 * CHOOSE(CONTROL!$C$22, $C$13, 100%, $E$13)</f>
        <v>8.0449999999999999</v>
      </c>
      <c r="D517" s="63">
        <f>8.0623 * CHOOSE(CONTROL!$C$22, $C$13, 100%, $E$13)</f>
        <v>8.0623000000000005</v>
      </c>
      <c r="E517" s="64">
        <f>9.2525 * CHOOSE(CONTROL!$C$22, $C$13, 100%, $E$13)</f>
        <v>9.2524999999999995</v>
      </c>
      <c r="F517" s="64">
        <f>9.2525 * CHOOSE(CONTROL!$C$22, $C$13, 100%, $E$13)</f>
        <v>9.2524999999999995</v>
      </c>
      <c r="G517" s="64">
        <f>9.2526 * CHOOSE(CONTROL!$C$22, $C$13, 100%, $E$13)</f>
        <v>9.2525999999999993</v>
      </c>
      <c r="H517" s="64">
        <f>15.9892* CHOOSE(CONTROL!$C$22, $C$13, 100%, $E$13)</f>
        <v>15.9892</v>
      </c>
      <c r="I517" s="64">
        <f>15.9894 * CHOOSE(CONTROL!$C$22, $C$13, 100%, $E$13)</f>
        <v>15.9894</v>
      </c>
      <c r="J517" s="64">
        <f>9.2525 * CHOOSE(CONTROL!$C$22, $C$13, 100%, $E$13)</f>
        <v>9.2524999999999995</v>
      </c>
      <c r="K517" s="64">
        <f>9.2526 * CHOOSE(CONTROL!$C$22, $C$13, 100%, $E$13)</f>
        <v>9.2525999999999993</v>
      </c>
    </row>
    <row r="518" spans="1:11" ht="15">
      <c r="A518" s="13">
        <v>57405</v>
      </c>
      <c r="B518" s="63">
        <f>8.0419 * CHOOSE(CONTROL!$C$22, $C$13, 100%, $E$13)</f>
        <v>8.0419</v>
      </c>
      <c r="C518" s="63">
        <f>8.0419 * CHOOSE(CONTROL!$C$22, $C$13, 100%, $E$13)</f>
        <v>8.0419</v>
      </c>
      <c r="D518" s="63">
        <f>8.0593 * CHOOSE(CONTROL!$C$22, $C$13, 100%, $E$13)</f>
        <v>8.0593000000000004</v>
      </c>
      <c r="E518" s="64">
        <f>9.331 * CHOOSE(CONTROL!$C$22, $C$13, 100%, $E$13)</f>
        <v>9.3309999999999995</v>
      </c>
      <c r="F518" s="64">
        <f>9.331 * CHOOSE(CONTROL!$C$22, $C$13, 100%, $E$13)</f>
        <v>9.3309999999999995</v>
      </c>
      <c r="G518" s="64">
        <f>9.3311 * CHOOSE(CONTROL!$C$22, $C$13, 100%, $E$13)</f>
        <v>9.3310999999999993</v>
      </c>
      <c r="H518" s="64">
        <f>16.0225* CHOOSE(CONTROL!$C$22, $C$13, 100%, $E$13)</f>
        <v>16.022500000000001</v>
      </c>
      <c r="I518" s="64">
        <f>16.0227 * CHOOSE(CONTROL!$C$22, $C$13, 100%, $E$13)</f>
        <v>16.0227</v>
      </c>
      <c r="J518" s="64">
        <f>9.331 * CHOOSE(CONTROL!$C$22, $C$13, 100%, $E$13)</f>
        <v>9.3309999999999995</v>
      </c>
      <c r="K518" s="64">
        <f>9.3311 * CHOOSE(CONTROL!$C$22, $C$13, 100%, $E$13)</f>
        <v>9.3310999999999993</v>
      </c>
    </row>
    <row r="519" spans="1:11" ht="15">
      <c r="A519" s="13">
        <v>57436</v>
      </c>
      <c r="B519" s="63">
        <f>8.0431 * CHOOSE(CONTROL!$C$22, $C$13, 100%, $E$13)</f>
        <v>8.0431000000000008</v>
      </c>
      <c r="C519" s="63">
        <f>8.0431 * CHOOSE(CONTROL!$C$22, $C$13, 100%, $E$13)</f>
        <v>8.0431000000000008</v>
      </c>
      <c r="D519" s="63">
        <f>8.0605 * CHOOSE(CONTROL!$C$22, $C$13, 100%, $E$13)</f>
        <v>8.0604999999999993</v>
      </c>
      <c r="E519" s="64">
        <f>9.4133 * CHOOSE(CONTROL!$C$22, $C$13, 100%, $E$13)</f>
        <v>9.4132999999999996</v>
      </c>
      <c r="F519" s="64">
        <f>9.4133 * CHOOSE(CONTROL!$C$22, $C$13, 100%, $E$13)</f>
        <v>9.4132999999999996</v>
      </c>
      <c r="G519" s="64">
        <f>9.4135 * CHOOSE(CONTROL!$C$22, $C$13, 100%, $E$13)</f>
        <v>9.4135000000000009</v>
      </c>
      <c r="H519" s="64">
        <f>16.0559* CHOOSE(CONTROL!$C$22, $C$13, 100%, $E$13)</f>
        <v>16.055900000000001</v>
      </c>
      <c r="I519" s="64">
        <f>16.056 * CHOOSE(CONTROL!$C$22, $C$13, 100%, $E$13)</f>
        <v>16.056000000000001</v>
      </c>
      <c r="J519" s="64">
        <f>9.4133 * CHOOSE(CONTROL!$C$22, $C$13, 100%, $E$13)</f>
        <v>9.4132999999999996</v>
      </c>
      <c r="K519" s="64">
        <f>9.4135 * CHOOSE(CONTROL!$C$22, $C$13, 100%, $E$13)</f>
        <v>9.4135000000000009</v>
      </c>
    </row>
    <row r="520" spans="1:11" ht="15">
      <c r="A520" s="13">
        <v>57466</v>
      </c>
      <c r="B520" s="63">
        <f>8.0431 * CHOOSE(CONTROL!$C$22, $C$13, 100%, $E$13)</f>
        <v>8.0431000000000008</v>
      </c>
      <c r="C520" s="63">
        <f>8.0431 * CHOOSE(CONTROL!$C$22, $C$13, 100%, $E$13)</f>
        <v>8.0431000000000008</v>
      </c>
      <c r="D520" s="63">
        <f>8.0778 * CHOOSE(CONTROL!$C$22, $C$13, 100%, $E$13)</f>
        <v>8.0777999999999999</v>
      </c>
      <c r="E520" s="64">
        <f>9.4458 * CHOOSE(CONTROL!$C$22, $C$13, 100%, $E$13)</f>
        <v>9.4458000000000002</v>
      </c>
      <c r="F520" s="64">
        <f>9.4458 * CHOOSE(CONTROL!$C$22, $C$13, 100%, $E$13)</f>
        <v>9.4458000000000002</v>
      </c>
      <c r="G520" s="64">
        <f>9.4479 * CHOOSE(CONTROL!$C$22, $C$13, 100%, $E$13)</f>
        <v>9.4479000000000006</v>
      </c>
      <c r="H520" s="64">
        <f>16.0893* CHOOSE(CONTROL!$C$22, $C$13, 100%, $E$13)</f>
        <v>16.089300000000001</v>
      </c>
      <c r="I520" s="64">
        <f>16.0915 * CHOOSE(CONTROL!$C$22, $C$13, 100%, $E$13)</f>
        <v>16.0915</v>
      </c>
      <c r="J520" s="64">
        <f>9.4458 * CHOOSE(CONTROL!$C$22, $C$13, 100%, $E$13)</f>
        <v>9.4458000000000002</v>
      </c>
      <c r="K520" s="64">
        <f>9.4479 * CHOOSE(CONTROL!$C$22, $C$13, 100%, $E$13)</f>
        <v>9.4479000000000006</v>
      </c>
    </row>
    <row r="521" spans="1:11" ht="15">
      <c r="A521" s="13">
        <v>57497</v>
      </c>
      <c r="B521" s="63">
        <f>8.0492 * CHOOSE(CONTROL!$C$22, $C$13, 100%, $E$13)</f>
        <v>8.0492000000000008</v>
      </c>
      <c r="C521" s="63">
        <f>8.0492 * CHOOSE(CONTROL!$C$22, $C$13, 100%, $E$13)</f>
        <v>8.0492000000000008</v>
      </c>
      <c r="D521" s="63">
        <f>8.0839 * CHOOSE(CONTROL!$C$22, $C$13, 100%, $E$13)</f>
        <v>8.0838999999999999</v>
      </c>
      <c r="E521" s="64">
        <f>9.4175 * CHOOSE(CONTROL!$C$22, $C$13, 100%, $E$13)</f>
        <v>9.4175000000000004</v>
      </c>
      <c r="F521" s="64">
        <f>9.4175 * CHOOSE(CONTROL!$C$22, $C$13, 100%, $E$13)</f>
        <v>9.4175000000000004</v>
      </c>
      <c r="G521" s="64">
        <f>9.4197 * CHOOSE(CONTROL!$C$22, $C$13, 100%, $E$13)</f>
        <v>9.4197000000000006</v>
      </c>
      <c r="H521" s="64">
        <f>16.1228* CHOOSE(CONTROL!$C$22, $C$13, 100%, $E$13)</f>
        <v>16.122800000000002</v>
      </c>
      <c r="I521" s="64">
        <f>16.125 * CHOOSE(CONTROL!$C$22, $C$13, 100%, $E$13)</f>
        <v>16.125</v>
      </c>
      <c r="J521" s="64">
        <f>9.4175 * CHOOSE(CONTROL!$C$22, $C$13, 100%, $E$13)</f>
        <v>9.4175000000000004</v>
      </c>
      <c r="K521" s="64">
        <f>9.4197 * CHOOSE(CONTROL!$C$22, $C$13, 100%, $E$13)</f>
        <v>9.4197000000000006</v>
      </c>
    </row>
    <row r="522" spans="1:11" ht="15">
      <c r="A522" s="13">
        <v>57527</v>
      </c>
      <c r="B522" s="63">
        <f>8.1797 * CHOOSE(CONTROL!$C$22, $C$13, 100%, $E$13)</f>
        <v>8.1797000000000004</v>
      </c>
      <c r="C522" s="63">
        <f>8.1797 * CHOOSE(CONTROL!$C$22, $C$13, 100%, $E$13)</f>
        <v>8.1797000000000004</v>
      </c>
      <c r="D522" s="63">
        <f>8.2143 * CHOOSE(CONTROL!$C$22, $C$13, 100%, $E$13)</f>
        <v>8.2142999999999997</v>
      </c>
      <c r="E522" s="64">
        <f>9.6012 * CHOOSE(CONTROL!$C$22, $C$13, 100%, $E$13)</f>
        <v>9.6012000000000004</v>
      </c>
      <c r="F522" s="64">
        <f>9.6012 * CHOOSE(CONTROL!$C$22, $C$13, 100%, $E$13)</f>
        <v>9.6012000000000004</v>
      </c>
      <c r="G522" s="64">
        <f>9.6033 * CHOOSE(CONTROL!$C$22, $C$13, 100%, $E$13)</f>
        <v>9.6033000000000008</v>
      </c>
      <c r="H522" s="64">
        <f>16.1564* CHOOSE(CONTROL!$C$22, $C$13, 100%, $E$13)</f>
        <v>16.156400000000001</v>
      </c>
      <c r="I522" s="64">
        <f>16.1586 * CHOOSE(CONTROL!$C$22, $C$13, 100%, $E$13)</f>
        <v>16.1586</v>
      </c>
      <c r="J522" s="64">
        <f>9.6012 * CHOOSE(CONTROL!$C$22, $C$13, 100%, $E$13)</f>
        <v>9.6012000000000004</v>
      </c>
      <c r="K522" s="64">
        <f>9.6033 * CHOOSE(CONTROL!$C$22, $C$13, 100%, $E$13)</f>
        <v>9.6033000000000008</v>
      </c>
    </row>
    <row r="523" spans="1:11" ht="15">
      <c r="A523" s="13">
        <v>57558</v>
      </c>
      <c r="B523" s="63">
        <f>8.1863 * CHOOSE(CONTROL!$C$22, $C$13, 100%, $E$13)</f>
        <v>8.1862999999999992</v>
      </c>
      <c r="C523" s="63">
        <f>8.1863 * CHOOSE(CONTROL!$C$22, $C$13, 100%, $E$13)</f>
        <v>8.1862999999999992</v>
      </c>
      <c r="D523" s="63">
        <f>8.221 * CHOOSE(CONTROL!$C$22, $C$13, 100%, $E$13)</f>
        <v>8.2210000000000001</v>
      </c>
      <c r="E523" s="64">
        <f>9.5085 * CHOOSE(CONTROL!$C$22, $C$13, 100%, $E$13)</f>
        <v>9.5084999999999997</v>
      </c>
      <c r="F523" s="64">
        <f>9.5085 * CHOOSE(CONTROL!$C$22, $C$13, 100%, $E$13)</f>
        <v>9.5084999999999997</v>
      </c>
      <c r="G523" s="64">
        <f>9.5106 * CHOOSE(CONTROL!$C$22, $C$13, 100%, $E$13)</f>
        <v>9.5106000000000002</v>
      </c>
      <c r="H523" s="64">
        <f>16.1901* CHOOSE(CONTROL!$C$22, $C$13, 100%, $E$13)</f>
        <v>16.190100000000001</v>
      </c>
      <c r="I523" s="64">
        <f>16.1922 * CHOOSE(CONTROL!$C$22, $C$13, 100%, $E$13)</f>
        <v>16.1922</v>
      </c>
      <c r="J523" s="64">
        <f>9.5085 * CHOOSE(CONTROL!$C$22, $C$13, 100%, $E$13)</f>
        <v>9.5084999999999997</v>
      </c>
      <c r="K523" s="64">
        <f>9.5106 * CHOOSE(CONTROL!$C$22, $C$13, 100%, $E$13)</f>
        <v>9.5106000000000002</v>
      </c>
    </row>
    <row r="524" spans="1:11" ht="15">
      <c r="A524" s="13">
        <v>57589</v>
      </c>
      <c r="B524" s="63">
        <f>8.1833 * CHOOSE(CONTROL!$C$22, $C$13, 100%, $E$13)</f>
        <v>8.1832999999999991</v>
      </c>
      <c r="C524" s="63">
        <f>8.1833 * CHOOSE(CONTROL!$C$22, $C$13, 100%, $E$13)</f>
        <v>8.1832999999999991</v>
      </c>
      <c r="D524" s="63">
        <f>8.218 * CHOOSE(CONTROL!$C$22, $C$13, 100%, $E$13)</f>
        <v>8.218</v>
      </c>
      <c r="E524" s="64">
        <f>9.4955 * CHOOSE(CONTROL!$C$22, $C$13, 100%, $E$13)</f>
        <v>9.4954999999999998</v>
      </c>
      <c r="F524" s="64">
        <f>9.4955 * CHOOSE(CONTROL!$C$22, $C$13, 100%, $E$13)</f>
        <v>9.4954999999999998</v>
      </c>
      <c r="G524" s="64">
        <f>9.4977 * CHOOSE(CONTROL!$C$22, $C$13, 100%, $E$13)</f>
        <v>9.4977</v>
      </c>
      <c r="H524" s="64">
        <f>16.2238* CHOOSE(CONTROL!$C$22, $C$13, 100%, $E$13)</f>
        <v>16.223800000000001</v>
      </c>
      <c r="I524" s="64">
        <f>16.226 * CHOOSE(CONTROL!$C$22, $C$13, 100%, $E$13)</f>
        <v>16.225999999999999</v>
      </c>
      <c r="J524" s="64">
        <f>9.4955 * CHOOSE(CONTROL!$C$22, $C$13, 100%, $E$13)</f>
        <v>9.4954999999999998</v>
      </c>
      <c r="K524" s="64">
        <f>9.4977 * CHOOSE(CONTROL!$C$22, $C$13, 100%, $E$13)</f>
        <v>9.4977</v>
      </c>
    </row>
    <row r="525" spans="1:11" ht="15">
      <c r="A525" s="13">
        <v>57619</v>
      </c>
      <c r="B525" s="63">
        <f>8.1925 * CHOOSE(CONTROL!$C$22, $C$13, 100%, $E$13)</f>
        <v>8.1925000000000008</v>
      </c>
      <c r="C525" s="63">
        <f>8.1925 * CHOOSE(CONTROL!$C$22, $C$13, 100%, $E$13)</f>
        <v>8.1925000000000008</v>
      </c>
      <c r="D525" s="63">
        <f>8.2098 * CHOOSE(CONTROL!$C$22, $C$13, 100%, $E$13)</f>
        <v>8.2097999999999995</v>
      </c>
      <c r="E525" s="64">
        <f>9.5254 * CHOOSE(CONTROL!$C$22, $C$13, 100%, $E$13)</f>
        <v>9.5253999999999994</v>
      </c>
      <c r="F525" s="64">
        <f>9.5254 * CHOOSE(CONTROL!$C$22, $C$13, 100%, $E$13)</f>
        <v>9.5253999999999994</v>
      </c>
      <c r="G525" s="64">
        <f>9.5256 * CHOOSE(CONTROL!$C$22, $C$13, 100%, $E$13)</f>
        <v>9.5256000000000007</v>
      </c>
      <c r="H525" s="64">
        <f>16.2576* CHOOSE(CONTROL!$C$22, $C$13, 100%, $E$13)</f>
        <v>16.2576</v>
      </c>
      <c r="I525" s="64">
        <f>16.2578 * CHOOSE(CONTROL!$C$22, $C$13, 100%, $E$13)</f>
        <v>16.2578</v>
      </c>
      <c r="J525" s="64">
        <f>9.5254 * CHOOSE(CONTROL!$C$22, $C$13, 100%, $E$13)</f>
        <v>9.5253999999999994</v>
      </c>
      <c r="K525" s="64">
        <f>9.5256 * CHOOSE(CONTROL!$C$22, $C$13, 100%, $E$13)</f>
        <v>9.5256000000000007</v>
      </c>
    </row>
    <row r="526" spans="1:11" ht="15">
      <c r="A526" s="13">
        <v>57650</v>
      </c>
      <c r="B526" s="63">
        <f>8.1955 * CHOOSE(CONTROL!$C$22, $C$13, 100%, $E$13)</f>
        <v>8.1954999999999991</v>
      </c>
      <c r="C526" s="63">
        <f>8.1955 * CHOOSE(CONTROL!$C$22, $C$13, 100%, $E$13)</f>
        <v>8.1954999999999991</v>
      </c>
      <c r="D526" s="63">
        <f>8.2128 * CHOOSE(CONTROL!$C$22, $C$13, 100%, $E$13)</f>
        <v>8.2127999999999997</v>
      </c>
      <c r="E526" s="64">
        <f>9.5491 * CHOOSE(CONTROL!$C$22, $C$13, 100%, $E$13)</f>
        <v>9.5490999999999993</v>
      </c>
      <c r="F526" s="64">
        <f>9.5491 * CHOOSE(CONTROL!$C$22, $C$13, 100%, $E$13)</f>
        <v>9.5490999999999993</v>
      </c>
      <c r="G526" s="64">
        <f>9.5493 * CHOOSE(CONTROL!$C$22, $C$13, 100%, $E$13)</f>
        <v>9.5493000000000006</v>
      </c>
      <c r="H526" s="64">
        <f>16.2915* CHOOSE(CONTROL!$C$22, $C$13, 100%, $E$13)</f>
        <v>16.291499999999999</v>
      </c>
      <c r="I526" s="64">
        <f>16.2917 * CHOOSE(CONTROL!$C$22, $C$13, 100%, $E$13)</f>
        <v>16.291699999999999</v>
      </c>
      <c r="J526" s="64">
        <f>9.5491 * CHOOSE(CONTROL!$C$22, $C$13, 100%, $E$13)</f>
        <v>9.5490999999999993</v>
      </c>
      <c r="K526" s="64">
        <f>9.5493 * CHOOSE(CONTROL!$C$22, $C$13, 100%, $E$13)</f>
        <v>9.5493000000000006</v>
      </c>
    </row>
    <row r="527" spans="1:11" ht="15">
      <c r="A527" s="13">
        <v>57680</v>
      </c>
      <c r="B527" s="63">
        <f>8.1955 * CHOOSE(CONTROL!$C$22, $C$13, 100%, $E$13)</f>
        <v>8.1954999999999991</v>
      </c>
      <c r="C527" s="63">
        <f>8.1955 * CHOOSE(CONTROL!$C$22, $C$13, 100%, $E$13)</f>
        <v>8.1954999999999991</v>
      </c>
      <c r="D527" s="63">
        <f>8.2128 * CHOOSE(CONTROL!$C$22, $C$13, 100%, $E$13)</f>
        <v>8.2127999999999997</v>
      </c>
      <c r="E527" s="64">
        <f>9.495 * CHOOSE(CONTROL!$C$22, $C$13, 100%, $E$13)</f>
        <v>9.4949999999999992</v>
      </c>
      <c r="F527" s="64">
        <f>9.495 * CHOOSE(CONTROL!$C$22, $C$13, 100%, $E$13)</f>
        <v>9.4949999999999992</v>
      </c>
      <c r="G527" s="64">
        <f>9.4952 * CHOOSE(CONTROL!$C$22, $C$13, 100%, $E$13)</f>
        <v>9.4952000000000005</v>
      </c>
      <c r="H527" s="64">
        <f>16.3254* CHOOSE(CONTROL!$C$22, $C$13, 100%, $E$13)</f>
        <v>16.325399999999998</v>
      </c>
      <c r="I527" s="64">
        <f>16.3256 * CHOOSE(CONTROL!$C$22, $C$13, 100%, $E$13)</f>
        <v>16.325600000000001</v>
      </c>
      <c r="J527" s="64">
        <f>9.495 * CHOOSE(CONTROL!$C$22, $C$13, 100%, $E$13)</f>
        <v>9.4949999999999992</v>
      </c>
      <c r="K527" s="64">
        <f>9.4952 * CHOOSE(CONTROL!$C$22, $C$13, 100%, $E$13)</f>
        <v>9.4952000000000005</v>
      </c>
    </row>
    <row r="528" spans="1:11" ht="15">
      <c r="A528" s="13">
        <v>57711</v>
      </c>
      <c r="B528" s="63">
        <f>8.268 * CHOOSE(CONTROL!$C$22, $C$13, 100%, $E$13)</f>
        <v>8.2680000000000007</v>
      </c>
      <c r="C528" s="63">
        <f>8.268 * CHOOSE(CONTROL!$C$22, $C$13, 100%, $E$13)</f>
        <v>8.2680000000000007</v>
      </c>
      <c r="D528" s="63">
        <f>8.2853 * CHOOSE(CONTROL!$C$22, $C$13, 100%, $E$13)</f>
        <v>8.2852999999999994</v>
      </c>
      <c r="E528" s="64">
        <f>9.6187 * CHOOSE(CONTROL!$C$22, $C$13, 100%, $E$13)</f>
        <v>9.6187000000000005</v>
      </c>
      <c r="F528" s="64">
        <f>9.6187 * CHOOSE(CONTROL!$C$22, $C$13, 100%, $E$13)</f>
        <v>9.6187000000000005</v>
      </c>
      <c r="G528" s="64">
        <f>9.6189 * CHOOSE(CONTROL!$C$22, $C$13, 100%, $E$13)</f>
        <v>9.6189</v>
      </c>
      <c r="H528" s="64">
        <f>16.3594* CHOOSE(CONTROL!$C$22, $C$13, 100%, $E$13)</f>
        <v>16.359400000000001</v>
      </c>
      <c r="I528" s="64">
        <f>16.3596 * CHOOSE(CONTROL!$C$22, $C$13, 100%, $E$13)</f>
        <v>16.3596</v>
      </c>
      <c r="J528" s="64">
        <f>9.6187 * CHOOSE(CONTROL!$C$22, $C$13, 100%, $E$13)</f>
        <v>9.6187000000000005</v>
      </c>
      <c r="K528" s="64">
        <f>9.6189 * CHOOSE(CONTROL!$C$22, $C$13, 100%, $E$13)</f>
        <v>9.6189</v>
      </c>
    </row>
    <row r="529" spans="1:11" ht="15">
      <c r="A529" s="13">
        <v>57742</v>
      </c>
      <c r="B529" s="63">
        <f>8.265 * CHOOSE(CONTROL!$C$22, $C$13, 100%, $E$13)</f>
        <v>8.2650000000000006</v>
      </c>
      <c r="C529" s="63">
        <f>8.265 * CHOOSE(CONTROL!$C$22, $C$13, 100%, $E$13)</f>
        <v>8.2650000000000006</v>
      </c>
      <c r="D529" s="63">
        <f>8.2823 * CHOOSE(CONTROL!$C$22, $C$13, 100%, $E$13)</f>
        <v>8.2822999999999993</v>
      </c>
      <c r="E529" s="64">
        <f>9.5114 * CHOOSE(CONTROL!$C$22, $C$13, 100%, $E$13)</f>
        <v>9.5114000000000001</v>
      </c>
      <c r="F529" s="64">
        <f>9.5114 * CHOOSE(CONTROL!$C$22, $C$13, 100%, $E$13)</f>
        <v>9.5114000000000001</v>
      </c>
      <c r="G529" s="64">
        <f>9.5116 * CHOOSE(CONTROL!$C$22, $C$13, 100%, $E$13)</f>
        <v>9.5115999999999996</v>
      </c>
      <c r="H529" s="64">
        <f>16.3935* CHOOSE(CONTROL!$C$22, $C$13, 100%, $E$13)</f>
        <v>16.3935</v>
      </c>
      <c r="I529" s="64">
        <f>16.3937 * CHOOSE(CONTROL!$C$22, $C$13, 100%, $E$13)</f>
        <v>16.393699999999999</v>
      </c>
      <c r="J529" s="64">
        <f>9.5114 * CHOOSE(CONTROL!$C$22, $C$13, 100%, $E$13)</f>
        <v>9.5114000000000001</v>
      </c>
      <c r="K529" s="64">
        <f>9.5116 * CHOOSE(CONTROL!$C$22, $C$13, 100%, $E$13)</f>
        <v>9.5115999999999996</v>
      </c>
    </row>
    <row r="530" spans="1:11" ht="15">
      <c r="A530" s="13">
        <v>57770</v>
      </c>
      <c r="B530" s="63">
        <f>8.2619 * CHOOSE(CONTROL!$C$22, $C$13, 100%, $E$13)</f>
        <v>8.2619000000000007</v>
      </c>
      <c r="C530" s="63">
        <f>8.2619 * CHOOSE(CONTROL!$C$22, $C$13, 100%, $E$13)</f>
        <v>8.2619000000000007</v>
      </c>
      <c r="D530" s="63">
        <f>8.2793 * CHOOSE(CONTROL!$C$22, $C$13, 100%, $E$13)</f>
        <v>8.2792999999999992</v>
      </c>
      <c r="E530" s="64">
        <f>9.5922 * CHOOSE(CONTROL!$C$22, $C$13, 100%, $E$13)</f>
        <v>9.5922000000000001</v>
      </c>
      <c r="F530" s="64">
        <f>9.5922 * CHOOSE(CONTROL!$C$22, $C$13, 100%, $E$13)</f>
        <v>9.5922000000000001</v>
      </c>
      <c r="G530" s="64">
        <f>9.5924 * CHOOSE(CONTROL!$C$22, $C$13, 100%, $E$13)</f>
        <v>9.5923999999999996</v>
      </c>
      <c r="H530" s="64">
        <f>16.4277* CHOOSE(CONTROL!$C$22, $C$13, 100%, $E$13)</f>
        <v>16.427700000000002</v>
      </c>
      <c r="I530" s="64">
        <f>16.4278 * CHOOSE(CONTROL!$C$22, $C$13, 100%, $E$13)</f>
        <v>16.427800000000001</v>
      </c>
      <c r="J530" s="64">
        <f>9.5922 * CHOOSE(CONTROL!$C$22, $C$13, 100%, $E$13)</f>
        <v>9.5922000000000001</v>
      </c>
      <c r="K530" s="64">
        <f>9.5924 * CHOOSE(CONTROL!$C$22, $C$13, 100%, $E$13)</f>
        <v>9.5923999999999996</v>
      </c>
    </row>
    <row r="531" spans="1:11" ht="15">
      <c r="A531" s="13">
        <v>57801</v>
      </c>
      <c r="B531" s="63">
        <f>8.2633 * CHOOSE(CONTROL!$C$22, $C$13, 100%, $E$13)</f>
        <v>8.2632999999999992</v>
      </c>
      <c r="C531" s="63">
        <f>8.2633 * CHOOSE(CONTROL!$C$22, $C$13, 100%, $E$13)</f>
        <v>8.2632999999999992</v>
      </c>
      <c r="D531" s="63">
        <f>8.2806 * CHOOSE(CONTROL!$C$22, $C$13, 100%, $E$13)</f>
        <v>8.2805999999999997</v>
      </c>
      <c r="E531" s="64">
        <f>9.677 * CHOOSE(CONTROL!$C$22, $C$13, 100%, $E$13)</f>
        <v>9.6769999999999996</v>
      </c>
      <c r="F531" s="64">
        <f>9.677 * CHOOSE(CONTROL!$C$22, $C$13, 100%, $E$13)</f>
        <v>9.6769999999999996</v>
      </c>
      <c r="G531" s="64">
        <f>9.6771 * CHOOSE(CONTROL!$C$22, $C$13, 100%, $E$13)</f>
        <v>9.6770999999999994</v>
      </c>
      <c r="H531" s="64">
        <f>16.4619* CHOOSE(CONTROL!$C$22, $C$13, 100%, $E$13)</f>
        <v>16.4619</v>
      </c>
      <c r="I531" s="64">
        <f>16.4621 * CHOOSE(CONTROL!$C$22, $C$13, 100%, $E$13)</f>
        <v>16.4621</v>
      </c>
      <c r="J531" s="64">
        <f>9.677 * CHOOSE(CONTROL!$C$22, $C$13, 100%, $E$13)</f>
        <v>9.6769999999999996</v>
      </c>
      <c r="K531" s="64">
        <f>9.6771 * CHOOSE(CONTROL!$C$22, $C$13, 100%, $E$13)</f>
        <v>9.6770999999999994</v>
      </c>
    </row>
    <row r="532" spans="1:11" ht="15">
      <c r="A532" s="13">
        <v>57831</v>
      </c>
      <c r="B532" s="63">
        <f>8.2633 * CHOOSE(CONTROL!$C$22, $C$13, 100%, $E$13)</f>
        <v>8.2632999999999992</v>
      </c>
      <c r="C532" s="63">
        <f>8.2633 * CHOOSE(CONTROL!$C$22, $C$13, 100%, $E$13)</f>
        <v>8.2632999999999992</v>
      </c>
      <c r="D532" s="63">
        <f>8.298 * CHOOSE(CONTROL!$C$22, $C$13, 100%, $E$13)</f>
        <v>8.298</v>
      </c>
      <c r="E532" s="64">
        <f>9.7103 * CHOOSE(CONTROL!$C$22, $C$13, 100%, $E$13)</f>
        <v>9.7103000000000002</v>
      </c>
      <c r="F532" s="64">
        <f>9.7103 * CHOOSE(CONTROL!$C$22, $C$13, 100%, $E$13)</f>
        <v>9.7103000000000002</v>
      </c>
      <c r="G532" s="64">
        <f>9.7125 * CHOOSE(CONTROL!$C$22, $C$13, 100%, $E$13)</f>
        <v>9.7125000000000004</v>
      </c>
      <c r="H532" s="64">
        <f>16.4962* CHOOSE(CONTROL!$C$22, $C$13, 100%, $E$13)</f>
        <v>16.496200000000002</v>
      </c>
      <c r="I532" s="64">
        <f>16.4983 * CHOOSE(CONTROL!$C$22, $C$13, 100%, $E$13)</f>
        <v>16.4983</v>
      </c>
      <c r="J532" s="64">
        <f>9.7103 * CHOOSE(CONTROL!$C$22, $C$13, 100%, $E$13)</f>
        <v>9.7103000000000002</v>
      </c>
      <c r="K532" s="64">
        <f>9.7125 * CHOOSE(CONTROL!$C$22, $C$13, 100%, $E$13)</f>
        <v>9.7125000000000004</v>
      </c>
    </row>
    <row r="533" spans="1:11" ht="15">
      <c r="A533" s="13">
        <v>57862</v>
      </c>
      <c r="B533" s="63">
        <f>8.2694 * CHOOSE(CONTROL!$C$22, $C$13, 100%, $E$13)</f>
        <v>8.2693999999999992</v>
      </c>
      <c r="C533" s="63">
        <f>8.2694 * CHOOSE(CONTROL!$C$22, $C$13, 100%, $E$13)</f>
        <v>8.2693999999999992</v>
      </c>
      <c r="D533" s="63">
        <f>8.3041 * CHOOSE(CONTROL!$C$22, $C$13, 100%, $E$13)</f>
        <v>8.3041</v>
      </c>
      <c r="E533" s="64">
        <f>9.6812 * CHOOSE(CONTROL!$C$22, $C$13, 100%, $E$13)</f>
        <v>9.6812000000000005</v>
      </c>
      <c r="F533" s="64">
        <f>9.6812 * CHOOSE(CONTROL!$C$22, $C$13, 100%, $E$13)</f>
        <v>9.6812000000000005</v>
      </c>
      <c r="G533" s="64">
        <f>9.6834 * CHOOSE(CONTROL!$C$22, $C$13, 100%, $E$13)</f>
        <v>9.6834000000000007</v>
      </c>
      <c r="H533" s="64">
        <f>16.5306* CHOOSE(CONTROL!$C$22, $C$13, 100%, $E$13)</f>
        <v>16.5306</v>
      </c>
      <c r="I533" s="64">
        <f>16.5327 * CHOOSE(CONTROL!$C$22, $C$13, 100%, $E$13)</f>
        <v>16.532699999999998</v>
      </c>
      <c r="J533" s="64">
        <f>9.6812 * CHOOSE(CONTROL!$C$22, $C$13, 100%, $E$13)</f>
        <v>9.6812000000000005</v>
      </c>
      <c r="K533" s="64">
        <f>9.6834 * CHOOSE(CONTROL!$C$22, $C$13, 100%, $E$13)</f>
        <v>9.6834000000000007</v>
      </c>
    </row>
    <row r="534" spans="1:11" ht="15">
      <c r="A534" s="13">
        <v>57892</v>
      </c>
      <c r="B534" s="63">
        <f>8.4031 * CHOOSE(CONTROL!$C$22, $C$13, 100%, $E$13)</f>
        <v>8.4031000000000002</v>
      </c>
      <c r="C534" s="63">
        <f>8.4031 * CHOOSE(CONTROL!$C$22, $C$13, 100%, $E$13)</f>
        <v>8.4031000000000002</v>
      </c>
      <c r="D534" s="63">
        <f>8.4378 * CHOOSE(CONTROL!$C$22, $C$13, 100%, $E$13)</f>
        <v>8.4377999999999993</v>
      </c>
      <c r="E534" s="64">
        <f>9.8697 * CHOOSE(CONTROL!$C$22, $C$13, 100%, $E$13)</f>
        <v>9.8696999999999999</v>
      </c>
      <c r="F534" s="64">
        <f>9.8697 * CHOOSE(CONTROL!$C$22, $C$13, 100%, $E$13)</f>
        <v>9.8696999999999999</v>
      </c>
      <c r="G534" s="64">
        <f>9.8719 * CHOOSE(CONTROL!$C$22, $C$13, 100%, $E$13)</f>
        <v>9.8719000000000001</v>
      </c>
      <c r="H534" s="64">
        <f>16.565* CHOOSE(CONTROL!$C$22, $C$13, 100%, $E$13)</f>
        <v>16.565000000000001</v>
      </c>
      <c r="I534" s="64">
        <f>16.5671 * CHOOSE(CONTROL!$C$22, $C$13, 100%, $E$13)</f>
        <v>16.5671</v>
      </c>
      <c r="J534" s="64">
        <f>9.8697 * CHOOSE(CONTROL!$C$22, $C$13, 100%, $E$13)</f>
        <v>9.8696999999999999</v>
      </c>
      <c r="K534" s="64">
        <f>9.8719 * CHOOSE(CONTROL!$C$22, $C$13, 100%, $E$13)</f>
        <v>9.8719000000000001</v>
      </c>
    </row>
    <row r="535" spans="1:11" ht="15">
      <c r="A535" s="13">
        <v>57923</v>
      </c>
      <c r="B535" s="63">
        <f>8.4098 * CHOOSE(CONTROL!$C$22, $C$13, 100%, $E$13)</f>
        <v>8.4098000000000006</v>
      </c>
      <c r="C535" s="63">
        <f>8.4098 * CHOOSE(CONTROL!$C$22, $C$13, 100%, $E$13)</f>
        <v>8.4098000000000006</v>
      </c>
      <c r="D535" s="63">
        <f>8.4445 * CHOOSE(CONTROL!$C$22, $C$13, 100%, $E$13)</f>
        <v>8.4444999999999997</v>
      </c>
      <c r="E535" s="64">
        <f>9.7743 * CHOOSE(CONTROL!$C$22, $C$13, 100%, $E$13)</f>
        <v>9.7743000000000002</v>
      </c>
      <c r="F535" s="64">
        <f>9.7743 * CHOOSE(CONTROL!$C$22, $C$13, 100%, $E$13)</f>
        <v>9.7743000000000002</v>
      </c>
      <c r="G535" s="64">
        <f>9.7764 * CHOOSE(CONTROL!$C$22, $C$13, 100%, $E$13)</f>
        <v>9.7764000000000006</v>
      </c>
      <c r="H535" s="64">
        <f>16.5995* CHOOSE(CONTROL!$C$22, $C$13, 100%, $E$13)</f>
        <v>16.599499999999999</v>
      </c>
      <c r="I535" s="64">
        <f>16.6017 * CHOOSE(CONTROL!$C$22, $C$13, 100%, $E$13)</f>
        <v>16.601700000000001</v>
      </c>
      <c r="J535" s="64">
        <f>9.7743 * CHOOSE(CONTROL!$C$22, $C$13, 100%, $E$13)</f>
        <v>9.7743000000000002</v>
      </c>
      <c r="K535" s="64">
        <f>9.7764 * CHOOSE(CONTROL!$C$22, $C$13, 100%, $E$13)</f>
        <v>9.7764000000000006</v>
      </c>
    </row>
    <row r="536" spans="1:11" ht="15">
      <c r="A536" s="13">
        <v>57954</v>
      </c>
      <c r="B536" s="63">
        <f>8.4068 * CHOOSE(CONTROL!$C$22, $C$13, 100%, $E$13)</f>
        <v>8.4068000000000005</v>
      </c>
      <c r="C536" s="63">
        <f>8.4068 * CHOOSE(CONTROL!$C$22, $C$13, 100%, $E$13)</f>
        <v>8.4068000000000005</v>
      </c>
      <c r="D536" s="63">
        <f>8.4414 * CHOOSE(CONTROL!$C$22, $C$13, 100%, $E$13)</f>
        <v>8.4413999999999998</v>
      </c>
      <c r="E536" s="64">
        <f>9.761 * CHOOSE(CONTROL!$C$22, $C$13, 100%, $E$13)</f>
        <v>9.7609999999999992</v>
      </c>
      <c r="F536" s="64">
        <f>9.761 * CHOOSE(CONTROL!$C$22, $C$13, 100%, $E$13)</f>
        <v>9.7609999999999992</v>
      </c>
      <c r="G536" s="64">
        <f>9.7632 * CHOOSE(CONTROL!$C$22, $C$13, 100%, $E$13)</f>
        <v>9.7631999999999994</v>
      </c>
      <c r="H536" s="64">
        <f>16.6341* CHOOSE(CONTROL!$C$22, $C$13, 100%, $E$13)</f>
        <v>16.6341</v>
      </c>
      <c r="I536" s="64">
        <f>16.6362 * CHOOSE(CONTROL!$C$22, $C$13, 100%, $E$13)</f>
        <v>16.636199999999999</v>
      </c>
      <c r="J536" s="64">
        <f>9.761 * CHOOSE(CONTROL!$C$22, $C$13, 100%, $E$13)</f>
        <v>9.7609999999999992</v>
      </c>
      <c r="K536" s="64">
        <f>9.7632 * CHOOSE(CONTROL!$C$22, $C$13, 100%, $E$13)</f>
        <v>9.7631999999999994</v>
      </c>
    </row>
    <row r="537" spans="1:11" ht="15">
      <c r="A537" s="13">
        <v>57984</v>
      </c>
      <c r="B537" s="63">
        <f>8.4167 * CHOOSE(CONTROL!$C$22, $C$13, 100%, $E$13)</f>
        <v>8.4167000000000005</v>
      </c>
      <c r="C537" s="63">
        <f>8.4167 * CHOOSE(CONTROL!$C$22, $C$13, 100%, $E$13)</f>
        <v>8.4167000000000005</v>
      </c>
      <c r="D537" s="63">
        <f>8.434 * CHOOSE(CONTROL!$C$22, $C$13, 100%, $E$13)</f>
        <v>8.4339999999999993</v>
      </c>
      <c r="E537" s="64">
        <f>9.7921 * CHOOSE(CONTROL!$C$22, $C$13, 100%, $E$13)</f>
        <v>9.7920999999999996</v>
      </c>
      <c r="F537" s="64">
        <f>9.7921 * CHOOSE(CONTROL!$C$22, $C$13, 100%, $E$13)</f>
        <v>9.7920999999999996</v>
      </c>
      <c r="G537" s="64">
        <f>9.7923 * CHOOSE(CONTROL!$C$22, $C$13, 100%, $E$13)</f>
        <v>9.7922999999999991</v>
      </c>
      <c r="H537" s="64">
        <f>16.6687* CHOOSE(CONTROL!$C$22, $C$13, 100%, $E$13)</f>
        <v>16.668700000000001</v>
      </c>
      <c r="I537" s="64">
        <f>16.6689 * CHOOSE(CONTROL!$C$22, $C$13, 100%, $E$13)</f>
        <v>16.668900000000001</v>
      </c>
      <c r="J537" s="64">
        <f>9.7921 * CHOOSE(CONTROL!$C$22, $C$13, 100%, $E$13)</f>
        <v>9.7920999999999996</v>
      </c>
      <c r="K537" s="64">
        <f>9.7923 * CHOOSE(CONTROL!$C$22, $C$13, 100%, $E$13)</f>
        <v>9.7922999999999991</v>
      </c>
    </row>
    <row r="538" spans="1:11" ht="15">
      <c r="A538" s="13">
        <v>58015</v>
      </c>
      <c r="B538" s="63">
        <f>8.4197 * CHOOSE(CONTROL!$C$22, $C$13, 100%, $E$13)</f>
        <v>8.4197000000000006</v>
      </c>
      <c r="C538" s="63">
        <f>8.4197 * CHOOSE(CONTROL!$C$22, $C$13, 100%, $E$13)</f>
        <v>8.4197000000000006</v>
      </c>
      <c r="D538" s="63">
        <f>8.437 * CHOOSE(CONTROL!$C$22, $C$13, 100%, $E$13)</f>
        <v>8.4369999999999994</v>
      </c>
      <c r="E538" s="64">
        <f>9.8165 * CHOOSE(CONTROL!$C$22, $C$13, 100%, $E$13)</f>
        <v>9.8164999999999996</v>
      </c>
      <c r="F538" s="64">
        <f>9.8165 * CHOOSE(CONTROL!$C$22, $C$13, 100%, $E$13)</f>
        <v>9.8164999999999996</v>
      </c>
      <c r="G538" s="64">
        <f>9.8166 * CHOOSE(CONTROL!$C$22, $C$13, 100%, $E$13)</f>
        <v>9.8165999999999993</v>
      </c>
      <c r="H538" s="64">
        <f>16.7035* CHOOSE(CONTROL!$C$22, $C$13, 100%, $E$13)</f>
        <v>16.703499999999998</v>
      </c>
      <c r="I538" s="64">
        <f>16.7036 * CHOOSE(CONTROL!$C$22, $C$13, 100%, $E$13)</f>
        <v>16.703600000000002</v>
      </c>
      <c r="J538" s="64">
        <f>9.8165 * CHOOSE(CONTROL!$C$22, $C$13, 100%, $E$13)</f>
        <v>9.8164999999999996</v>
      </c>
      <c r="K538" s="64">
        <f>9.8166 * CHOOSE(CONTROL!$C$22, $C$13, 100%, $E$13)</f>
        <v>9.8165999999999993</v>
      </c>
    </row>
    <row r="539" spans="1:11" ht="15">
      <c r="A539" s="13">
        <v>58045</v>
      </c>
      <c r="B539" s="63">
        <f>8.4197 * CHOOSE(CONTROL!$C$22, $C$13, 100%, $E$13)</f>
        <v>8.4197000000000006</v>
      </c>
      <c r="C539" s="63">
        <f>8.4197 * CHOOSE(CONTROL!$C$22, $C$13, 100%, $E$13)</f>
        <v>8.4197000000000006</v>
      </c>
      <c r="D539" s="63">
        <f>8.437 * CHOOSE(CONTROL!$C$22, $C$13, 100%, $E$13)</f>
        <v>8.4369999999999994</v>
      </c>
      <c r="E539" s="64">
        <f>9.7608 * CHOOSE(CONTROL!$C$22, $C$13, 100%, $E$13)</f>
        <v>9.7607999999999997</v>
      </c>
      <c r="F539" s="64">
        <f>9.7608 * CHOOSE(CONTROL!$C$22, $C$13, 100%, $E$13)</f>
        <v>9.7607999999999997</v>
      </c>
      <c r="G539" s="64">
        <f>9.761 * CHOOSE(CONTROL!$C$22, $C$13, 100%, $E$13)</f>
        <v>9.7609999999999992</v>
      </c>
      <c r="H539" s="64">
        <f>16.7383* CHOOSE(CONTROL!$C$22, $C$13, 100%, $E$13)</f>
        <v>16.738299999999999</v>
      </c>
      <c r="I539" s="64">
        <f>16.7384 * CHOOSE(CONTROL!$C$22, $C$13, 100%, $E$13)</f>
        <v>16.738399999999999</v>
      </c>
      <c r="J539" s="64">
        <f>9.7608 * CHOOSE(CONTROL!$C$22, $C$13, 100%, $E$13)</f>
        <v>9.7607999999999997</v>
      </c>
      <c r="K539" s="64">
        <f>9.761 * CHOOSE(CONTROL!$C$22, $C$13, 100%, $E$13)</f>
        <v>9.7609999999999992</v>
      </c>
    </row>
    <row r="540" spans="1:11" ht="15">
      <c r="A540" s="13">
        <v>58076</v>
      </c>
      <c r="B540" s="63">
        <f>8.4941 * CHOOSE(CONTROL!$C$22, $C$13, 100%, $E$13)</f>
        <v>8.4940999999999995</v>
      </c>
      <c r="C540" s="63">
        <f>8.4941 * CHOOSE(CONTROL!$C$22, $C$13, 100%, $E$13)</f>
        <v>8.4940999999999995</v>
      </c>
      <c r="D540" s="63">
        <f>8.5114 * CHOOSE(CONTROL!$C$22, $C$13, 100%, $E$13)</f>
        <v>8.5114000000000001</v>
      </c>
      <c r="E540" s="64">
        <f>9.8879 * CHOOSE(CONTROL!$C$22, $C$13, 100%, $E$13)</f>
        <v>9.8879000000000001</v>
      </c>
      <c r="F540" s="64">
        <f>9.8879 * CHOOSE(CONTROL!$C$22, $C$13, 100%, $E$13)</f>
        <v>9.8879000000000001</v>
      </c>
      <c r="G540" s="64">
        <f>9.888 * CHOOSE(CONTROL!$C$22, $C$13, 100%, $E$13)</f>
        <v>9.8879999999999999</v>
      </c>
      <c r="H540" s="64">
        <f>16.7731* CHOOSE(CONTROL!$C$22, $C$13, 100%, $E$13)</f>
        <v>16.773099999999999</v>
      </c>
      <c r="I540" s="64">
        <f>16.7733 * CHOOSE(CONTROL!$C$22, $C$13, 100%, $E$13)</f>
        <v>16.773299999999999</v>
      </c>
      <c r="J540" s="64">
        <f>9.8879 * CHOOSE(CONTROL!$C$22, $C$13, 100%, $E$13)</f>
        <v>9.8879000000000001</v>
      </c>
      <c r="K540" s="64">
        <f>9.888 * CHOOSE(CONTROL!$C$22, $C$13, 100%, $E$13)</f>
        <v>9.8879999999999999</v>
      </c>
    </row>
    <row r="541" spans="1:11" ht="15">
      <c r="A541" s="13">
        <v>58107</v>
      </c>
      <c r="B541" s="63">
        <f>8.491 * CHOOSE(CONTROL!$C$22, $C$13, 100%, $E$13)</f>
        <v>8.4909999999999997</v>
      </c>
      <c r="C541" s="63">
        <f>8.491 * CHOOSE(CONTROL!$C$22, $C$13, 100%, $E$13)</f>
        <v>8.4909999999999997</v>
      </c>
      <c r="D541" s="63">
        <f>8.5084 * CHOOSE(CONTROL!$C$22, $C$13, 100%, $E$13)</f>
        <v>8.5084</v>
      </c>
      <c r="E541" s="64">
        <f>9.7777 * CHOOSE(CONTROL!$C$22, $C$13, 100%, $E$13)</f>
        <v>9.7776999999999994</v>
      </c>
      <c r="F541" s="64">
        <f>9.7777 * CHOOSE(CONTROL!$C$22, $C$13, 100%, $E$13)</f>
        <v>9.7776999999999994</v>
      </c>
      <c r="G541" s="64">
        <f>9.7778 * CHOOSE(CONTROL!$C$22, $C$13, 100%, $E$13)</f>
        <v>9.7777999999999992</v>
      </c>
      <c r="H541" s="64">
        <f>16.8081* CHOOSE(CONTROL!$C$22, $C$13, 100%, $E$13)</f>
        <v>16.8081</v>
      </c>
      <c r="I541" s="64">
        <f>16.8083 * CHOOSE(CONTROL!$C$22, $C$13, 100%, $E$13)</f>
        <v>16.808299999999999</v>
      </c>
      <c r="J541" s="64">
        <f>9.7777 * CHOOSE(CONTROL!$C$22, $C$13, 100%, $E$13)</f>
        <v>9.7776999999999994</v>
      </c>
      <c r="K541" s="64">
        <f>9.7778 * CHOOSE(CONTROL!$C$22, $C$13, 100%, $E$13)</f>
        <v>9.7777999999999992</v>
      </c>
    </row>
    <row r="542" spans="1:11" ht="15">
      <c r="A542" s="13">
        <v>58135</v>
      </c>
      <c r="B542" s="63">
        <f>8.488 * CHOOSE(CONTROL!$C$22, $C$13, 100%, $E$13)</f>
        <v>8.4879999999999995</v>
      </c>
      <c r="C542" s="63">
        <f>8.488 * CHOOSE(CONTROL!$C$22, $C$13, 100%, $E$13)</f>
        <v>8.4879999999999995</v>
      </c>
      <c r="D542" s="63">
        <f>8.5053 * CHOOSE(CONTROL!$C$22, $C$13, 100%, $E$13)</f>
        <v>8.5053000000000001</v>
      </c>
      <c r="E542" s="64">
        <f>9.8608 * CHOOSE(CONTROL!$C$22, $C$13, 100%, $E$13)</f>
        <v>9.8607999999999993</v>
      </c>
      <c r="F542" s="64">
        <f>9.8608 * CHOOSE(CONTROL!$C$22, $C$13, 100%, $E$13)</f>
        <v>9.8607999999999993</v>
      </c>
      <c r="G542" s="64">
        <f>9.8609 * CHOOSE(CONTROL!$C$22, $C$13, 100%, $E$13)</f>
        <v>9.8609000000000009</v>
      </c>
      <c r="H542" s="64">
        <f>16.8431* CHOOSE(CONTROL!$C$22, $C$13, 100%, $E$13)</f>
        <v>16.8431</v>
      </c>
      <c r="I542" s="64">
        <f>16.8433 * CHOOSE(CONTROL!$C$22, $C$13, 100%, $E$13)</f>
        <v>16.843299999999999</v>
      </c>
      <c r="J542" s="64">
        <f>9.8608 * CHOOSE(CONTROL!$C$22, $C$13, 100%, $E$13)</f>
        <v>9.8607999999999993</v>
      </c>
      <c r="K542" s="64">
        <f>9.8609 * CHOOSE(CONTROL!$C$22, $C$13, 100%, $E$13)</f>
        <v>9.8609000000000009</v>
      </c>
    </row>
    <row r="543" spans="1:11" ht="15">
      <c r="A543" s="13">
        <v>58166</v>
      </c>
      <c r="B543" s="63">
        <f>8.4896 * CHOOSE(CONTROL!$C$22, $C$13, 100%, $E$13)</f>
        <v>8.4895999999999994</v>
      </c>
      <c r="C543" s="63">
        <f>8.4896 * CHOOSE(CONTROL!$C$22, $C$13, 100%, $E$13)</f>
        <v>8.4895999999999994</v>
      </c>
      <c r="D543" s="63">
        <f>8.5069 * CHOOSE(CONTROL!$C$22, $C$13, 100%, $E$13)</f>
        <v>8.5068999999999999</v>
      </c>
      <c r="E543" s="64">
        <f>9.948 * CHOOSE(CONTROL!$C$22, $C$13, 100%, $E$13)</f>
        <v>9.9480000000000004</v>
      </c>
      <c r="F543" s="64">
        <f>9.948 * CHOOSE(CONTROL!$C$22, $C$13, 100%, $E$13)</f>
        <v>9.9480000000000004</v>
      </c>
      <c r="G543" s="64">
        <f>9.9482 * CHOOSE(CONTROL!$C$22, $C$13, 100%, $E$13)</f>
        <v>9.9481999999999999</v>
      </c>
      <c r="H543" s="64">
        <f>16.8782* CHOOSE(CONTROL!$C$22, $C$13, 100%, $E$13)</f>
        <v>16.8782</v>
      </c>
      <c r="I543" s="64">
        <f>16.8784 * CHOOSE(CONTROL!$C$22, $C$13, 100%, $E$13)</f>
        <v>16.878399999999999</v>
      </c>
      <c r="J543" s="64">
        <f>9.948 * CHOOSE(CONTROL!$C$22, $C$13, 100%, $E$13)</f>
        <v>9.9480000000000004</v>
      </c>
      <c r="K543" s="64">
        <f>9.9482 * CHOOSE(CONTROL!$C$22, $C$13, 100%, $E$13)</f>
        <v>9.9481999999999999</v>
      </c>
    </row>
    <row r="544" spans="1:11" ht="15">
      <c r="A544" s="13">
        <v>58196</v>
      </c>
      <c r="B544" s="63">
        <f>8.4896 * CHOOSE(CONTROL!$C$22, $C$13, 100%, $E$13)</f>
        <v>8.4895999999999994</v>
      </c>
      <c r="C544" s="63">
        <f>8.4896 * CHOOSE(CONTROL!$C$22, $C$13, 100%, $E$13)</f>
        <v>8.4895999999999994</v>
      </c>
      <c r="D544" s="63">
        <f>8.5242 * CHOOSE(CONTROL!$C$22, $C$13, 100%, $E$13)</f>
        <v>8.5242000000000004</v>
      </c>
      <c r="E544" s="64">
        <f>9.9823 * CHOOSE(CONTROL!$C$22, $C$13, 100%, $E$13)</f>
        <v>9.9823000000000004</v>
      </c>
      <c r="F544" s="64">
        <f>9.9823 * CHOOSE(CONTROL!$C$22, $C$13, 100%, $E$13)</f>
        <v>9.9823000000000004</v>
      </c>
      <c r="G544" s="64">
        <f>9.9845 * CHOOSE(CONTROL!$C$22, $C$13, 100%, $E$13)</f>
        <v>9.9845000000000006</v>
      </c>
      <c r="H544" s="64">
        <f>16.9134* CHOOSE(CONTROL!$C$22, $C$13, 100%, $E$13)</f>
        <v>16.913399999999999</v>
      </c>
      <c r="I544" s="64">
        <f>16.9155 * CHOOSE(CONTROL!$C$22, $C$13, 100%, $E$13)</f>
        <v>16.915500000000002</v>
      </c>
      <c r="J544" s="64">
        <f>9.9823 * CHOOSE(CONTROL!$C$22, $C$13, 100%, $E$13)</f>
        <v>9.9823000000000004</v>
      </c>
      <c r="K544" s="64">
        <f>9.9845 * CHOOSE(CONTROL!$C$22, $C$13, 100%, $E$13)</f>
        <v>9.9845000000000006</v>
      </c>
    </row>
    <row r="545" spans="1:11" ht="15">
      <c r="A545" s="13">
        <v>58227</v>
      </c>
      <c r="B545" s="63">
        <f>8.4957 * CHOOSE(CONTROL!$C$22, $C$13, 100%, $E$13)</f>
        <v>8.4956999999999994</v>
      </c>
      <c r="C545" s="63">
        <f>8.4957 * CHOOSE(CONTROL!$C$22, $C$13, 100%, $E$13)</f>
        <v>8.4956999999999994</v>
      </c>
      <c r="D545" s="63">
        <f>8.5303 * CHOOSE(CONTROL!$C$22, $C$13, 100%, $E$13)</f>
        <v>8.5303000000000004</v>
      </c>
      <c r="E545" s="64">
        <f>9.9523 * CHOOSE(CONTROL!$C$22, $C$13, 100%, $E$13)</f>
        <v>9.9522999999999993</v>
      </c>
      <c r="F545" s="64">
        <f>9.9523 * CHOOSE(CONTROL!$C$22, $C$13, 100%, $E$13)</f>
        <v>9.9522999999999993</v>
      </c>
      <c r="G545" s="64">
        <f>9.9544 * CHOOSE(CONTROL!$C$22, $C$13, 100%, $E$13)</f>
        <v>9.9543999999999997</v>
      </c>
      <c r="H545" s="64">
        <f>16.9486* CHOOSE(CONTROL!$C$22, $C$13, 100%, $E$13)</f>
        <v>16.948599999999999</v>
      </c>
      <c r="I545" s="64">
        <f>16.9507 * CHOOSE(CONTROL!$C$22, $C$13, 100%, $E$13)</f>
        <v>16.950700000000001</v>
      </c>
      <c r="J545" s="64">
        <f>9.9523 * CHOOSE(CONTROL!$C$22, $C$13, 100%, $E$13)</f>
        <v>9.9522999999999993</v>
      </c>
      <c r="K545" s="64">
        <f>9.9544 * CHOOSE(CONTROL!$C$22, $C$13, 100%, $E$13)</f>
        <v>9.9543999999999997</v>
      </c>
    </row>
    <row r="546" spans="1:11" ht="15">
      <c r="A546" s="13">
        <v>58257</v>
      </c>
      <c r="B546" s="63">
        <f>8.6328 * CHOOSE(CONTROL!$C$22, $C$13, 100%, $E$13)</f>
        <v>8.6327999999999996</v>
      </c>
      <c r="C546" s="63">
        <f>8.6328 * CHOOSE(CONTROL!$C$22, $C$13, 100%, $E$13)</f>
        <v>8.6327999999999996</v>
      </c>
      <c r="D546" s="63">
        <f>8.6674 * CHOOSE(CONTROL!$C$22, $C$13, 100%, $E$13)</f>
        <v>8.6674000000000007</v>
      </c>
      <c r="E546" s="64">
        <f>10.1458 * CHOOSE(CONTROL!$C$22, $C$13, 100%, $E$13)</f>
        <v>10.145799999999999</v>
      </c>
      <c r="F546" s="64">
        <f>10.1458 * CHOOSE(CONTROL!$C$22, $C$13, 100%, $E$13)</f>
        <v>10.145799999999999</v>
      </c>
      <c r="G546" s="64">
        <f>10.1479 * CHOOSE(CONTROL!$C$22, $C$13, 100%, $E$13)</f>
        <v>10.1479</v>
      </c>
      <c r="H546" s="64">
        <f>16.9839* CHOOSE(CONTROL!$C$22, $C$13, 100%, $E$13)</f>
        <v>16.983899999999998</v>
      </c>
      <c r="I546" s="64">
        <f>16.986 * CHOOSE(CONTROL!$C$22, $C$13, 100%, $E$13)</f>
        <v>16.986000000000001</v>
      </c>
      <c r="J546" s="64">
        <f>10.1458 * CHOOSE(CONTROL!$C$22, $C$13, 100%, $E$13)</f>
        <v>10.145799999999999</v>
      </c>
      <c r="K546" s="64">
        <f>10.1479 * CHOOSE(CONTROL!$C$22, $C$13, 100%, $E$13)</f>
        <v>10.1479</v>
      </c>
    </row>
    <row r="547" spans="1:11" ht="15">
      <c r="A547" s="13">
        <v>58288</v>
      </c>
      <c r="B547" s="63">
        <f>8.6395 * CHOOSE(CONTROL!$C$22, $C$13, 100%, $E$13)</f>
        <v>8.6395</v>
      </c>
      <c r="C547" s="63">
        <f>8.6395 * CHOOSE(CONTROL!$C$22, $C$13, 100%, $E$13)</f>
        <v>8.6395</v>
      </c>
      <c r="D547" s="63">
        <f>8.6741 * CHOOSE(CONTROL!$C$22, $C$13, 100%, $E$13)</f>
        <v>8.6740999999999993</v>
      </c>
      <c r="E547" s="64">
        <f>10.0475 * CHOOSE(CONTROL!$C$22, $C$13, 100%, $E$13)</f>
        <v>10.047499999999999</v>
      </c>
      <c r="F547" s="64">
        <f>10.0475 * CHOOSE(CONTROL!$C$22, $C$13, 100%, $E$13)</f>
        <v>10.047499999999999</v>
      </c>
      <c r="G547" s="64">
        <f>10.0496 * CHOOSE(CONTROL!$C$22, $C$13, 100%, $E$13)</f>
        <v>10.0496</v>
      </c>
      <c r="H547" s="64">
        <f>17.0193* CHOOSE(CONTROL!$C$22, $C$13, 100%, $E$13)</f>
        <v>17.019300000000001</v>
      </c>
      <c r="I547" s="64">
        <f>17.0214 * CHOOSE(CONTROL!$C$22, $C$13, 100%, $E$13)</f>
        <v>17.0214</v>
      </c>
      <c r="J547" s="64">
        <f>10.0475 * CHOOSE(CONTROL!$C$22, $C$13, 100%, $E$13)</f>
        <v>10.047499999999999</v>
      </c>
      <c r="K547" s="64">
        <f>10.0496 * CHOOSE(CONTROL!$C$22, $C$13, 100%, $E$13)</f>
        <v>10.0496</v>
      </c>
    </row>
    <row r="548" spans="1:11" ht="15">
      <c r="A548" s="13">
        <v>58319</v>
      </c>
      <c r="B548" s="63">
        <f>8.6364 * CHOOSE(CONTROL!$C$22, $C$13, 100%, $E$13)</f>
        <v>8.6364000000000001</v>
      </c>
      <c r="C548" s="63">
        <f>8.6364 * CHOOSE(CONTROL!$C$22, $C$13, 100%, $E$13)</f>
        <v>8.6364000000000001</v>
      </c>
      <c r="D548" s="63">
        <f>8.6711 * CHOOSE(CONTROL!$C$22, $C$13, 100%, $E$13)</f>
        <v>8.6710999999999991</v>
      </c>
      <c r="E548" s="64">
        <f>10.0339 * CHOOSE(CONTROL!$C$22, $C$13, 100%, $E$13)</f>
        <v>10.033899999999999</v>
      </c>
      <c r="F548" s="64">
        <f>10.0339 * CHOOSE(CONTROL!$C$22, $C$13, 100%, $E$13)</f>
        <v>10.033899999999999</v>
      </c>
      <c r="G548" s="64">
        <f>10.0361 * CHOOSE(CONTROL!$C$22, $C$13, 100%, $E$13)</f>
        <v>10.036099999999999</v>
      </c>
      <c r="H548" s="64">
        <f>17.0547* CHOOSE(CONTROL!$C$22, $C$13, 100%, $E$13)</f>
        <v>17.0547</v>
      </c>
      <c r="I548" s="64">
        <f>17.0569 * CHOOSE(CONTROL!$C$22, $C$13, 100%, $E$13)</f>
        <v>17.056899999999999</v>
      </c>
      <c r="J548" s="64">
        <f>10.0339 * CHOOSE(CONTROL!$C$22, $C$13, 100%, $E$13)</f>
        <v>10.033899999999999</v>
      </c>
      <c r="K548" s="64">
        <f>10.0361 * CHOOSE(CONTROL!$C$22, $C$13, 100%, $E$13)</f>
        <v>10.036099999999999</v>
      </c>
    </row>
    <row r="549" spans="1:11" ht="15">
      <c r="A549" s="13">
        <v>58349</v>
      </c>
      <c r="B549" s="63">
        <f>8.6471 * CHOOSE(CONTROL!$C$22, $C$13, 100%, $E$13)</f>
        <v>8.6471</v>
      </c>
      <c r="C549" s="63">
        <f>8.6471 * CHOOSE(CONTROL!$C$22, $C$13, 100%, $E$13)</f>
        <v>8.6471</v>
      </c>
      <c r="D549" s="63">
        <f>8.6644 * CHOOSE(CONTROL!$C$22, $C$13, 100%, $E$13)</f>
        <v>8.6644000000000005</v>
      </c>
      <c r="E549" s="64">
        <f>10.0663 * CHOOSE(CONTROL!$C$22, $C$13, 100%, $E$13)</f>
        <v>10.0663</v>
      </c>
      <c r="F549" s="64">
        <f>10.0663 * CHOOSE(CONTROL!$C$22, $C$13, 100%, $E$13)</f>
        <v>10.0663</v>
      </c>
      <c r="G549" s="64">
        <f>10.0665 * CHOOSE(CONTROL!$C$22, $C$13, 100%, $E$13)</f>
        <v>10.0665</v>
      </c>
      <c r="H549" s="64">
        <f>17.0903* CHOOSE(CONTROL!$C$22, $C$13, 100%, $E$13)</f>
        <v>17.090299999999999</v>
      </c>
      <c r="I549" s="64">
        <f>17.0904 * CHOOSE(CONTROL!$C$22, $C$13, 100%, $E$13)</f>
        <v>17.090399999999999</v>
      </c>
      <c r="J549" s="64">
        <f>10.0663 * CHOOSE(CONTROL!$C$22, $C$13, 100%, $E$13)</f>
        <v>10.0663</v>
      </c>
      <c r="K549" s="64">
        <f>10.0665 * CHOOSE(CONTROL!$C$22, $C$13, 100%, $E$13)</f>
        <v>10.0665</v>
      </c>
    </row>
    <row r="550" spans="1:11" ht="15">
      <c r="A550" s="13">
        <v>58380</v>
      </c>
      <c r="B550" s="63">
        <f>8.6501 * CHOOSE(CONTROL!$C$22, $C$13, 100%, $E$13)</f>
        <v>8.6501000000000001</v>
      </c>
      <c r="C550" s="63">
        <f>8.6501 * CHOOSE(CONTROL!$C$22, $C$13, 100%, $E$13)</f>
        <v>8.6501000000000001</v>
      </c>
      <c r="D550" s="63">
        <f>8.6674 * CHOOSE(CONTROL!$C$22, $C$13, 100%, $E$13)</f>
        <v>8.6674000000000007</v>
      </c>
      <c r="E550" s="64">
        <f>10.0913 * CHOOSE(CONTROL!$C$22, $C$13, 100%, $E$13)</f>
        <v>10.0913</v>
      </c>
      <c r="F550" s="64">
        <f>10.0913 * CHOOSE(CONTROL!$C$22, $C$13, 100%, $E$13)</f>
        <v>10.0913</v>
      </c>
      <c r="G550" s="64">
        <f>10.0914 * CHOOSE(CONTROL!$C$22, $C$13, 100%, $E$13)</f>
        <v>10.0914</v>
      </c>
      <c r="H550" s="64">
        <f>17.1259* CHOOSE(CONTROL!$C$22, $C$13, 100%, $E$13)</f>
        <v>17.125900000000001</v>
      </c>
      <c r="I550" s="64">
        <f>17.1261 * CHOOSE(CONTROL!$C$22, $C$13, 100%, $E$13)</f>
        <v>17.126100000000001</v>
      </c>
      <c r="J550" s="64">
        <f>10.0913 * CHOOSE(CONTROL!$C$22, $C$13, 100%, $E$13)</f>
        <v>10.0913</v>
      </c>
      <c r="K550" s="64">
        <f>10.0914 * CHOOSE(CONTROL!$C$22, $C$13, 100%, $E$13)</f>
        <v>10.0914</v>
      </c>
    </row>
    <row r="551" spans="1:11" ht="15">
      <c r="A551" s="13">
        <v>58410</v>
      </c>
      <c r="B551" s="63">
        <f>8.6501 * CHOOSE(CONTROL!$C$22, $C$13, 100%, $E$13)</f>
        <v>8.6501000000000001</v>
      </c>
      <c r="C551" s="63">
        <f>8.6501 * CHOOSE(CONTROL!$C$22, $C$13, 100%, $E$13)</f>
        <v>8.6501000000000001</v>
      </c>
      <c r="D551" s="63">
        <f>8.6674 * CHOOSE(CONTROL!$C$22, $C$13, 100%, $E$13)</f>
        <v>8.6674000000000007</v>
      </c>
      <c r="E551" s="64">
        <f>10.0341 * CHOOSE(CONTROL!$C$22, $C$13, 100%, $E$13)</f>
        <v>10.0341</v>
      </c>
      <c r="F551" s="64">
        <f>10.0341 * CHOOSE(CONTROL!$C$22, $C$13, 100%, $E$13)</f>
        <v>10.0341</v>
      </c>
      <c r="G551" s="64">
        <f>10.0343 * CHOOSE(CONTROL!$C$22, $C$13, 100%, $E$13)</f>
        <v>10.0343</v>
      </c>
      <c r="H551" s="64">
        <f>17.1616* CHOOSE(CONTROL!$C$22, $C$13, 100%, $E$13)</f>
        <v>17.1616</v>
      </c>
      <c r="I551" s="64">
        <f>17.1617 * CHOOSE(CONTROL!$C$22, $C$13, 100%, $E$13)</f>
        <v>17.1617</v>
      </c>
      <c r="J551" s="64">
        <f>10.0341 * CHOOSE(CONTROL!$C$22, $C$13, 100%, $E$13)</f>
        <v>10.0341</v>
      </c>
      <c r="K551" s="64">
        <f>10.0343 * CHOOSE(CONTROL!$C$22, $C$13, 100%, $E$13)</f>
        <v>10.0343</v>
      </c>
    </row>
    <row r="552" spans="1:11" ht="15">
      <c r="A552" s="13">
        <v>58441</v>
      </c>
      <c r="B552" s="63">
        <f>8.7264 * CHOOSE(CONTROL!$C$22, $C$13, 100%, $E$13)</f>
        <v>8.7263999999999999</v>
      </c>
      <c r="C552" s="63">
        <f>8.7264 * CHOOSE(CONTROL!$C$22, $C$13, 100%, $E$13)</f>
        <v>8.7263999999999999</v>
      </c>
      <c r="D552" s="63">
        <f>8.7437 * CHOOSE(CONTROL!$C$22, $C$13, 100%, $E$13)</f>
        <v>8.7437000000000005</v>
      </c>
      <c r="E552" s="64">
        <f>10.1646 * CHOOSE(CONTROL!$C$22, $C$13, 100%, $E$13)</f>
        <v>10.1646</v>
      </c>
      <c r="F552" s="64">
        <f>10.1646 * CHOOSE(CONTROL!$C$22, $C$13, 100%, $E$13)</f>
        <v>10.1646</v>
      </c>
      <c r="G552" s="64">
        <f>10.1647 * CHOOSE(CONTROL!$C$22, $C$13, 100%, $E$13)</f>
        <v>10.1647</v>
      </c>
      <c r="H552" s="64">
        <f>17.1973* CHOOSE(CONTROL!$C$22, $C$13, 100%, $E$13)</f>
        <v>17.197299999999998</v>
      </c>
      <c r="I552" s="64">
        <f>17.1975 * CHOOSE(CONTROL!$C$22, $C$13, 100%, $E$13)</f>
        <v>17.197500000000002</v>
      </c>
      <c r="J552" s="64">
        <f>10.1646 * CHOOSE(CONTROL!$C$22, $C$13, 100%, $E$13)</f>
        <v>10.1646</v>
      </c>
      <c r="K552" s="64">
        <f>10.1647 * CHOOSE(CONTROL!$C$22, $C$13, 100%, $E$13)</f>
        <v>10.1647</v>
      </c>
    </row>
    <row r="553" spans="1:11" ht="15">
      <c r="A553" s="13">
        <v>58472</v>
      </c>
      <c r="B553" s="63">
        <f>8.7233 * CHOOSE(CONTROL!$C$22, $C$13, 100%, $E$13)</f>
        <v>8.7233000000000001</v>
      </c>
      <c r="C553" s="63">
        <f>8.7233 * CHOOSE(CONTROL!$C$22, $C$13, 100%, $E$13)</f>
        <v>8.7233000000000001</v>
      </c>
      <c r="D553" s="63">
        <f>8.7407 * CHOOSE(CONTROL!$C$22, $C$13, 100%, $E$13)</f>
        <v>8.7407000000000004</v>
      </c>
      <c r="E553" s="64">
        <f>10.0513 * CHOOSE(CONTROL!$C$22, $C$13, 100%, $E$13)</f>
        <v>10.051299999999999</v>
      </c>
      <c r="F553" s="64">
        <f>10.0513 * CHOOSE(CONTROL!$C$22, $C$13, 100%, $E$13)</f>
        <v>10.051299999999999</v>
      </c>
      <c r="G553" s="64">
        <f>10.0515 * CHOOSE(CONTROL!$C$22, $C$13, 100%, $E$13)</f>
        <v>10.051500000000001</v>
      </c>
      <c r="H553" s="64">
        <f>17.2331* CHOOSE(CONTROL!$C$22, $C$13, 100%, $E$13)</f>
        <v>17.2331</v>
      </c>
      <c r="I553" s="64">
        <f>17.2333 * CHOOSE(CONTROL!$C$22, $C$13, 100%, $E$13)</f>
        <v>17.2333</v>
      </c>
      <c r="J553" s="64">
        <f>10.0513 * CHOOSE(CONTROL!$C$22, $C$13, 100%, $E$13)</f>
        <v>10.051299999999999</v>
      </c>
      <c r="K553" s="64">
        <f>10.0515 * CHOOSE(CONTROL!$C$22, $C$13, 100%, $E$13)</f>
        <v>10.051500000000001</v>
      </c>
    </row>
    <row r="554" spans="1:11" ht="15">
      <c r="A554" s="13">
        <v>58501</v>
      </c>
      <c r="B554" s="63">
        <f>8.7203 * CHOOSE(CONTROL!$C$22, $C$13, 100%, $E$13)</f>
        <v>8.7202999999999999</v>
      </c>
      <c r="C554" s="63">
        <f>8.7203 * CHOOSE(CONTROL!$C$22, $C$13, 100%, $E$13)</f>
        <v>8.7202999999999999</v>
      </c>
      <c r="D554" s="63">
        <f>8.7376 * CHOOSE(CONTROL!$C$22, $C$13, 100%, $E$13)</f>
        <v>8.7376000000000005</v>
      </c>
      <c r="E554" s="64">
        <f>10.1368 * CHOOSE(CONTROL!$C$22, $C$13, 100%, $E$13)</f>
        <v>10.136799999999999</v>
      </c>
      <c r="F554" s="64">
        <f>10.1368 * CHOOSE(CONTROL!$C$22, $C$13, 100%, $E$13)</f>
        <v>10.136799999999999</v>
      </c>
      <c r="G554" s="64">
        <f>10.137 * CHOOSE(CONTROL!$C$22, $C$13, 100%, $E$13)</f>
        <v>10.137</v>
      </c>
      <c r="H554" s="64">
        <f>17.269* CHOOSE(CONTROL!$C$22, $C$13, 100%, $E$13)</f>
        <v>17.268999999999998</v>
      </c>
      <c r="I554" s="64">
        <f>17.2692 * CHOOSE(CONTROL!$C$22, $C$13, 100%, $E$13)</f>
        <v>17.269200000000001</v>
      </c>
      <c r="J554" s="64">
        <f>10.1368 * CHOOSE(CONTROL!$C$22, $C$13, 100%, $E$13)</f>
        <v>10.136799999999999</v>
      </c>
      <c r="K554" s="64">
        <f>10.137 * CHOOSE(CONTROL!$C$22, $C$13, 100%, $E$13)</f>
        <v>10.137</v>
      </c>
    </row>
    <row r="555" spans="1:11" ht="15">
      <c r="A555" s="13">
        <v>58532</v>
      </c>
      <c r="B555" s="63">
        <f>8.7221 * CHOOSE(CONTROL!$C$22, $C$13, 100%, $E$13)</f>
        <v>8.7220999999999993</v>
      </c>
      <c r="C555" s="63">
        <f>8.7221 * CHOOSE(CONTROL!$C$22, $C$13, 100%, $E$13)</f>
        <v>8.7220999999999993</v>
      </c>
      <c r="D555" s="63">
        <f>8.7394 * CHOOSE(CONTROL!$C$22, $C$13, 100%, $E$13)</f>
        <v>8.7393999999999998</v>
      </c>
      <c r="E555" s="64">
        <f>10.2266 * CHOOSE(CONTROL!$C$22, $C$13, 100%, $E$13)</f>
        <v>10.226599999999999</v>
      </c>
      <c r="F555" s="64">
        <f>10.2266 * CHOOSE(CONTROL!$C$22, $C$13, 100%, $E$13)</f>
        <v>10.226599999999999</v>
      </c>
      <c r="G555" s="64">
        <f>10.2268 * CHOOSE(CONTROL!$C$22, $C$13, 100%, $E$13)</f>
        <v>10.226800000000001</v>
      </c>
      <c r="H555" s="64">
        <f>17.305* CHOOSE(CONTROL!$C$22, $C$13, 100%, $E$13)</f>
        <v>17.305</v>
      </c>
      <c r="I555" s="64">
        <f>17.3052 * CHOOSE(CONTROL!$C$22, $C$13, 100%, $E$13)</f>
        <v>17.305199999999999</v>
      </c>
      <c r="J555" s="64">
        <f>10.2266 * CHOOSE(CONTROL!$C$22, $C$13, 100%, $E$13)</f>
        <v>10.226599999999999</v>
      </c>
      <c r="K555" s="64">
        <f>10.2268 * CHOOSE(CONTROL!$C$22, $C$13, 100%, $E$13)</f>
        <v>10.226800000000001</v>
      </c>
    </row>
    <row r="556" spans="1:11" ht="15">
      <c r="A556" s="13">
        <v>58562</v>
      </c>
      <c r="B556" s="63">
        <f>8.7221 * CHOOSE(CONTROL!$C$22, $C$13, 100%, $E$13)</f>
        <v>8.7220999999999993</v>
      </c>
      <c r="C556" s="63">
        <f>8.7221 * CHOOSE(CONTROL!$C$22, $C$13, 100%, $E$13)</f>
        <v>8.7220999999999993</v>
      </c>
      <c r="D556" s="63">
        <f>8.7567 * CHOOSE(CONTROL!$C$22, $C$13, 100%, $E$13)</f>
        <v>8.7567000000000004</v>
      </c>
      <c r="E556" s="64">
        <f>10.2619 * CHOOSE(CONTROL!$C$22, $C$13, 100%, $E$13)</f>
        <v>10.261900000000001</v>
      </c>
      <c r="F556" s="64">
        <f>10.2619 * CHOOSE(CONTROL!$C$22, $C$13, 100%, $E$13)</f>
        <v>10.261900000000001</v>
      </c>
      <c r="G556" s="64">
        <f>10.2641 * CHOOSE(CONTROL!$C$22, $C$13, 100%, $E$13)</f>
        <v>10.264099999999999</v>
      </c>
      <c r="H556" s="64">
        <f>17.3411* CHOOSE(CONTROL!$C$22, $C$13, 100%, $E$13)</f>
        <v>17.341100000000001</v>
      </c>
      <c r="I556" s="64">
        <f>17.3432 * CHOOSE(CONTROL!$C$22, $C$13, 100%, $E$13)</f>
        <v>17.3432</v>
      </c>
      <c r="J556" s="64">
        <f>10.2619 * CHOOSE(CONTROL!$C$22, $C$13, 100%, $E$13)</f>
        <v>10.261900000000001</v>
      </c>
      <c r="K556" s="64">
        <f>10.2641 * CHOOSE(CONTROL!$C$22, $C$13, 100%, $E$13)</f>
        <v>10.264099999999999</v>
      </c>
    </row>
    <row r="557" spans="1:11" ht="15">
      <c r="A557" s="13">
        <v>58593</v>
      </c>
      <c r="B557" s="63">
        <f>8.7282 * CHOOSE(CONTROL!$C$22, $C$13, 100%, $E$13)</f>
        <v>8.7281999999999993</v>
      </c>
      <c r="C557" s="63">
        <f>8.7282 * CHOOSE(CONTROL!$C$22, $C$13, 100%, $E$13)</f>
        <v>8.7281999999999993</v>
      </c>
      <c r="D557" s="63">
        <f>8.7628 * CHOOSE(CONTROL!$C$22, $C$13, 100%, $E$13)</f>
        <v>8.7628000000000004</v>
      </c>
      <c r="E557" s="64">
        <f>10.2309 * CHOOSE(CONTROL!$C$22, $C$13, 100%, $E$13)</f>
        <v>10.2309</v>
      </c>
      <c r="F557" s="64">
        <f>10.2309 * CHOOSE(CONTROL!$C$22, $C$13, 100%, $E$13)</f>
        <v>10.2309</v>
      </c>
      <c r="G557" s="64">
        <f>10.233 * CHOOSE(CONTROL!$C$22, $C$13, 100%, $E$13)</f>
        <v>10.233000000000001</v>
      </c>
      <c r="H557" s="64">
        <f>17.3772* CHOOSE(CONTROL!$C$22, $C$13, 100%, $E$13)</f>
        <v>17.377199999999998</v>
      </c>
      <c r="I557" s="64">
        <f>17.3793 * CHOOSE(CONTROL!$C$22, $C$13, 100%, $E$13)</f>
        <v>17.379300000000001</v>
      </c>
      <c r="J557" s="64">
        <f>10.2309 * CHOOSE(CONTROL!$C$22, $C$13, 100%, $E$13)</f>
        <v>10.2309</v>
      </c>
      <c r="K557" s="64">
        <f>10.233 * CHOOSE(CONTROL!$C$22, $C$13, 100%, $E$13)</f>
        <v>10.233000000000001</v>
      </c>
    </row>
    <row r="558" spans="1:11" ht="15">
      <c r="A558" s="13">
        <v>58623</v>
      </c>
      <c r="B558" s="63">
        <f>8.8688 * CHOOSE(CONTROL!$C$22, $C$13, 100%, $E$13)</f>
        <v>8.8688000000000002</v>
      </c>
      <c r="C558" s="63">
        <f>8.8688 * CHOOSE(CONTROL!$C$22, $C$13, 100%, $E$13)</f>
        <v>8.8688000000000002</v>
      </c>
      <c r="D558" s="63">
        <f>8.9034 * CHOOSE(CONTROL!$C$22, $C$13, 100%, $E$13)</f>
        <v>8.9033999999999995</v>
      </c>
      <c r="E558" s="64">
        <f>10.4296 * CHOOSE(CONTROL!$C$22, $C$13, 100%, $E$13)</f>
        <v>10.429600000000001</v>
      </c>
      <c r="F558" s="64">
        <f>10.4296 * CHOOSE(CONTROL!$C$22, $C$13, 100%, $E$13)</f>
        <v>10.429600000000001</v>
      </c>
      <c r="G558" s="64">
        <f>10.4317 * CHOOSE(CONTROL!$C$22, $C$13, 100%, $E$13)</f>
        <v>10.431699999999999</v>
      </c>
      <c r="H558" s="64">
        <f>17.4134* CHOOSE(CONTROL!$C$22, $C$13, 100%, $E$13)</f>
        <v>17.413399999999999</v>
      </c>
      <c r="I558" s="64">
        <f>17.4155 * CHOOSE(CONTROL!$C$22, $C$13, 100%, $E$13)</f>
        <v>17.415500000000002</v>
      </c>
      <c r="J558" s="64">
        <f>10.4296 * CHOOSE(CONTROL!$C$22, $C$13, 100%, $E$13)</f>
        <v>10.429600000000001</v>
      </c>
      <c r="K558" s="64">
        <f>10.4317 * CHOOSE(CONTROL!$C$22, $C$13, 100%, $E$13)</f>
        <v>10.431699999999999</v>
      </c>
    </row>
    <row r="559" spans="1:11" ht="15">
      <c r="A559" s="13">
        <v>58654</v>
      </c>
      <c r="B559" s="63">
        <f>8.8755 * CHOOSE(CONTROL!$C$22, $C$13, 100%, $E$13)</f>
        <v>8.8755000000000006</v>
      </c>
      <c r="C559" s="63">
        <f>8.8755 * CHOOSE(CONTROL!$C$22, $C$13, 100%, $E$13)</f>
        <v>8.8755000000000006</v>
      </c>
      <c r="D559" s="63">
        <f>8.9101 * CHOOSE(CONTROL!$C$22, $C$13, 100%, $E$13)</f>
        <v>8.9100999999999999</v>
      </c>
      <c r="E559" s="64">
        <f>10.3284 * CHOOSE(CONTROL!$C$22, $C$13, 100%, $E$13)</f>
        <v>10.3284</v>
      </c>
      <c r="F559" s="64">
        <f>10.3284 * CHOOSE(CONTROL!$C$22, $C$13, 100%, $E$13)</f>
        <v>10.3284</v>
      </c>
      <c r="G559" s="64">
        <f>10.3305 * CHOOSE(CONTROL!$C$22, $C$13, 100%, $E$13)</f>
        <v>10.330500000000001</v>
      </c>
      <c r="H559" s="64">
        <f>17.4497* CHOOSE(CONTROL!$C$22, $C$13, 100%, $E$13)</f>
        <v>17.4497</v>
      </c>
      <c r="I559" s="64">
        <f>17.4518 * CHOOSE(CONTROL!$C$22, $C$13, 100%, $E$13)</f>
        <v>17.451799999999999</v>
      </c>
      <c r="J559" s="64">
        <f>10.3284 * CHOOSE(CONTROL!$C$22, $C$13, 100%, $E$13)</f>
        <v>10.3284</v>
      </c>
      <c r="K559" s="64">
        <f>10.3305 * CHOOSE(CONTROL!$C$22, $C$13, 100%, $E$13)</f>
        <v>10.330500000000001</v>
      </c>
    </row>
    <row r="560" spans="1:11" ht="15">
      <c r="A560" s="13">
        <v>58685</v>
      </c>
      <c r="B560" s="63">
        <f>8.8724 * CHOOSE(CONTROL!$C$22, $C$13, 100%, $E$13)</f>
        <v>8.8724000000000007</v>
      </c>
      <c r="C560" s="63">
        <f>8.8724 * CHOOSE(CONTROL!$C$22, $C$13, 100%, $E$13)</f>
        <v>8.8724000000000007</v>
      </c>
      <c r="D560" s="63">
        <f>8.9071 * CHOOSE(CONTROL!$C$22, $C$13, 100%, $E$13)</f>
        <v>8.9070999999999998</v>
      </c>
      <c r="E560" s="64">
        <f>10.3145 * CHOOSE(CONTROL!$C$22, $C$13, 100%, $E$13)</f>
        <v>10.314500000000001</v>
      </c>
      <c r="F560" s="64">
        <f>10.3145 * CHOOSE(CONTROL!$C$22, $C$13, 100%, $E$13)</f>
        <v>10.314500000000001</v>
      </c>
      <c r="G560" s="64">
        <f>10.3167 * CHOOSE(CONTROL!$C$22, $C$13, 100%, $E$13)</f>
        <v>10.316700000000001</v>
      </c>
      <c r="H560" s="64">
        <f>17.486* CHOOSE(CONTROL!$C$22, $C$13, 100%, $E$13)</f>
        <v>17.486000000000001</v>
      </c>
      <c r="I560" s="64">
        <f>17.4882 * CHOOSE(CONTROL!$C$22, $C$13, 100%, $E$13)</f>
        <v>17.488199999999999</v>
      </c>
      <c r="J560" s="64">
        <f>10.3145 * CHOOSE(CONTROL!$C$22, $C$13, 100%, $E$13)</f>
        <v>10.314500000000001</v>
      </c>
      <c r="K560" s="64">
        <f>10.3167 * CHOOSE(CONTROL!$C$22, $C$13, 100%, $E$13)</f>
        <v>10.316700000000001</v>
      </c>
    </row>
    <row r="561" spans="1:11" ht="15">
      <c r="A561" s="13">
        <v>58715</v>
      </c>
      <c r="B561" s="63">
        <f>8.8838 * CHOOSE(CONTROL!$C$22, $C$13, 100%, $E$13)</f>
        <v>8.8838000000000008</v>
      </c>
      <c r="C561" s="63">
        <f>8.8838 * CHOOSE(CONTROL!$C$22, $C$13, 100%, $E$13)</f>
        <v>8.8838000000000008</v>
      </c>
      <c r="D561" s="63">
        <f>8.9011 * CHOOSE(CONTROL!$C$22, $C$13, 100%, $E$13)</f>
        <v>8.9010999999999996</v>
      </c>
      <c r="E561" s="64">
        <f>10.3481 * CHOOSE(CONTROL!$C$22, $C$13, 100%, $E$13)</f>
        <v>10.348100000000001</v>
      </c>
      <c r="F561" s="64">
        <f>10.3481 * CHOOSE(CONTROL!$C$22, $C$13, 100%, $E$13)</f>
        <v>10.348100000000001</v>
      </c>
      <c r="G561" s="64">
        <f>10.3483 * CHOOSE(CONTROL!$C$22, $C$13, 100%, $E$13)</f>
        <v>10.3483</v>
      </c>
      <c r="H561" s="64">
        <f>17.5225* CHOOSE(CONTROL!$C$22, $C$13, 100%, $E$13)</f>
        <v>17.522500000000001</v>
      </c>
      <c r="I561" s="64">
        <f>17.5226 * CHOOSE(CONTROL!$C$22, $C$13, 100%, $E$13)</f>
        <v>17.522600000000001</v>
      </c>
      <c r="J561" s="64">
        <f>10.3481 * CHOOSE(CONTROL!$C$22, $C$13, 100%, $E$13)</f>
        <v>10.348100000000001</v>
      </c>
      <c r="K561" s="64">
        <f>10.3483 * CHOOSE(CONTROL!$C$22, $C$13, 100%, $E$13)</f>
        <v>10.3483</v>
      </c>
    </row>
    <row r="562" spans="1:11" ht="15">
      <c r="A562" s="13">
        <v>58746</v>
      </c>
      <c r="B562" s="63">
        <f>8.8868 * CHOOSE(CONTROL!$C$22, $C$13, 100%, $E$13)</f>
        <v>8.8867999999999991</v>
      </c>
      <c r="C562" s="63">
        <f>8.8868 * CHOOSE(CONTROL!$C$22, $C$13, 100%, $E$13)</f>
        <v>8.8867999999999991</v>
      </c>
      <c r="D562" s="63">
        <f>8.9042 * CHOOSE(CONTROL!$C$22, $C$13, 100%, $E$13)</f>
        <v>8.9041999999999994</v>
      </c>
      <c r="E562" s="64">
        <f>10.3738 * CHOOSE(CONTROL!$C$22, $C$13, 100%, $E$13)</f>
        <v>10.373799999999999</v>
      </c>
      <c r="F562" s="64">
        <f>10.3738 * CHOOSE(CONTROL!$C$22, $C$13, 100%, $E$13)</f>
        <v>10.373799999999999</v>
      </c>
      <c r="G562" s="64">
        <f>10.3739 * CHOOSE(CONTROL!$C$22, $C$13, 100%, $E$13)</f>
        <v>10.373900000000001</v>
      </c>
      <c r="H562" s="64">
        <f>17.559* CHOOSE(CONTROL!$C$22, $C$13, 100%, $E$13)</f>
        <v>17.559000000000001</v>
      </c>
      <c r="I562" s="64">
        <f>17.5591 * CHOOSE(CONTROL!$C$22, $C$13, 100%, $E$13)</f>
        <v>17.559100000000001</v>
      </c>
      <c r="J562" s="64">
        <f>10.3738 * CHOOSE(CONTROL!$C$22, $C$13, 100%, $E$13)</f>
        <v>10.373799999999999</v>
      </c>
      <c r="K562" s="64">
        <f>10.3739 * CHOOSE(CONTROL!$C$22, $C$13, 100%, $E$13)</f>
        <v>10.373900000000001</v>
      </c>
    </row>
    <row r="563" spans="1:11" ht="15">
      <c r="A563" s="13">
        <v>58776</v>
      </c>
      <c r="B563" s="63">
        <f>8.8868 * CHOOSE(CONTROL!$C$22, $C$13, 100%, $E$13)</f>
        <v>8.8867999999999991</v>
      </c>
      <c r="C563" s="63">
        <f>8.8868 * CHOOSE(CONTROL!$C$22, $C$13, 100%, $E$13)</f>
        <v>8.8867999999999991</v>
      </c>
      <c r="D563" s="63">
        <f>8.9042 * CHOOSE(CONTROL!$C$22, $C$13, 100%, $E$13)</f>
        <v>8.9041999999999994</v>
      </c>
      <c r="E563" s="64">
        <f>10.315 * CHOOSE(CONTROL!$C$22, $C$13, 100%, $E$13)</f>
        <v>10.315</v>
      </c>
      <c r="F563" s="64">
        <f>10.315 * CHOOSE(CONTROL!$C$22, $C$13, 100%, $E$13)</f>
        <v>10.315</v>
      </c>
      <c r="G563" s="64">
        <f>10.3151 * CHOOSE(CONTROL!$C$22, $C$13, 100%, $E$13)</f>
        <v>10.315099999999999</v>
      </c>
      <c r="H563" s="64">
        <f>17.5955* CHOOSE(CONTROL!$C$22, $C$13, 100%, $E$13)</f>
        <v>17.595500000000001</v>
      </c>
      <c r="I563" s="64">
        <f>17.5957 * CHOOSE(CONTROL!$C$22, $C$13, 100%, $E$13)</f>
        <v>17.595700000000001</v>
      </c>
      <c r="J563" s="64">
        <f>10.315 * CHOOSE(CONTROL!$C$22, $C$13, 100%, $E$13)</f>
        <v>10.315</v>
      </c>
      <c r="K563" s="64">
        <f>10.3151 * CHOOSE(CONTROL!$C$22, $C$13, 100%, $E$13)</f>
        <v>10.315099999999999</v>
      </c>
    </row>
    <row r="564" spans="1:11" ht="15">
      <c r="A564" s="13">
        <v>58807</v>
      </c>
      <c r="B564" s="63">
        <f>8.9651 * CHOOSE(CONTROL!$C$22, $C$13, 100%, $E$13)</f>
        <v>8.9650999999999996</v>
      </c>
      <c r="C564" s="63">
        <f>8.9651 * CHOOSE(CONTROL!$C$22, $C$13, 100%, $E$13)</f>
        <v>8.9650999999999996</v>
      </c>
      <c r="D564" s="63">
        <f>8.9824 * CHOOSE(CONTROL!$C$22, $C$13, 100%, $E$13)</f>
        <v>8.9824000000000002</v>
      </c>
      <c r="E564" s="64">
        <f>10.449 * CHOOSE(CONTROL!$C$22, $C$13, 100%, $E$13)</f>
        <v>10.449</v>
      </c>
      <c r="F564" s="64">
        <f>10.449 * CHOOSE(CONTROL!$C$22, $C$13, 100%, $E$13)</f>
        <v>10.449</v>
      </c>
      <c r="G564" s="64">
        <f>10.4492 * CHOOSE(CONTROL!$C$22, $C$13, 100%, $E$13)</f>
        <v>10.449199999999999</v>
      </c>
      <c r="H564" s="64">
        <f>17.6322* CHOOSE(CONTROL!$C$22, $C$13, 100%, $E$13)</f>
        <v>17.632200000000001</v>
      </c>
      <c r="I564" s="64">
        <f>17.6324 * CHOOSE(CONTROL!$C$22, $C$13, 100%, $E$13)</f>
        <v>17.632400000000001</v>
      </c>
      <c r="J564" s="64">
        <f>10.449 * CHOOSE(CONTROL!$C$22, $C$13, 100%, $E$13)</f>
        <v>10.449</v>
      </c>
      <c r="K564" s="64">
        <f>10.4492 * CHOOSE(CONTROL!$C$22, $C$13, 100%, $E$13)</f>
        <v>10.449199999999999</v>
      </c>
    </row>
    <row r="565" spans="1:11" ht="15">
      <c r="A565" s="13">
        <v>58838</v>
      </c>
      <c r="B565" s="63">
        <f>8.9621 * CHOOSE(CONTROL!$C$22, $C$13, 100%, $E$13)</f>
        <v>8.9620999999999995</v>
      </c>
      <c r="C565" s="63">
        <f>8.9621 * CHOOSE(CONTROL!$C$22, $C$13, 100%, $E$13)</f>
        <v>8.9620999999999995</v>
      </c>
      <c r="D565" s="63">
        <f>8.9794 * CHOOSE(CONTROL!$C$22, $C$13, 100%, $E$13)</f>
        <v>8.9794</v>
      </c>
      <c r="E565" s="64">
        <f>10.3327 * CHOOSE(CONTROL!$C$22, $C$13, 100%, $E$13)</f>
        <v>10.332700000000001</v>
      </c>
      <c r="F565" s="64">
        <f>10.3327 * CHOOSE(CONTROL!$C$22, $C$13, 100%, $E$13)</f>
        <v>10.332700000000001</v>
      </c>
      <c r="G565" s="64">
        <f>10.3328 * CHOOSE(CONTROL!$C$22, $C$13, 100%, $E$13)</f>
        <v>10.332800000000001</v>
      </c>
      <c r="H565" s="64">
        <f>17.6689* CHOOSE(CONTROL!$C$22, $C$13, 100%, $E$13)</f>
        <v>17.668900000000001</v>
      </c>
      <c r="I565" s="64">
        <f>17.6691 * CHOOSE(CONTROL!$C$22, $C$13, 100%, $E$13)</f>
        <v>17.6691</v>
      </c>
      <c r="J565" s="64">
        <f>10.3327 * CHOOSE(CONTROL!$C$22, $C$13, 100%, $E$13)</f>
        <v>10.332700000000001</v>
      </c>
      <c r="K565" s="64">
        <f>10.3328 * CHOOSE(CONTROL!$C$22, $C$13, 100%, $E$13)</f>
        <v>10.332800000000001</v>
      </c>
    </row>
    <row r="566" spans="1:11" ht="15">
      <c r="A566" s="13">
        <v>58866</v>
      </c>
      <c r="B566" s="63">
        <f>8.959 * CHOOSE(CONTROL!$C$22, $C$13, 100%, $E$13)</f>
        <v>8.9589999999999996</v>
      </c>
      <c r="C566" s="63">
        <f>8.959 * CHOOSE(CONTROL!$C$22, $C$13, 100%, $E$13)</f>
        <v>8.9589999999999996</v>
      </c>
      <c r="D566" s="63">
        <f>8.9764 * CHOOSE(CONTROL!$C$22, $C$13, 100%, $E$13)</f>
        <v>8.9763999999999999</v>
      </c>
      <c r="E566" s="64">
        <f>10.4206 * CHOOSE(CONTROL!$C$22, $C$13, 100%, $E$13)</f>
        <v>10.4206</v>
      </c>
      <c r="F566" s="64">
        <f>10.4206 * CHOOSE(CONTROL!$C$22, $C$13, 100%, $E$13)</f>
        <v>10.4206</v>
      </c>
      <c r="G566" s="64">
        <f>10.4208 * CHOOSE(CONTROL!$C$22, $C$13, 100%, $E$13)</f>
        <v>10.4208</v>
      </c>
      <c r="H566" s="64">
        <f>17.7057* CHOOSE(CONTROL!$C$22, $C$13, 100%, $E$13)</f>
        <v>17.7057</v>
      </c>
      <c r="I566" s="64">
        <f>17.7059 * CHOOSE(CONTROL!$C$22, $C$13, 100%, $E$13)</f>
        <v>17.7059</v>
      </c>
      <c r="J566" s="64">
        <f>10.4206 * CHOOSE(CONTROL!$C$22, $C$13, 100%, $E$13)</f>
        <v>10.4206</v>
      </c>
      <c r="K566" s="64">
        <f>10.4208 * CHOOSE(CONTROL!$C$22, $C$13, 100%, $E$13)</f>
        <v>10.4208</v>
      </c>
    </row>
    <row r="567" spans="1:11" ht="15">
      <c r="A567" s="13">
        <v>58897</v>
      </c>
      <c r="B567" s="63">
        <f>8.961 * CHOOSE(CONTROL!$C$22, $C$13, 100%, $E$13)</f>
        <v>8.9610000000000003</v>
      </c>
      <c r="C567" s="63">
        <f>8.961 * CHOOSE(CONTROL!$C$22, $C$13, 100%, $E$13)</f>
        <v>8.9610000000000003</v>
      </c>
      <c r="D567" s="63">
        <f>8.9783 * CHOOSE(CONTROL!$C$22, $C$13, 100%, $E$13)</f>
        <v>8.9783000000000008</v>
      </c>
      <c r="E567" s="64">
        <f>10.5131 * CHOOSE(CONTROL!$C$22, $C$13, 100%, $E$13)</f>
        <v>10.5131</v>
      </c>
      <c r="F567" s="64">
        <f>10.5131 * CHOOSE(CONTROL!$C$22, $C$13, 100%, $E$13)</f>
        <v>10.5131</v>
      </c>
      <c r="G567" s="64">
        <f>10.5133 * CHOOSE(CONTROL!$C$22, $C$13, 100%, $E$13)</f>
        <v>10.513299999999999</v>
      </c>
      <c r="H567" s="64">
        <f>17.7426* CHOOSE(CONTROL!$C$22, $C$13, 100%, $E$13)</f>
        <v>17.742599999999999</v>
      </c>
      <c r="I567" s="64">
        <f>17.7428 * CHOOSE(CONTROL!$C$22, $C$13, 100%, $E$13)</f>
        <v>17.742799999999999</v>
      </c>
      <c r="J567" s="64">
        <f>10.5131 * CHOOSE(CONTROL!$C$22, $C$13, 100%, $E$13)</f>
        <v>10.5131</v>
      </c>
      <c r="K567" s="64">
        <f>10.5133 * CHOOSE(CONTROL!$C$22, $C$13, 100%, $E$13)</f>
        <v>10.513299999999999</v>
      </c>
    </row>
    <row r="568" spans="1:11" ht="15">
      <c r="A568" s="13">
        <v>58927</v>
      </c>
      <c r="B568" s="63">
        <f>8.961 * CHOOSE(CONTROL!$C$22, $C$13, 100%, $E$13)</f>
        <v>8.9610000000000003</v>
      </c>
      <c r="C568" s="63">
        <f>8.961 * CHOOSE(CONTROL!$C$22, $C$13, 100%, $E$13)</f>
        <v>8.9610000000000003</v>
      </c>
      <c r="D568" s="63">
        <f>8.9957 * CHOOSE(CONTROL!$C$22, $C$13, 100%, $E$13)</f>
        <v>8.9956999999999994</v>
      </c>
      <c r="E568" s="64">
        <f>10.5493 * CHOOSE(CONTROL!$C$22, $C$13, 100%, $E$13)</f>
        <v>10.549300000000001</v>
      </c>
      <c r="F568" s="64">
        <f>10.5493 * CHOOSE(CONTROL!$C$22, $C$13, 100%, $E$13)</f>
        <v>10.549300000000001</v>
      </c>
      <c r="G568" s="64">
        <f>10.5515 * CHOOSE(CONTROL!$C$22, $C$13, 100%, $E$13)</f>
        <v>10.551500000000001</v>
      </c>
      <c r="H568" s="64">
        <f>17.7796* CHOOSE(CONTROL!$C$22, $C$13, 100%, $E$13)</f>
        <v>17.779599999999999</v>
      </c>
      <c r="I568" s="64">
        <f>17.7817 * CHOOSE(CONTROL!$C$22, $C$13, 100%, $E$13)</f>
        <v>17.781700000000001</v>
      </c>
      <c r="J568" s="64">
        <f>10.5493 * CHOOSE(CONTROL!$C$22, $C$13, 100%, $E$13)</f>
        <v>10.549300000000001</v>
      </c>
      <c r="K568" s="64">
        <f>10.5515 * CHOOSE(CONTROL!$C$22, $C$13, 100%, $E$13)</f>
        <v>10.551500000000001</v>
      </c>
    </row>
    <row r="569" spans="1:11" ht="15">
      <c r="A569" s="13">
        <v>58958</v>
      </c>
      <c r="B569" s="63">
        <f>8.9671 * CHOOSE(CONTROL!$C$22, $C$13, 100%, $E$13)</f>
        <v>8.9671000000000003</v>
      </c>
      <c r="C569" s="63">
        <f>8.9671 * CHOOSE(CONTROL!$C$22, $C$13, 100%, $E$13)</f>
        <v>8.9671000000000003</v>
      </c>
      <c r="D569" s="63">
        <f>9.0017 * CHOOSE(CONTROL!$C$22, $C$13, 100%, $E$13)</f>
        <v>9.0016999999999996</v>
      </c>
      <c r="E569" s="64">
        <f>10.5173 * CHOOSE(CONTROL!$C$22, $C$13, 100%, $E$13)</f>
        <v>10.517300000000001</v>
      </c>
      <c r="F569" s="64">
        <f>10.5173 * CHOOSE(CONTROL!$C$22, $C$13, 100%, $E$13)</f>
        <v>10.517300000000001</v>
      </c>
      <c r="G569" s="64">
        <f>10.5195 * CHOOSE(CONTROL!$C$22, $C$13, 100%, $E$13)</f>
        <v>10.519500000000001</v>
      </c>
      <c r="H569" s="64">
        <f>17.8166* CHOOSE(CONTROL!$C$22, $C$13, 100%, $E$13)</f>
        <v>17.816600000000001</v>
      </c>
      <c r="I569" s="64">
        <f>17.8188 * CHOOSE(CONTROL!$C$22, $C$13, 100%, $E$13)</f>
        <v>17.8188</v>
      </c>
      <c r="J569" s="64">
        <f>10.5173 * CHOOSE(CONTROL!$C$22, $C$13, 100%, $E$13)</f>
        <v>10.517300000000001</v>
      </c>
      <c r="K569" s="64">
        <f>10.5195 * CHOOSE(CONTROL!$C$22, $C$13, 100%, $E$13)</f>
        <v>10.519500000000001</v>
      </c>
    </row>
    <row r="570" spans="1:11" ht="15">
      <c r="A570" s="13">
        <v>58988</v>
      </c>
      <c r="B570" s="63">
        <f>9.1113 * CHOOSE(CONTROL!$C$22, $C$13, 100%, $E$13)</f>
        <v>9.1113</v>
      </c>
      <c r="C570" s="63">
        <f>9.1113 * CHOOSE(CONTROL!$C$22, $C$13, 100%, $E$13)</f>
        <v>9.1113</v>
      </c>
      <c r="D570" s="63">
        <f>9.1459 * CHOOSE(CONTROL!$C$22, $C$13, 100%, $E$13)</f>
        <v>9.1458999999999993</v>
      </c>
      <c r="E570" s="64">
        <f>10.7213 * CHOOSE(CONTROL!$C$22, $C$13, 100%, $E$13)</f>
        <v>10.721299999999999</v>
      </c>
      <c r="F570" s="64">
        <f>10.7213 * CHOOSE(CONTROL!$C$22, $C$13, 100%, $E$13)</f>
        <v>10.721299999999999</v>
      </c>
      <c r="G570" s="64">
        <f>10.7234 * CHOOSE(CONTROL!$C$22, $C$13, 100%, $E$13)</f>
        <v>10.7234</v>
      </c>
      <c r="H570" s="64">
        <f>17.8538* CHOOSE(CONTROL!$C$22, $C$13, 100%, $E$13)</f>
        <v>17.8538</v>
      </c>
      <c r="I570" s="64">
        <f>17.8559 * CHOOSE(CONTROL!$C$22, $C$13, 100%, $E$13)</f>
        <v>17.855899999999998</v>
      </c>
      <c r="J570" s="64">
        <f>10.7213 * CHOOSE(CONTROL!$C$22, $C$13, 100%, $E$13)</f>
        <v>10.721299999999999</v>
      </c>
      <c r="K570" s="64">
        <f>10.7234 * CHOOSE(CONTROL!$C$22, $C$13, 100%, $E$13)</f>
        <v>10.7234</v>
      </c>
    </row>
    <row r="571" spans="1:11" ht="15">
      <c r="A571" s="13">
        <v>59019</v>
      </c>
      <c r="B571" s="63">
        <f>9.118 * CHOOSE(CONTROL!$C$22, $C$13, 100%, $E$13)</f>
        <v>9.1180000000000003</v>
      </c>
      <c r="C571" s="63">
        <f>9.118 * CHOOSE(CONTROL!$C$22, $C$13, 100%, $E$13)</f>
        <v>9.1180000000000003</v>
      </c>
      <c r="D571" s="63">
        <f>9.1526 * CHOOSE(CONTROL!$C$22, $C$13, 100%, $E$13)</f>
        <v>9.1525999999999996</v>
      </c>
      <c r="E571" s="64">
        <f>10.6171 * CHOOSE(CONTROL!$C$22, $C$13, 100%, $E$13)</f>
        <v>10.617100000000001</v>
      </c>
      <c r="F571" s="64">
        <f>10.6171 * CHOOSE(CONTROL!$C$22, $C$13, 100%, $E$13)</f>
        <v>10.617100000000001</v>
      </c>
      <c r="G571" s="64">
        <f>10.6193 * CHOOSE(CONTROL!$C$22, $C$13, 100%, $E$13)</f>
        <v>10.619300000000001</v>
      </c>
      <c r="H571" s="64">
        <f>17.8909* CHOOSE(CONTROL!$C$22, $C$13, 100%, $E$13)</f>
        <v>17.890899999999998</v>
      </c>
      <c r="I571" s="64">
        <f>17.8931 * CHOOSE(CONTROL!$C$22, $C$13, 100%, $E$13)</f>
        <v>17.8931</v>
      </c>
      <c r="J571" s="64">
        <f>10.6171 * CHOOSE(CONTROL!$C$22, $C$13, 100%, $E$13)</f>
        <v>10.617100000000001</v>
      </c>
      <c r="K571" s="64">
        <f>10.6193 * CHOOSE(CONTROL!$C$22, $C$13, 100%, $E$13)</f>
        <v>10.619300000000001</v>
      </c>
    </row>
    <row r="572" spans="1:11" ht="15">
      <c r="A572" s="13">
        <v>59050</v>
      </c>
      <c r="B572" s="63">
        <f>9.1149 * CHOOSE(CONTROL!$C$22, $C$13, 100%, $E$13)</f>
        <v>9.1149000000000004</v>
      </c>
      <c r="C572" s="63">
        <f>9.1149 * CHOOSE(CONTROL!$C$22, $C$13, 100%, $E$13)</f>
        <v>9.1149000000000004</v>
      </c>
      <c r="D572" s="63">
        <f>9.1496 * CHOOSE(CONTROL!$C$22, $C$13, 100%, $E$13)</f>
        <v>9.1495999999999995</v>
      </c>
      <c r="E572" s="64">
        <f>10.6029 * CHOOSE(CONTROL!$C$22, $C$13, 100%, $E$13)</f>
        <v>10.6029</v>
      </c>
      <c r="F572" s="64">
        <f>10.6029 * CHOOSE(CONTROL!$C$22, $C$13, 100%, $E$13)</f>
        <v>10.6029</v>
      </c>
      <c r="G572" s="64">
        <f>10.6051 * CHOOSE(CONTROL!$C$22, $C$13, 100%, $E$13)</f>
        <v>10.6051</v>
      </c>
      <c r="H572" s="64">
        <f>17.9282* CHOOSE(CONTROL!$C$22, $C$13, 100%, $E$13)</f>
        <v>17.9282</v>
      </c>
      <c r="I572" s="64">
        <f>17.9304 * CHOOSE(CONTROL!$C$22, $C$13, 100%, $E$13)</f>
        <v>17.930399999999999</v>
      </c>
      <c r="J572" s="64">
        <f>10.6029 * CHOOSE(CONTROL!$C$22, $C$13, 100%, $E$13)</f>
        <v>10.6029</v>
      </c>
      <c r="K572" s="64">
        <f>10.6051 * CHOOSE(CONTROL!$C$22, $C$13, 100%, $E$13)</f>
        <v>10.6051</v>
      </c>
    </row>
    <row r="573" spans="1:11" ht="15">
      <c r="A573" s="13">
        <v>59080</v>
      </c>
      <c r="B573" s="63">
        <f>9.1271 * CHOOSE(CONTROL!$C$22, $C$13, 100%, $E$13)</f>
        <v>9.1271000000000004</v>
      </c>
      <c r="C573" s="63">
        <f>9.1271 * CHOOSE(CONTROL!$C$22, $C$13, 100%, $E$13)</f>
        <v>9.1271000000000004</v>
      </c>
      <c r="D573" s="63">
        <f>9.1444 * CHOOSE(CONTROL!$C$22, $C$13, 100%, $E$13)</f>
        <v>9.1443999999999992</v>
      </c>
      <c r="E573" s="64">
        <f>10.6379 * CHOOSE(CONTROL!$C$22, $C$13, 100%, $E$13)</f>
        <v>10.6379</v>
      </c>
      <c r="F573" s="64">
        <f>10.6379 * CHOOSE(CONTROL!$C$22, $C$13, 100%, $E$13)</f>
        <v>10.6379</v>
      </c>
      <c r="G573" s="64">
        <f>10.638 * CHOOSE(CONTROL!$C$22, $C$13, 100%, $E$13)</f>
        <v>10.638</v>
      </c>
      <c r="H573" s="64">
        <f>17.9656* CHOOSE(CONTROL!$C$22, $C$13, 100%, $E$13)</f>
        <v>17.965599999999998</v>
      </c>
      <c r="I573" s="64">
        <f>17.9657 * CHOOSE(CONTROL!$C$22, $C$13, 100%, $E$13)</f>
        <v>17.965699999999998</v>
      </c>
      <c r="J573" s="64">
        <f>10.6379 * CHOOSE(CONTROL!$C$22, $C$13, 100%, $E$13)</f>
        <v>10.6379</v>
      </c>
      <c r="K573" s="64">
        <f>10.638 * CHOOSE(CONTROL!$C$22, $C$13, 100%, $E$13)</f>
        <v>10.638</v>
      </c>
    </row>
    <row r="574" spans="1:11" ht="15">
      <c r="A574" s="13">
        <v>59111</v>
      </c>
      <c r="B574" s="63">
        <f>9.1301 * CHOOSE(CONTROL!$C$22, $C$13, 100%, $E$13)</f>
        <v>9.1301000000000005</v>
      </c>
      <c r="C574" s="63">
        <f>9.1301 * CHOOSE(CONTROL!$C$22, $C$13, 100%, $E$13)</f>
        <v>9.1301000000000005</v>
      </c>
      <c r="D574" s="63">
        <f>9.1475 * CHOOSE(CONTROL!$C$22, $C$13, 100%, $E$13)</f>
        <v>9.1475000000000009</v>
      </c>
      <c r="E574" s="64">
        <f>10.6642 * CHOOSE(CONTROL!$C$22, $C$13, 100%, $E$13)</f>
        <v>10.664199999999999</v>
      </c>
      <c r="F574" s="64">
        <f>10.6642 * CHOOSE(CONTROL!$C$22, $C$13, 100%, $E$13)</f>
        <v>10.664199999999999</v>
      </c>
      <c r="G574" s="64">
        <f>10.6643 * CHOOSE(CONTROL!$C$22, $C$13, 100%, $E$13)</f>
        <v>10.664300000000001</v>
      </c>
      <c r="H574" s="64">
        <f>18.003* CHOOSE(CONTROL!$C$22, $C$13, 100%, $E$13)</f>
        <v>18.003</v>
      </c>
      <c r="I574" s="64">
        <f>18.0032 * CHOOSE(CONTROL!$C$22, $C$13, 100%, $E$13)</f>
        <v>18.0032</v>
      </c>
      <c r="J574" s="64">
        <f>10.6642 * CHOOSE(CONTROL!$C$22, $C$13, 100%, $E$13)</f>
        <v>10.664199999999999</v>
      </c>
      <c r="K574" s="64">
        <f>10.6643 * CHOOSE(CONTROL!$C$22, $C$13, 100%, $E$13)</f>
        <v>10.664300000000001</v>
      </c>
    </row>
    <row r="575" spans="1:11" ht="15">
      <c r="A575" s="13">
        <v>59141</v>
      </c>
      <c r="B575" s="63">
        <f>9.1301 * CHOOSE(CONTROL!$C$22, $C$13, 100%, $E$13)</f>
        <v>9.1301000000000005</v>
      </c>
      <c r="C575" s="63">
        <f>9.1301 * CHOOSE(CONTROL!$C$22, $C$13, 100%, $E$13)</f>
        <v>9.1301000000000005</v>
      </c>
      <c r="D575" s="63">
        <f>9.1475 * CHOOSE(CONTROL!$C$22, $C$13, 100%, $E$13)</f>
        <v>9.1475000000000009</v>
      </c>
      <c r="E575" s="64">
        <f>10.6037 * CHOOSE(CONTROL!$C$22, $C$13, 100%, $E$13)</f>
        <v>10.6037</v>
      </c>
      <c r="F575" s="64">
        <f>10.6037 * CHOOSE(CONTROL!$C$22, $C$13, 100%, $E$13)</f>
        <v>10.6037</v>
      </c>
      <c r="G575" s="64">
        <f>10.6039 * CHOOSE(CONTROL!$C$22, $C$13, 100%, $E$13)</f>
        <v>10.603899999999999</v>
      </c>
      <c r="H575" s="64">
        <f>18.0405* CHOOSE(CONTROL!$C$22, $C$13, 100%, $E$13)</f>
        <v>18.040500000000002</v>
      </c>
      <c r="I575" s="64">
        <f>18.0407 * CHOOSE(CONTROL!$C$22, $C$13, 100%, $E$13)</f>
        <v>18.040700000000001</v>
      </c>
      <c r="J575" s="64">
        <f>10.6037 * CHOOSE(CONTROL!$C$22, $C$13, 100%, $E$13)</f>
        <v>10.6037</v>
      </c>
      <c r="K575" s="64">
        <f>10.6039 * CHOOSE(CONTROL!$C$22, $C$13, 100%, $E$13)</f>
        <v>10.603899999999999</v>
      </c>
    </row>
    <row r="576" spans="1:11" ht="15">
      <c r="A576" s="13">
        <v>59172</v>
      </c>
      <c r="B576" s="63">
        <f>9.2104 * CHOOSE(CONTROL!$C$22, $C$13, 100%, $E$13)</f>
        <v>9.2103999999999999</v>
      </c>
      <c r="C576" s="63">
        <f>9.2104 * CHOOSE(CONTROL!$C$22, $C$13, 100%, $E$13)</f>
        <v>9.2103999999999999</v>
      </c>
      <c r="D576" s="63">
        <f>9.2278 * CHOOSE(CONTROL!$C$22, $C$13, 100%, $E$13)</f>
        <v>9.2278000000000002</v>
      </c>
      <c r="E576" s="64">
        <f>10.7414 * CHOOSE(CONTROL!$C$22, $C$13, 100%, $E$13)</f>
        <v>10.741400000000001</v>
      </c>
      <c r="F576" s="64">
        <f>10.7414 * CHOOSE(CONTROL!$C$22, $C$13, 100%, $E$13)</f>
        <v>10.741400000000001</v>
      </c>
      <c r="G576" s="64">
        <f>10.7416 * CHOOSE(CONTROL!$C$22, $C$13, 100%, $E$13)</f>
        <v>10.7416</v>
      </c>
      <c r="H576" s="64">
        <f>18.0781* CHOOSE(CONTROL!$C$22, $C$13, 100%, $E$13)</f>
        <v>18.078099999999999</v>
      </c>
      <c r="I576" s="64">
        <f>18.0783 * CHOOSE(CONTROL!$C$22, $C$13, 100%, $E$13)</f>
        <v>18.078299999999999</v>
      </c>
      <c r="J576" s="64">
        <f>10.7414 * CHOOSE(CONTROL!$C$22, $C$13, 100%, $E$13)</f>
        <v>10.741400000000001</v>
      </c>
      <c r="K576" s="64">
        <f>10.7416 * CHOOSE(CONTROL!$C$22, $C$13, 100%, $E$13)</f>
        <v>10.7416</v>
      </c>
    </row>
    <row r="577" spans="1:11" ht="15">
      <c r="A577" s="13">
        <v>59203</v>
      </c>
      <c r="B577" s="63">
        <f>9.2074 * CHOOSE(CONTROL!$C$22, $C$13, 100%, $E$13)</f>
        <v>9.2073999999999998</v>
      </c>
      <c r="C577" s="63">
        <f>9.2074 * CHOOSE(CONTROL!$C$22, $C$13, 100%, $E$13)</f>
        <v>9.2073999999999998</v>
      </c>
      <c r="D577" s="63">
        <f>9.2247 * CHOOSE(CONTROL!$C$22, $C$13, 100%, $E$13)</f>
        <v>9.2247000000000003</v>
      </c>
      <c r="E577" s="64">
        <f>10.6219 * CHOOSE(CONTROL!$C$22, $C$13, 100%, $E$13)</f>
        <v>10.6219</v>
      </c>
      <c r="F577" s="64">
        <f>10.6219 * CHOOSE(CONTROL!$C$22, $C$13, 100%, $E$13)</f>
        <v>10.6219</v>
      </c>
      <c r="G577" s="64">
        <f>10.6221 * CHOOSE(CONTROL!$C$22, $C$13, 100%, $E$13)</f>
        <v>10.6221</v>
      </c>
      <c r="H577" s="64">
        <f>18.1158* CHOOSE(CONTROL!$C$22, $C$13, 100%, $E$13)</f>
        <v>18.1158</v>
      </c>
      <c r="I577" s="64">
        <f>18.1159 * CHOOSE(CONTROL!$C$22, $C$13, 100%, $E$13)</f>
        <v>18.1159</v>
      </c>
      <c r="J577" s="64">
        <f>10.6219 * CHOOSE(CONTROL!$C$22, $C$13, 100%, $E$13)</f>
        <v>10.6219</v>
      </c>
      <c r="K577" s="64">
        <f>10.6221 * CHOOSE(CONTROL!$C$22, $C$13, 100%, $E$13)</f>
        <v>10.6221</v>
      </c>
    </row>
    <row r="578" spans="1:11" ht="15">
      <c r="A578" s="13">
        <v>59231</v>
      </c>
      <c r="B578" s="63">
        <f>9.2043 * CHOOSE(CONTROL!$C$22, $C$13, 100%, $E$13)</f>
        <v>9.2042999999999999</v>
      </c>
      <c r="C578" s="63">
        <f>9.2043 * CHOOSE(CONTROL!$C$22, $C$13, 100%, $E$13)</f>
        <v>9.2042999999999999</v>
      </c>
      <c r="D578" s="63">
        <f>9.2217 * CHOOSE(CONTROL!$C$22, $C$13, 100%, $E$13)</f>
        <v>9.2217000000000002</v>
      </c>
      <c r="E578" s="64">
        <f>10.7123 * CHOOSE(CONTROL!$C$22, $C$13, 100%, $E$13)</f>
        <v>10.712300000000001</v>
      </c>
      <c r="F578" s="64">
        <f>10.7123 * CHOOSE(CONTROL!$C$22, $C$13, 100%, $E$13)</f>
        <v>10.712300000000001</v>
      </c>
      <c r="G578" s="64">
        <f>10.7125 * CHOOSE(CONTROL!$C$22, $C$13, 100%, $E$13)</f>
        <v>10.7125</v>
      </c>
      <c r="H578" s="64">
        <f>18.1535* CHOOSE(CONTROL!$C$22, $C$13, 100%, $E$13)</f>
        <v>18.153500000000001</v>
      </c>
      <c r="I578" s="64">
        <f>18.1537 * CHOOSE(CONTROL!$C$22, $C$13, 100%, $E$13)</f>
        <v>18.153700000000001</v>
      </c>
      <c r="J578" s="64">
        <f>10.7123 * CHOOSE(CONTROL!$C$22, $C$13, 100%, $E$13)</f>
        <v>10.712300000000001</v>
      </c>
      <c r="K578" s="64">
        <f>10.7125 * CHOOSE(CONTROL!$C$22, $C$13, 100%, $E$13)</f>
        <v>10.7125</v>
      </c>
    </row>
    <row r="579" spans="1:11" ht="15">
      <c r="A579" s="13">
        <v>59262</v>
      </c>
      <c r="B579" s="63">
        <f>9.2065 * CHOOSE(CONTROL!$C$22, $C$13, 100%, $E$13)</f>
        <v>9.2065000000000001</v>
      </c>
      <c r="C579" s="63">
        <f>9.2065 * CHOOSE(CONTROL!$C$22, $C$13, 100%, $E$13)</f>
        <v>9.2065000000000001</v>
      </c>
      <c r="D579" s="63">
        <f>9.2239 * CHOOSE(CONTROL!$C$22, $C$13, 100%, $E$13)</f>
        <v>9.2239000000000004</v>
      </c>
      <c r="E579" s="64">
        <f>10.8075 * CHOOSE(CONTROL!$C$22, $C$13, 100%, $E$13)</f>
        <v>10.807499999999999</v>
      </c>
      <c r="F579" s="64">
        <f>10.8075 * CHOOSE(CONTROL!$C$22, $C$13, 100%, $E$13)</f>
        <v>10.807499999999999</v>
      </c>
      <c r="G579" s="64">
        <f>10.8077 * CHOOSE(CONTROL!$C$22, $C$13, 100%, $E$13)</f>
        <v>10.807700000000001</v>
      </c>
      <c r="H579" s="64">
        <f>18.1913* CHOOSE(CONTROL!$C$22, $C$13, 100%, $E$13)</f>
        <v>18.191299999999998</v>
      </c>
      <c r="I579" s="64">
        <f>18.1915 * CHOOSE(CONTROL!$C$22, $C$13, 100%, $E$13)</f>
        <v>18.191500000000001</v>
      </c>
      <c r="J579" s="64">
        <f>10.8075 * CHOOSE(CONTROL!$C$22, $C$13, 100%, $E$13)</f>
        <v>10.807499999999999</v>
      </c>
      <c r="K579" s="64">
        <f>10.8077 * CHOOSE(CONTROL!$C$22, $C$13, 100%, $E$13)</f>
        <v>10.807700000000001</v>
      </c>
    </row>
    <row r="580" spans="1:11" ht="15">
      <c r="A580" s="13">
        <v>59292</v>
      </c>
      <c r="B580" s="63">
        <f>9.2065 * CHOOSE(CONTROL!$C$22, $C$13, 100%, $E$13)</f>
        <v>9.2065000000000001</v>
      </c>
      <c r="C580" s="63">
        <f>9.2065 * CHOOSE(CONTROL!$C$22, $C$13, 100%, $E$13)</f>
        <v>9.2065000000000001</v>
      </c>
      <c r="D580" s="63">
        <f>9.2412 * CHOOSE(CONTROL!$C$22, $C$13, 100%, $E$13)</f>
        <v>9.2411999999999992</v>
      </c>
      <c r="E580" s="64">
        <f>10.8448 * CHOOSE(CONTROL!$C$22, $C$13, 100%, $E$13)</f>
        <v>10.844799999999999</v>
      </c>
      <c r="F580" s="64">
        <f>10.8448 * CHOOSE(CONTROL!$C$22, $C$13, 100%, $E$13)</f>
        <v>10.844799999999999</v>
      </c>
      <c r="G580" s="64">
        <f>10.847 * CHOOSE(CONTROL!$C$22, $C$13, 100%, $E$13)</f>
        <v>10.847</v>
      </c>
      <c r="H580" s="64">
        <f>18.2292* CHOOSE(CONTROL!$C$22, $C$13, 100%, $E$13)</f>
        <v>18.229199999999999</v>
      </c>
      <c r="I580" s="64">
        <f>18.2314 * CHOOSE(CONTROL!$C$22, $C$13, 100%, $E$13)</f>
        <v>18.231400000000001</v>
      </c>
      <c r="J580" s="64">
        <f>10.8448 * CHOOSE(CONTROL!$C$22, $C$13, 100%, $E$13)</f>
        <v>10.844799999999999</v>
      </c>
      <c r="K580" s="64">
        <f>10.847 * CHOOSE(CONTROL!$C$22, $C$13, 100%, $E$13)</f>
        <v>10.847</v>
      </c>
    </row>
    <row r="581" spans="1:11" ht="15">
      <c r="A581" s="13">
        <v>59323</v>
      </c>
      <c r="B581" s="63">
        <f>9.2126 * CHOOSE(CONTROL!$C$22, $C$13, 100%, $E$13)</f>
        <v>9.2126000000000001</v>
      </c>
      <c r="C581" s="63">
        <f>9.2126 * CHOOSE(CONTROL!$C$22, $C$13, 100%, $E$13)</f>
        <v>9.2126000000000001</v>
      </c>
      <c r="D581" s="63">
        <f>9.2473 * CHOOSE(CONTROL!$C$22, $C$13, 100%, $E$13)</f>
        <v>9.2472999999999992</v>
      </c>
      <c r="E581" s="64">
        <f>10.8118 * CHOOSE(CONTROL!$C$22, $C$13, 100%, $E$13)</f>
        <v>10.8118</v>
      </c>
      <c r="F581" s="64">
        <f>10.8118 * CHOOSE(CONTROL!$C$22, $C$13, 100%, $E$13)</f>
        <v>10.8118</v>
      </c>
      <c r="G581" s="64">
        <f>10.8139 * CHOOSE(CONTROL!$C$22, $C$13, 100%, $E$13)</f>
        <v>10.8139</v>
      </c>
      <c r="H581" s="64">
        <f>18.2672* CHOOSE(CONTROL!$C$22, $C$13, 100%, $E$13)</f>
        <v>18.267199999999999</v>
      </c>
      <c r="I581" s="64">
        <f>18.2693 * CHOOSE(CONTROL!$C$22, $C$13, 100%, $E$13)</f>
        <v>18.269300000000001</v>
      </c>
      <c r="J581" s="64">
        <f>10.8118 * CHOOSE(CONTROL!$C$22, $C$13, 100%, $E$13)</f>
        <v>10.8118</v>
      </c>
      <c r="K581" s="64">
        <f>10.8139 * CHOOSE(CONTROL!$C$22, $C$13, 100%, $E$13)</f>
        <v>10.8139</v>
      </c>
    </row>
    <row r="582" spans="1:11" ht="15">
      <c r="A582" s="13">
        <v>59353</v>
      </c>
      <c r="B582" s="63">
        <f>9.3605 * CHOOSE(CONTROL!$C$22, $C$13, 100%, $E$13)</f>
        <v>9.3605</v>
      </c>
      <c r="C582" s="63">
        <f>9.3605 * CHOOSE(CONTROL!$C$22, $C$13, 100%, $E$13)</f>
        <v>9.3605</v>
      </c>
      <c r="D582" s="63">
        <f>9.3951 * CHOOSE(CONTROL!$C$22, $C$13, 100%, $E$13)</f>
        <v>9.3950999999999993</v>
      </c>
      <c r="E582" s="64">
        <f>11.0212 * CHOOSE(CONTROL!$C$22, $C$13, 100%, $E$13)</f>
        <v>11.0212</v>
      </c>
      <c r="F582" s="64">
        <f>11.0212 * CHOOSE(CONTROL!$C$22, $C$13, 100%, $E$13)</f>
        <v>11.0212</v>
      </c>
      <c r="G582" s="64">
        <f>11.0233 * CHOOSE(CONTROL!$C$22, $C$13, 100%, $E$13)</f>
        <v>11.023300000000001</v>
      </c>
      <c r="H582" s="64">
        <f>18.3052* CHOOSE(CONTROL!$C$22, $C$13, 100%, $E$13)</f>
        <v>18.305199999999999</v>
      </c>
      <c r="I582" s="64">
        <f>18.3074 * CHOOSE(CONTROL!$C$22, $C$13, 100%, $E$13)</f>
        <v>18.307400000000001</v>
      </c>
      <c r="J582" s="64">
        <f>11.0212 * CHOOSE(CONTROL!$C$22, $C$13, 100%, $E$13)</f>
        <v>11.0212</v>
      </c>
      <c r="K582" s="64">
        <f>11.0233 * CHOOSE(CONTROL!$C$22, $C$13, 100%, $E$13)</f>
        <v>11.023300000000001</v>
      </c>
    </row>
    <row r="583" spans="1:11" ht="15">
      <c r="A583" s="13">
        <v>59384</v>
      </c>
      <c r="B583" s="63">
        <f>9.3672 * CHOOSE(CONTROL!$C$22, $C$13, 100%, $E$13)</f>
        <v>9.3672000000000004</v>
      </c>
      <c r="C583" s="63">
        <f>9.3672 * CHOOSE(CONTROL!$C$22, $C$13, 100%, $E$13)</f>
        <v>9.3672000000000004</v>
      </c>
      <c r="D583" s="63">
        <f>9.4018 * CHOOSE(CONTROL!$C$22, $C$13, 100%, $E$13)</f>
        <v>9.4017999999999997</v>
      </c>
      <c r="E583" s="64">
        <f>10.914 * CHOOSE(CONTROL!$C$22, $C$13, 100%, $E$13)</f>
        <v>10.914</v>
      </c>
      <c r="F583" s="64">
        <f>10.914 * CHOOSE(CONTROL!$C$22, $C$13, 100%, $E$13)</f>
        <v>10.914</v>
      </c>
      <c r="G583" s="64">
        <f>10.9161 * CHOOSE(CONTROL!$C$22, $C$13, 100%, $E$13)</f>
        <v>10.9161</v>
      </c>
      <c r="H583" s="64">
        <f>18.3434* CHOOSE(CONTROL!$C$22, $C$13, 100%, $E$13)</f>
        <v>18.343399999999999</v>
      </c>
      <c r="I583" s="64">
        <f>18.3455 * CHOOSE(CONTROL!$C$22, $C$13, 100%, $E$13)</f>
        <v>18.345500000000001</v>
      </c>
      <c r="J583" s="64">
        <f>10.914 * CHOOSE(CONTROL!$C$22, $C$13, 100%, $E$13)</f>
        <v>10.914</v>
      </c>
      <c r="K583" s="64">
        <f>10.9161 * CHOOSE(CONTROL!$C$22, $C$13, 100%, $E$13)</f>
        <v>10.9161</v>
      </c>
    </row>
    <row r="584" spans="1:11" ht="15">
      <c r="A584" s="13">
        <v>59415</v>
      </c>
      <c r="B584" s="63">
        <f>9.3641 * CHOOSE(CONTROL!$C$22, $C$13, 100%, $E$13)</f>
        <v>9.3641000000000005</v>
      </c>
      <c r="C584" s="63">
        <f>9.3641 * CHOOSE(CONTROL!$C$22, $C$13, 100%, $E$13)</f>
        <v>9.3641000000000005</v>
      </c>
      <c r="D584" s="63">
        <f>9.3988 * CHOOSE(CONTROL!$C$22, $C$13, 100%, $E$13)</f>
        <v>9.3987999999999996</v>
      </c>
      <c r="E584" s="64">
        <f>10.8994 * CHOOSE(CONTROL!$C$22, $C$13, 100%, $E$13)</f>
        <v>10.8994</v>
      </c>
      <c r="F584" s="64">
        <f>10.8994 * CHOOSE(CONTROL!$C$22, $C$13, 100%, $E$13)</f>
        <v>10.8994</v>
      </c>
      <c r="G584" s="64">
        <f>10.9016 * CHOOSE(CONTROL!$C$22, $C$13, 100%, $E$13)</f>
        <v>10.9016</v>
      </c>
      <c r="H584" s="64">
        <f>18.3816* CHOOSE(CONTROL!$C$22, $C$13, 100%, $E$13)</f>
        <v>18.381599999999999</v>
      </c>
      <c r="I584" s="64">
        <f>18.3837 * CHOOSE(CONTROL!$C$22, $C$13, 100%, $E$13)</f>
        <v>18.383700000000001</v>
      </c>
      <c r="J584" s="64">
        <f>10.8994 * CHOOSE(CONTROL!$C$22, $C$13, 100%, $E$13)</f>
        <v>10.8994</v>
      </c>
      <c r="K584" s="64">
        <f>10.9016 * CHOOSE(CONTROL!$C$22, $C$13, 100%, $E$13)</f>
        <v>10.9016</v>
      </c>
    </row>
    <row r="585" spans="1:11" ht="15">
      <c r="A585" s="13">
        <v>59445</v>
      </c>
      <c r="B585" s="63">
        <f>9.3771 * CHOOSE(CONTROL!$C$22, $C$13, 100%, $E$13)</f>
        <v>9.3771000000000004</v>
      </c>
      <c r="C585" s="63">
        <f>9.3771 * CHOOSE(CONTROL!$C$22, $C$13, 100%, $E$13)</f>
        <v>9.3771000000000004</v>
      </c>
      <c r="D585" s="63">
        <f>9.3944 * CHOOSE(CONTROL!$C$22, $C$13, 100%, $E$13)</f>
        <v>9.3943999999999992</v>
      </c>
      <c r="E585" s="64">
        <f>10.9357 * CHOOSE(CONTROL!$C$22, $C$13, 100%, $E$13)</f>
        <v>10.935700000000001</v>
      </c>
      <c r="F585" s="64">
        <f>10.9357 * CHOOSE(CONTROL!$C$22, $C$13, 100%, $E$13)</f>
        <v>10.935700000000001</v>
      </c>
      <c r="G585" s="64">
        <f>10.9359 * CHOOSE(CONTROL!$C$22, $C$13, 100%, $E$13)</f>
        <v>10.9359</v>
      </c>
      <c r="H585" s="64">
        <f>18.4199* CHOOSE(CONTROL!$C$22, $C$13, 100%, $E$13)</f>
        <v>18.419899999999998</v>
      </c>
      <c r="I585" s="64">
        <f>18.4201 * CHOOSE(CONTROL!$C$22, $C$13, 100%, $E$13)</f>
        <v>18.420100000000001</v>
      </c>
      <c r="J585" s="64">
        <f>10.9357 * CHOOSE(CONTROL!$C$22, $C$13, 100%, $E$13)</f>
        <v>10.935700000000001</v>
      </c>
      <c r="K585" s="64">
        <f>10.9359 * CHOOSE(CONTROL!$C$22, $C$13, 100%, $E$13)</f>
        <v>10.9359</v>
      </c>
    </row>
    <row r="586" spans="1:11" ht="15">
      <c r="A586" s="13">
        <v>59476</v>
      </c>
      <c r="B586" s="63">
        <f>9.3802 * CHOOSE(CONTROL!$C$22, $C$13, 100%, $E$13)</f>
        <v>9.3802000000000003</v>
      </c>
      <c r="C586" s="63">
        <f>9.3802 * CHOOSE(CONTROL!$C$22, $C$13, 100%, $E$13)</f>
        <v>9.3802000000000003</v>
      </c>
      <c r="D586" s="63">
        <f>9.3975 * CHOOSE(CONTROL!$C$22, $C$13, 100%, $E$13)</f>
        <v>9.3975000000000009</v>
      </c>
      <c r="E586" s="64">
        <f>10.9627 * CHOOSE(CONTROL!$C$22, $C$13, 100%, $E$13)</f>
        <v>10.9627</v>
      </c>
      <c r="F586" s="64">
        <f>10.9627 * CHOOSE(CONTROL!$C$22, $C$13, 100%, $E$13)</f>
        <v>10.9627</v>
      </c>
      <c r="G586" s="64">
        <f>10.9629 * CHOOSE(CONTROL!$C$22, $C$13, 100%, $E$13)</f>
        <v>10.962899999999999</v>
      </c>
      <c r="H586" s="64">
        <f>18.4583* CHOOSE(CONTROL!$C$22, $C$13, 100%, $E$13)</f>
        <v>18.458300000000001</v>
      </c>
      <c r="I586" s="64">
        <f>18.4584 * CHOOSE(CONTROL!$C$22, $C$13, 100%, $E$13)</f>
        <v>18.458400000000001</v>
      </c>
      <c r="J586" s="64">
        <f>10.9627 * CHOOSE(CONTROL!$C$22, $C$13, 100%, $E$13)</f>
        <v>10.9627</v>
      </c>
      <c r="K586" s="64">
        <f>10.9629 * CHOOSE(CONTROL!$C$22, $C$13, 100%, $E$13)</f>
        <v>10.962899999999999</v>
      </c>
    </row>
    <row r="587" spans="1:11" ht="15">
      <c r="A587" s="13">
        <v>59506</v>
      </c>
      <c r="B587" s="63">
        <f>9.3802 * CHOOSE(CONTROL!$C$22, $C$13, 100%, $E$13)</f>
        <v>9.3802000000000003</v>
      </c>
      <c r="C587" s="63">
        <f>9.3802 * CHOOSE(CONTROL!$C$22, $C$13, 100%, $E$13)</f>
        <v>9.3802000000000003</v>
      </c>
      <c r="D587" s="63">
        <f>9.3975 * CHOOSE(CONTROL!$C$22, $C$13, 100%, $E$13)</f>
        <v>9.3975000000000009</v>
      </c>
      <c r="E587" s="64">
        <f>10.9005 * CHOOSE(CONTROL!$C$22, $C$13, 100%, $E$13)</f>
        <v>10.900499999999999</v>
      </c>
      <c r="F587" s="64">
        <f>10.9005 * CHOOSE(CONTROL!$C$22, $C$13, 100%, $E$13)</f>
        <v>10.900499999999999</v>
      </c>
      <c r="G587" s="64">
        <f>10.9007 * CHOOSE(CONTROL!$C$22, $C$13, 100%, $E$13)</f>
        <v>10.900700000000001</v>
      </c>
      <c r="H587" s="64">
        <f>18.4967* CHOOSE(CONTROL!$C$22, $C$13, 100%, $E$13)</f>
        <v>18.496700000000001</v>
      </c>
      <c r="I587" s="64">
        <f>18.4969 * CHOOSE(CONTROL!$C$22, $C$13, 100%, $E$13)</f>
        <v>18.4969</v>
      </c>
      <c r="J587" s="64">
        <f>10.9005 * CHOOSE(CONTROL!$C$22, $C$13, 100%, $E$13)</f>
        <v>10.900499999999999</v>
      </c>
      <c r="K587" s="64">
        <f>10.9007 * CHOOSE(CONTROL!$C$22, $C$13, 100%, $E$13)</f>
        <v>10.900700000000001</v>
      </c>
    </row>
    <row r="588" spans="1:11" ht="15">
      <c r="A588" s="13">
        <v>59537</v>
      </c>
      <c r="B588" s="63">
        <f>9.4557 * CHOOSE(CONTROL!$C$22, $C$13, 100%, $E$13)</f>
        <v>9.4557000000000002</v>
      </c>
      <c r="C588" s="63">
        <f>9.4557 * CHOOSE(CONTROL!$C$22, $C$13, 100%, $E$13)</f>
        <v>9.4557000000000002</v>
      </c>
      <c r="D588" s="63">
        <f>9.4731 * CHOOSE(CONTROL!$C$22, $C$13, 100%, $E$13)</f>
        <v>9.4731000000000005</v>
      </c>
      <c r="E588" s="64">
        <f>11.0338 * CHOOSE(CONTROL!$C$22, $C$13, 100%, $E$13)</f>
        <v>11.033799999999999</v>
      </c>
      <c r="F588" s="64">
        <f>11.0338 * CHOOSE(CONTROL!$C$22, $C$13, 100%, $E$13)</f>
        <v>11.033799999999999</v>
      </c>
      <c r="G588" s="64">
        <f>11.034 * CHOOSE(CONTROL!$C$22, $C$13, 100%, $E$13)</f>
        <v>11.034000000000001</v>
      </c>
      <c r="H588" s="64">
        <f>18.524* CHOOSE(CONTROL!$C$22, $C$13, 100%, $E$13)</f>
        <v>18.524000000000001</v>
      </c>
      <c r="I588" s="64">
        <f>18.5242 * CHOOSE(CONTROL!$C$22, $C$13, 100%, $E$13)</f>
        <v>18.5242</v>
      </c>
      <c r="J588" s="64">
        <f>11.0338 * CHOOSE(CONTROL!$C$22, $C$13, 100%, $E$13)</f>
        <v>11.033799999999999</v>
      </c>
      <c r="K588" s="64">
        <f>11.034 * CHOOSE(CONTROL!$C$22, $C$13, 100%, $E$13)</f>
        <v>11.034000000000001</v>
      </c>
    </row>
    <row r="589" spans="1:11" ht="15">
      <c r="A589" s="13">
        <v>59568</v>
      </c>
      <c r="B589" s="63">
        <f>9.4527 * CHOOSE(CONTROL!$C$22, $C$13, 100%, $E$13)</f>
        <v>9.4527000000000001</v>
      </c>
      <c r="C589" s="63">
        <f>9.4527 * CHOOSE(CONTROL!$C$22, $C$13, 100%, $E$13)</f>
        <v>9.4527000000000001</v>
      </c>
      <c r="D589" s="63">
        <f>9.47 * CHOOSE(CONTROL!$C$22, $C$13, 100%, $E$13)</f>
        <v>9.4700000000000006</v>
      </c>
      <c r="E589" s="64">
        <f>10.9111 * CHOOSE(CONTROL!$C$22, $C$13, 100%, $E$13)</f>
        <v>10.911099999999999</v>
      </c>
      <c r="F589" s="64">
        <f>10.9111 * CHOOSE(CONTROL!$C$22, $C$13, 100%, $E$13)</f>
        <v>10.911099999999999</v>
      </c>
      <c r="G589" s="64">
        <f>10.9113 * CHOOSE(CONTROL!$C$22, $C$13, 100%, $E$13)</f>
        <v>10.911300000000001</v>
      </c>
      <c r="H589" s="64">
        <f>18.5626* CHOOSE(CONTROL!$C$22, $C$13, 100%, $E$13)</f>
        <v>18.5626</v>
      </c>
      <c r="I589" s="64">
        <f>18.5628 * CHOOSE(CONTROL!$C$22, $C$13, 100%, $E$13)</f>
        <v>18.562799999999999</v>
      </c>
      <c r="J589" s="64">
        <f>10.9111 * CHOOSE(CONTROL!$C$22, $C$13, 100%, $E$13)</f>
        <v>10.911099999999999</v>
      </c>
      <c r="K589" s="64">
        <f>10.9113 * CHOOSE(CONTROL!$C$22, $C$13, 100%, $E$13)</f>
        <v>10.911300000000001</v>
      </c>
    </row>
    <row r="590" spans="1:11" ht="15">
      <c r="A590" s="13">
        <v>59596</v>
      </c>
      <c r="B590" s="63">
        <f>9.4497 * CHOOSE(CONTROL!$C$22, $C$13, 100%, $E$13)</f>
        <v>9.4497</v>
      </c>
      <c r="C590" s="63">
        <f>9.4497 * CHOOSE(CONTROL!$C$22, $C$13, 100%, $E$13)</f>
        <v>9.4497</v>
      </c>
      <c r="D590" s="63">
        <f>9.467 * CHOOSE(CONTROL!$C$22, $C$13, 100%, $E$13)</f>
        <v>9.4670000000000005</v>
      </c>
      <c r="E590" s="64">
        <f>11.0041 * CHOOSE(CONTROL!$C$22, $C$13, 100%, $E$13)</f>
        <v>11.004099999999999</v>
      </c>
      <c r="F590" s="64">
        <f>11.0041 * CHOOSE(CONTROL!$C$22, $C$13, 100%, $E$13)</f>
        <v>11.004099999999999</v>
      </c>
      <c r="G590" s="64">
        <f>11.0042 * CHOOSE(CONTROL!$C$22, $C$13, 100%, $E$13)</f>
        <v>11.004200000000001</v>
      </c>
      <c r="H590" s="64">
        <f>18.6012* CHOOSE(CONTROL!$C$22, $C$13, 100%, $E$13)</f>
        <v>18.601199999999999</v>
      </c>
      <c r="I590" s="64">
        <f>18.6014 * CHOOSE(CONTROL!$C$22, $C$13, 100%, $E$13)</f>
        <v>18.601400000000002</v>
      </c>
      <c r="J590" s="64">
        <f>11.0041 * CHOOSE(CONTROL!$C$22, $C$13, 100%, $E$13)</f>
        <v>11.004099999999999</v>
      </c>
      <c r="K590" s="64">
        <f>11.0042 * CHOOSE(CONTROL!$C$22, $C$13, 100%, $E$13)</f>
        <v>11.004200000000001</v>
      </c>
    </row>
    <row r="591" spans="1:11" ht="15">
      <c r="A591" s="13">
        <v>59627</v>
      </c>
      <c r="B591" s="63">
        <f>9.452 * CHOOSE(CONTROL!$C$22, $C$13, 100%, $E$13)</f>
        <v>9.452</v>
      </c>
      <c r="C591" s="63">
        <f>9.452 * CHOOSE(CONTROL!$C$22, $C$13, 100%, $E$13)</f>
        <v>9.452</v>
      </c>
      <c r="D591" s="63">
        <f>9.4694 * CHOOSE(CONTROL!$C$22, $C$13, 100%, $E$13)</f>
        <v>9.4694000000000003</v>
      </c>
      <c r="E591" s="64">
        <f>11.102 * CHOOSE(CONTROL!$C$22, $C$13, 100%, $E$13)</f>
        <v>11.102</v>
      </c>
      <c r="F591" s="64">
        <f>11.102 * CHOOSE(CONTROL!$C$22, $C$13, 100%, $E$13)</f>
        <v>11.102</v>
      </c>
      <c r="G591" s="64">
        <f>11.1022 * CHOOSE(CONTROL!$C$22, $C$13, 100%, $E$13)</f>
        <v>11.1022</v>
      </c>
      <c r="H591" s="64">
        <f>18.64* CHOOSE(CONTROL!$C$22, $C$13, 100%, $E$13)</f>
        <v>18.64</v>
      </c>
      <c r="I591" s="64">
        <f>18.6402 * CHOOSE(CONTROL!$C$22, $C$13, 100%, $E$13)</f>
        <v>18.6402</v>
      </c>
      <c r="J591" s="64">
        <f>11.102 * CHOOSE(CONTROL!$C$22, $C$13, 100%, $E$13)</f>
        <v>11.102</v>
      </c>
      <c r="K591" s="64">
        <f>11.1022 * CHOOSE(CONTROL!$C$22, $C$13, 100%, $E$13)</f>
        <v>11.1022</v>
      </c>
    </row>
    <row r="592" spans="1:11" ht="15">
      <c r="A592" s="13">
        <v>59657</v>
      </c>
      <c r="B592" s="63">
        <f>9.452 * CHOOSE(CONTROL!$C$22, $C$13, 100%, $E$13)</f>
        <v>9.452</v>
      </c>
      <c r="C592" s="63">
        <f>9.452 * CHOOSE(CONTROL!$C$22, $C$13, 100%, $E$13)</f>
        <v>9.452</v>
      </c>
      <c r="D592" s="63">
        <f>9.4867 * CHOOSE(CONTROL!$C$22, $C$13, 100%, $E$13)</f>
        <v>9.4867000000000008</v>
      </c>
      <c r="E592" s="64">
        <f>11.1403 * CHOOSE(CONTROL!$C$22, $C$13, 100%, $E$13)</f>
        <v>11.1403</v>
      </c>
      <c r="F592" s="64">
        <f>11.1403 * CHOOSE(CONTROL!$C$22, $C$13, 100%, $E$13)</f>
        <v>11.1403</v>
      </c>
      <c r="G592" s="64">
        <f>11.1424 * CHOOSE(CONTROL!$C$22, $C$13, 100%, $E$13)</f>
        <v>11.1424</v>
      </c>
      <c r="H592" s="64">
        <f>18.6788* CHOOSE(CONTROL!$C$22, $C$13, 100%, $E$13)</f>
        <v>18.678799999999999</v>
      </c>
      <c r="I592" s="64">
        <f>18.681 * CHOOSE(CONTROL!$C$22, $C$13, 100%, $E$13)</f>
        <v>18.681000000000001</v>
      </c>
      <c r="J592" s="64">
        <f>11.1403 * CHOOSE(CONTROL!$C$22, $C$13, 100%, $E$13)</f>
        <v>11.1403</v>
      </c>
      <c r="K592" s="64">
        <f>11.1424 * CHOOSE(CONTROL!$C$22, $C$13, 100%, $E$13)</f>
        <v>11.1424</v>
      </c>
    </row>
    <row r="593" spans="1:11" ht="15">
      <c r="A593" s="13">
        <v>59688</v>
      </c>
      <c r="B593" s="63">
        <f>9.4581 * CHOOSE(CONTROL!$C$22, $C$13, 100%, $E$13)</f>
        <v>9.4581</v>
      </c>
      <c r="C593" s="63">
        <f>9.4581 * CHOOSE(CONTROL!$C$22, $C$13, 100%, $E$13)</f>
        <v>9.4581</v>
      </c>
      <c r="D593" s="63">
        <f>9.4928 * CHOOSE(CONTROL!$C$22, $C$13, 100%, $E$13)</f>
        <v>9.4928000000000008</v>
      </c>
      <c r="E593" s="64">
        <f>11.1062 * CHOOSE(CONTROL!$C$22, $C$13, 100%, $E$13)</f>
        <v>11.106199999999999</v>
      </c>
      <c r="F593" s="64">
        <f>11.1062 * CHOOSE(CONTROL!$C$22, $C$13, 100%, $E$13)</f>
        <v>11.106199999999999</v>
      </c>
      <c r="G593" s="64">
        <f>11.1084 * CHOOSE(CONTROL!$C$22, $C$13, 100%, $E$13)</f>
        <v>11.1084</v>
      </c>
      <c r="H593" s="64">
        <f>18.7177* CHOOSE(CONTROL!$C$22, $C$13, 100%, $E$13)</f>
        <v>18.717700000000001</v>
      </c>
      <c r="I593" s="64">
        <f>18.7199 * CHOOSE(CONTROL!$C$22, $C$13, 100%, $E$13)</f>
        <v>18.719899999999999</v>
      </c>
      <c r="J593" s="64">
        <f>11.1062 * CHOOSE(CONTROL!$C$22, $C$13, 100%, $E$13)</f>
        <v>11.106199999999999</v>
      </c>
      <c r="K593" s="64">
        <f>11.1084 * CHOOSE(CONTROL!$C$22, $C$13, 100%, $E$13)</f>
        <v>11.1084</v>
      </c>
    </row>
    <row r="594" spans="1:11" ht="15">
      <c r="A594" s="13">
        <v>59718</v>
      </c>
      <c r="B594" s="63">
        <f>9.6097 * CHOOSE(CONTROL!$C$22, $C$13, 100%, $E$13)</f>
        <v>9.6097000000000001</v>
      </c>
      <c r="C594" s="63">
        <f>9.6097 * CHOOSE(CONTROL!$C$22, $C$13, 100%, $E$13)</f>
        <v>9.6097000000000001</v>
      </c>
      <c r="D594" s="63">
        <f>9.6444 * CHOOSE(CONTROL!$C$22, $C$13, 100%, $E$13)</f>
        <v>9.6443999999999992</v>
      </c>
      <c r="E594" s="64">
        <f>11.321 * CHOOSE(CONTROL!$C$22, $C$13, 100%, $E$13)</f>
        <v>11.321</v>
      </c>
      <c r="F594" s="64">
        <f>11.321 * CHOOSE(CONTROL!$C$22, $C$13, 100%, $E$13)</f>
        <v>11.321</v>
      </c>
      <c r="G594" s="64">
        <f>11.3232 * CHOOSE(CONTROL!$C$22, $C$13, 100%, $E$13)</f>
        <v>11.3232</v>
      </c>
      <c r="H594" s="64">
        <f>18.7567* CHOOSE(CONTROL!$C$22, $C$13, 100%, $E$13)</f>
        <v>18.756699999999999</v>
      </c>
      <c r="I594" s="64">
        <f>18.7589 * CHOOSE(CONTROL!$C$22, $C$13, 100%, $E$13)</f>
        <v>18.758900000000001</v>
      </c>
      <c r="J594" s="64">
        <f>11.321 * CHOOSE(CONTROL!$C$22, $C$13, 100%, $E$13)</f>
        <v>11.321</v>
      </c>
      <c r="K594" s="64">
        <f>11.3232 * CHOOSE(CONTROL!$C$22, $C$13, 100%, $E$13)</f>
        <v>11.3232</v>
      </c>
    </row>
    <row r="595" spans="1:11" ht="15">
      <c r="A595" s="13">
        <v>59749</v>
      </c>
      <c r="B595" s="63">
        <f>9.6164 * CHOOSE(CONTROL!$C$22, $C$13, 100%, $E$13)</f>
        <v>9.6164000000000005</v>
      </c>
      <c r="C595" s="63">
        <f>9.6164 * CHOOSE(CONTROL!$C$22, $C$13, 100%, $E$13)</f>
        <v>9.6164000000000005</v>
      </c>
      <c r="D595" s="63">
        <f>9.6511 * CHOOSE(CONTROL!$C$22, $C$13, 100%, $E$13)</f>
        <v>9.6510999999999996</v>
      </c>
      <c r="E595" s="64">
        <f>11.2108 * CHOOSE(CONTROL!$C$22, $C$13, 100%, $E$13)</f>
        <v>11.210800000000001</v>
      </c>
      <c r="F595" s="64">
        <f>11.2108 * CHOOSE(CONTROL!$C$22, $C$13, 100%, $E$13)</f>
        <v>11.210800000000001</v>
      </c>
      <c r="G595" s="64">
        <f>11.2129 * CHOOSE(CONTROL!$C$22, $C$13, 100%, $E$13)</f>
        <v>11.212899999999999</v>
      </c>
      <c r="H595" s="64">
        <f>18.7958* CHOOSE(CONTROL!$C$22, $C$13, 100%, $E$13)</f>
        <v>18.7958</v>
      </c>
      <c r="I595" s="64">
        <f>18.798 * CHOOSE(CONTROL!$C$22, $C$13, 100%, $E$13)</f>
        <v>18.797999999999998</v>
      </c>
      <c r="J595" s="64">
        <f>11.2108 * CHOOSE(CONTROL!$C$22, $C$13, 100%, $E$13)</f>
        <v>11.210800000000001</v>
      </c>
      <c r="K595" s="64">
        <f>11.2129 * CHOOSE(CONTROL!$C$22, $C$13, 100%, $E$13)</f>
        <v>11.212899999999999</v>
      </c>
    </row>
    <row r="596" spans="1:11" ht="15">
      <c r="A596" s="13">
        <v>59780</v>
      </c>
      <c r="B596" s="63">
        <f>9.6134 * CHOOSE(CONTROL!$C$22, $C$13, 100%, $E$13)</f>
        <v>9.6134000000000004</v>
      </c>
      <c r="C596" s="63">
        <f>9.6134 * CHOOSE(CONTROL!$C$22, $C$13, 100%, $E$13)</f>
        <v>9.6134000000000004</v>
      </c>
      <c r="D596" s="63">
        <f>9.648 * CHOOSE(CONTROL!$C$22, $C$13, 100%, $E$13)</f>
        <v>9.6479999999999997</v>
      </c>
      <c r="E596" s="64">
        <f>11.1959 * CHOOSE(CONTROL!$C$22, $C$13, 100%, $E$13)</f>
        <v>11.1959</v>
      </c>
      <c r="F596" s="64">
        <f>11.1959 * CHOOSE(CONTROL!$C$22, $C$13, 100%, $E$13)</f>
        <v>11.1959</v>
      </c>
      <c r="G596" s="64">
        <f>11.1981 * CHOOSE(CONTROL!$C$22, $C$13, 100%, $E$13)</f>
        <v>11.1981</v>
      </c>
      <c r="H596" s="64">
        <f>18.835* CHOOSE(CONTROL!$C$22, $C$13, 100%, $E$13)</f>
        <v>18.835000000000001</v>
      </c>
      <c r="I596" s="64">
        <f>18.8371 * CHOOSE(CONTROL!$C$22, $C$13, 100%, $E$13)</f>
        <v>18.8371</v>
      </c>
      <c r="J596" s="64">
        <f>11.1959 * CHOOSE(CONTROL!$C$22, $C$13, 100%, $E$13)</f>
        <v>11.1959</v>
      </c>
      <c r="K596" s="64">
        <f>11.1981 * CHOOSE(CONTROL!$C$22, $C$13, 100%, $E$13)</f>
        <v>11.1981</v>
      </c>
    </row>
    <row r="597" spans="1:11" ht="15">
      <c r="A597" s="13">
        <v>59810</v>
      </c>
      <c r="B597" s="63">
        <f>9.6271 * CHOOSE(CONTROL!$C$22, $C$13, 100%, $E$13)</f>
        <v>9.6271000000000004</v>
      </c>
      <c r="C597" s="63">
        <f>9.6271 * CHOOSE(CONTROL!$C$22, $C$13, 100%, $E$13)</f>
        <v>9.6271000000000004</v>
      </c>
      <c r="D597" s="63">
        <f>9.6445 * CHOOSE(CONTROL!$C$22, $C$13, 100%, $E$13)</f>
        <v>9.6445000000000007</v>
      </c>
      <c r="E597" s="64">
        <f>11.2336 * CHOOSE(CONTROL!$C$22, $C$13, 100%, $E$13)</f>
        <v>11.233599999999999</v>
      </c>
      <c r="F597" s="64">
        <f>11.2336 * CHOOSE(CONTROL!$C$22, $C$13, 100%, $E$13)</f>
        <v>11.233599999999999</v>
      </c>
      <c r="G597" s="64">
        <f>11.2337 * CHOOSE(CONTROL!$C$22, $C$13, 100%, $E$13)</f>
        <v>11.233700000000001</v>
      </c>
      <c r="H597" s="64">
        <f>18.8742* CHOOSE(CONTROL!$C$22, $C$13, 100%, $E$13)</f>
        <v>18.874199999999998</v>
      </c>
      <c r="I597" s="64">
        <f>18.8744 * CHOOSE(CONTROL!$C$22, $C$13, 100%, $E$13)</f>
        <v>18.874400000000001</v>
      </c>
      <c r="J597" s="64">
        <f>11.2336 * CHOOSE(CONTROL!$C$22, $C$13, 100%, $E$13)</f>
        <v>11.233599999999999</v>
      </c>
      <c r="K597" s="64">
        <f>11.2337 * CHOOSE(CONTROL!$C$22, $C$13, 100%, $E$13)</f>
        <v>11.233700000000001</v>
      </c>
    </row>
    <row r="598" spans="1:11" ht="15">
      <c r="A598" s="13">
        <v>59841</v>
      </c>
      <c r="B598" s="63">
        <f>9.6302 * CHOOSE(CONTROL!$C$22, $C$13, 100%, $E$13)</f>
        <v>9.6302000000000003</v>
      </c>
      <c r="C598" s="63">
        <f>9.6302 * CHOOSE(CONTROL!$C$22, $C$13, 100%, $E$13)</f>
        <v>9.6302000000000003</v>
      </c>
      <c r="D598" s="63">
        <f>9.6475 * CHOOSE(CONTROL!$C$22, $C$13, 100%, $E$13)</f>
        <v>9.6475000000000009</v>
      </c>
      <c r="E598" s="64">
        <f>11.2612 * CHOOSE(CONTROL!$C$22, $C$13, 100%, $E$13)</f>
        <v>11.261200000000001</v>
      </c>
      <c r="F598" s="64">
        <f>11.2612 * CHOOSE(CONTROL!$C$22, $C$13, 100%, $E$13)</f>
        <v>11.261200000000001</v>
      </c>
      <c r="G598" s="64">
        <f>11.2614 * CHOOSE(CONTROL!$C$22, $C$13, 100%, $E$13)</f>
        <v>11.2614</v>
      </c>
      <c r="H598" s="64">
        <f>18.9135* CHOOSE(CONTROL!$C$22, $C$13, 100%, $E$13)</f>
        <v>18.913499999999999</v>
      </c>
      <c r="I598" s="64">
        <f>18.9137 * CHOOSE(CONTROL!$C$22, $C$13, 100%, $E$13)</f>
        <v>18.913699999999999</v>
      </c>
      <c r="J598" s="64">
        <f>11.2612 * CHOOSE(CONTROL!$C$22, $C$13, 100%, $E$13)</f>
        <v>11.261200000000001</v>
      </c>
      <c r="K598" s="64">
        <f>11.2614 * CHOOSE(CONTROL!$C$22, $C$13, 100%, $E$13)</f>
        <v>11.2614</v>
      </c>
    </row>
    <row r="599" spans="1:11" ht="15">
      <c r="A599" s="13">
        <v>59871</v>
      </c>
      <c r="B599" s="63">
        <f>9.6302 * CHOOSE(CONTROL!$C$22, $C$13, 100%, $E$13)</f>
        <v>9.6302000000000003</v>
      </c>
      <c r="C599" s="63">
        <f>9.6302 * CHOOSE(CONTROL!$C$22, $C$13, 100%, $E$13)</f>
        <v>9.6302000000000003</v>
      </c>
      <c r="D599" s="63">
        <f>9.6475 * CHOOSE(CONTROL!$C$22, $C$13, 100%, $E$13)</f>
        <v>9.6475000000000009</v>
      </c>
      <c r="E599" s="64">
        <f>11.1974 * CHOOSE(CONTROL!$C$22, $C$13, 100%, $E$13)</f>
        <v>11.1974</v>
      </c>
      <c r="F599" s="64">
        <f>11.1974 * CHOOSE(CONTROL!$C$22, $C$13, 100%, $E$13)</f>
        <v>11.1974</v>
      </c>
      <c r="G599" s="64">
        <f>11.1976 * CHOOSE(CONTROL!$C$22, $C$13, 100%, $E$13)</f>
        <v>11.1976</v>
      </c>
      <c r="H599" s="64">
        <f>18.9529* CHOOSE(CONTROL!$C$22, $C$13, 100%, $E$13)</f>
        <v>18.9529</v>
      </c>
      <c r="I599" s="64">
        <f>18.9531 * CHOOSE(CONTROL!$C$22, $C$13, 100%, $E$13)</f>
        <v>18.953099999999999</v>
      </c>
      <c r="J599" s="64">
        <f>11.1974 * CHOOSE(CONTROL!$C$22, $C$13, 100%, $E$13)</f>
        <v>11.1974</v>
      </c>
      <c r="K599" s="64">
        <f>11.1976 * CHOOSE(CONTROL!$C$22, $C$13, 100%, $E$13)</f>
        <v>11.1976</v>
      </c>
    </row>
    <row r="600" spans="1:11" ht="15">
      <c r="A600" s="13">
        <v>59902</v>
      </c>
      <c r="B600" s="63">
        <f>9.7011 * CHOOSE(CONTROL!$C$22, $C$13, 100%, $E$13)</f>
        <v>9.7011000000000003</v>
      </c>
      <c r="C600" s="63">
        <f>9.7011 * CHOOSE(CONTROL!$C$22, $C$13, 100%, $E$13)</f>
        <v>9.7011000000000003</v>
      </c>
      <c r="D600" s="63">
        <f>9.7184 * CHOOSE(CONTROL!$C$22, $C$13, 100%, $E$13)</f>
        <v>9.7184000000000008</v>
      </c>
      <c r="E600" s="64">
        <f>11.3263 * CHOOSE(CONTROL!$C$22, $C$13, 100%, $E$13)</f>
        <v>11.3263</v>
      </c>
      <c r="F600" s="64">
        <f>11.3263 * CHOOSE(CONTROL!$C$22, $C$13, 100%, $E$13)</f>
        <v>11.3263</v>
      </c>
      <c r="G600" s="64">
        <f>11.3264 * CHOOSE(CONTROL!$C$22, $C$13, 100%, $E$13)</f>
        <v>11.3264</v>
      </c>
      <c r="H600" s="64">
        <f>18.9699* CHOOSE(CONTROL!$C$22, $C$13, 100%, $E$13)</f>
        <v>18.969899999999999</v>
      </c>
      <c r="I600" s="64">
        <f>18.97 * CHOOSE(CONTROL!$C$22, $C$13, 100%, $E$13)</f>
        <v>18.97</v>
      </c>
      <c r="J600" s="64">
        <f>11.3263 * CHOOSE(CONTROL!$C$22, $C$13, 100%, $E$13)</f>
        <v>11.3263</v>
      </c>
      <c r="K600" s="64">
        <f>11.3264 * CHOOSE(CONTROL!$C$22, $C$13, 100%, $E$13)</f>
        <v>11.3264</v>
      </c>
    </row>
    <row r="601" spans="1:11" ht="15">
      <c r="A601" s="13">
        <v>59933</v>
      </c>
      <c r="B601" s="63">
        <f>9.698 * CHOOSE(CONTROL!$C$22, $C$13, 100%, $E$13)</f>
        <v>9.6980000000000004</v>
      </c>
      <c r="C601" s="63">
        <f>9.698 * CHOOSE(CONTROL!$C$22, $C$13, 100%, $E$13)</f>
        <v>9.6980000000000004</v>
      </c>
      <c r="D601" s="63">
        <f>9.7154 * CHOOSE(CONTROL!$C$22, $C$13, 100%, $E$13)</f>
        <v>9.7154000000000007</v>
      </c>
      <c r="E601" s="64">
        <f>11.2003 * CHOOSE(CONTROL!$C$22, $C$13, 100%, $E$13)</f>
        <v>11.2003</v>
      </c>
      <c r="F601" s="64">
        <f>11.2003 * CHOOSE(CONTROL!$C$22, $C$13, 100%, $E$13)</f>
        <v>11.2003</v>
      </c>
      <c r="G601" s="64">
        <f>11.2005 * CHOOSE(CONTROL!$C$22, $C$13, 100%, $E$13)</f>
        <v>11.2005</v>
      </c>
      <c r="H601" s="64">
        <f>19.0094* CHOOSE(CONTROL!$C$22, $C$13, 100%, $E$13)</f>
        <v>19.009399999999999</v>
      </c>
      <c r="I601" s="64">
        <f>19.0096 * CHOOSE(CONTROL!$C$22, $C$13, 100%, $E$13)</f>
        <v>19.009599999999999</v>
      </c>
      <c r="J601" s="64">
        <f>11.2003 * CHOOSE(CONTROL!$C$22, $C$13, 100%, $E$13)</f>
        <v>11.2003</v>
      </c>
      <c r="K601" s="64">
        <f>11.2005 * CHOOSE(CONTROL!$C$22, $C$13, 100%, $E$13)</f>
        <v>11.2005</v>
      </c>
    </row>
    <row r="602" spans="1:11" ht="15">
      <c r="A602" s="13">
        <v>59962</v>
      </c>
      <c r="B602" s="63">
        <f>9.695 * CHOOSE(CONTROL!$C$22, $C$13, 100%, $E$13)</f>
        <v>9.6950000000000003</v>
      </c>
      <c r="C602" s="63">
        <f>9.695 * CHOOSE(CONTROL!$C$22, $C$13, 100%, $E$13)</f>
        <v>9.6950000000000003</v>
      </c>
      <c r="D602" s="63">
        <f>9.7123 * CHOOSE(CONTROL!$C$22, $C$13, 100%, $E$13)</f>
        <v>9.7123000000000008</v>
      </c>
      <c r="E602" s="64">
        <f>11.2958 * CHOOSE(CONTROL!$C$22, $C$13, 100%, $E$13)</f>
        <v>11.2958</v>
      </c>
      <c r="F602" s="64">
        <f>11.2958 * CHOOSE(CONTROL!$C$22, $C$13, 100%, $E$13)</f>
        <v>11.2958</v>
      </c>
      <c r="G602" s="64">
        <f>11.296 * CHOOSE(CONTROL!$C$22, $C$13, 100%, $E$13)</f>
        <v>11.295999999999999</v>
      </c>
      <c r="H602" s="64">
        <f>19.049* CHOOSE(CONTROL!$C$22, $C$13, 100%, $E$13)</f>
        <v>19.048999999999999</v>
      </c>
      <c r="I602" s="64">
        <f>19.0492 * CHOOSE(CONTROL!$C$22, $C$13, 100%, $E$13)</f>
        <v>19.049199999999999</v>
      </c>
      <c r="J602" s="64">
        <f>11.2958 * CHOOSE(CONTROL!$C$22, $C$13, 100%, $E$13)</f>
        <v>11.2958</v>
      </c>
      <c r="K602" s="64">
        <f>11.296 * CHOOSE(CONTROL!$C$22, $C$13, 100%, $E$13)</f>
        <v>11.295999999999999</v>
      </c>
    </row>
    <row r="603" spans="1:11" ht="15">
      <c r="A603" s="13">
        <v>59993</v>
      </c>
      <c r="B603" s="63">
        <f>9.6976 * CHOOSE(CONTROL!$C$22, $C$13, 100%, $E$13)</f>
        <v>9.6975999999999996</v>
      </c>
      <c r="C603" s="63">
        <f>9.6976 * CHOOSE(CONTROL!$C$22, $C$13, 100%, $E$13)</f>
        <v>9.6975999999999996</v>
      </c>
      <c r="D603" s="63">
        <f>9.7149 * CHOOSE(CONTROL!$C$22, $C$13, 100%, $E$13)</f>
        <v>9.7149000000000001</v>
      </c>
      <c r="E603" s="64">
        <f>11.3964 * CHOOSE(CONTROL!$C$22, $C$13, 100%, $E$13)</f>
        <v>11.3964</v>
      </c>
      <c r="F603" s="64">
        <f>11.3964 * CHOOSE(CONTROL!$C$22, $C$13, 100%, $E$13)</f>
        <v>11.3964</v>
      </c>
      <c r="G603" s="64">
        <f>11.3966 * CHOOSE(CONTROL!$C$22, $C$13, 100%, $E$13)</f>
        <v>11.396599999999999</v>
      </c>
      <c r="H603" s="64">
        <f>19.0887* CHOOSE(CONTROL!$C$22, $C$13, 100%, $E$13)</f>
        <v>19.088699999999999</v>
      </c>
      <c r="I603" s="64">
        <f>19.0889 * CHOOSE(CONTROL!$C$22, $C$13, 100%, $E$13)</f>
        <v>19.088899999999999</v>
      </c>
      <c r="J603" s="64">
        <f>11.3964 * CHOOSE(CONTROL!$C$22, $C$13, 100%, $E$13)</f>
        <v>11.3964</v>
      </c>
      <c r="K603" s="64">
        <f>11.3966 * CHOOSE(CONTROL!$C$22, $C$13, 100%, $E$13)</f>
        <v>11.396599999999999</v>
      </c>
    </row>
    <row r="604" spans="1:11" ht="15">
      <c r="A604" s="13">
        <v>60023</v>
      </c>
      <c r="B604" s="63">
        <f>9.6976 * CHOOSE(CONTROL!$C$22, $C$13, 100%, $E$13)</f>
        <v>9.6975999999999996</v>
      </c>
      <c r="C604" s="63">
        <f>9.6976 * CHOOSE(CONTROL!$C$22, $C$13, 100%, $E$13)</f>
        <v>9.6975999999999996</v>
      </c>
      <c r="D604" s="63">
        <f>9.7322 * CHOOSE(CONTROL!$C$22, $C$13, 100%, $E$13)</f>
        <v>9.7322000000000006</v>
      </c>
      <c r="E604" s="64">
        <f>11.4357 * CHOOSE(CONTROL!$C$22, $C$13, 100%, $E$13)</f>
        <v>11.435700000000001</v>
      </c>
      <c r="F604" s="64">
        <f>11.4357 * CHOOSE(CONTROL!$C$22, $C$13, 100%, $E$13)</f>
        <v>11.435700000000001</v>
      </c>
      <c r="G604" s="64">
        <f>11.4379 * CHOOSE(CONTROL!$C$22, $C$13, 100%, $E$13)</f>
        <v>11.437900000000001</v>
      </c>
      <c r="H604" s="64">
        <f>19.1284* CHOOSE(CONTROL!$C$22, $C$13, 100%, $E$13)</f>
        <v>19.128399999999999</v>
      </c>
      <c r="I604" s="64">
        <f>19.1306 * CHOOSE(CONTROL!$C$22, $C$13, 100%, $E$13)</f>
        <v>19.130600000000001</v>
      </c>
      <c r="J604" s="64">
        <f>11.4357 * CHOOSE(CONTROL!$C$22, $C$13, 100%, $E$13)</f>
        <v>11.435700000000001</v>
      </c>
      <c r="K604" s="64">
        <f>11.4379 * CHOOSE(CONTROL!$C$22, $C$13, 100%, $E$13)</f>
        <v>11.437900000000001</v>
      </c>
    </row>
    <row r="605" spans="1:11" ht="15">
      <c r="A605" s="13">
        <v>60054</v>
      </c>
      <c r="B605" s="63">
        <f>9.7037 * CHOOSE(CONTROL!$C$22, $C$13, 100%, $E$13)</f>
        <v>9.7036999999999995</v>
      </c>
      <c r="C605" s="63">
        <f>9.7037 * CHOOSE(CONTROL!$C$22, $C$13, 100%, $E$13)</f>
        <v>9.7036999999999995</v>
      </c>
      <c r="D605" s="63">
        <f>9.7383 * CHOOSE(CONTROL!$C$22, $C$13, 100%, $E$13)</f>
        <v>9.7383000000000006</v>
      </c>
      <c r="E605" s="64">
        <f>11.4007 * CHOOSE(CONTROL!$C$22, $C$13, 100%, $E$13)</f>
        <v>11.400700000000001</v>
      </c>
      <c r="F605" s="64">
        <f>11.4007 * CHOOSE(CONTROL!$C$22, $C$13, 100%, $E$13)</f>
        <v>11.400700000000001</v>
      </c>
      <c r="G605" s="64">
        <f>11.4028 * CHOOSE(CONTROL!$C$22, $C$13, 100%, $E$13)</f>
        <v>11.402799999999999</v>
      </c>
      <c r="H605" s="64">
        <f>19.1683* CHOOSE(CONTROL!$C$22, $C$13, 100%, $E$13)</f>
        <v>19.168299999999999</v>
      </c>
      <c r="I605" s="64">
        <f>19.1704 * CHOOSE(CONTROL!$C$22, $C$13, 100%, $E$13)</f>
        <v>19.170400000000001</v>
      </c>
      <c r="J605" s="64">
        <f>11.4007 * CHOOSE(CONTROL!$C$22, $C$13, 100%, $E$13)</f>
        <v>11.400700000000001</v>
      </c>
      <c r="K605" s="64">
        <f>11.4028 * CHOOSE(CONTROL!$C$22, $C$13, 100%, $E$13)</f>
        <v>11.402799999999999</v>
      </c>
    </row>
    <row r="606" spans="1:11" ht="15">
      <c r="A606" s="13">
        <v>60084</v>
      </c>
      <c r="B606" s="63">
        <f>9.8589 * CHOOSE(CONTROL!$C$22, $C$13, 100%, $E$13)</f>
        <v>9.8589000000000002</v>
      </c>
      <c r="C606" s="63">
        <f>9.8589 * CHOOSE(CONTROL!$C$22, $C$13, 100%, $E$13)</f>
        <v>9.8589000000000002</v>
      </c>
      <c r="D606" s="63">
        <f>9.8936 * CHOOSE(CONTROL!$C$22, $C$13, 100%, $E$13)</f>
        <v>9.8935999999999993</v>
      </c>
      <c r="E606" s="64">
        <f>11.6209 * CHOOSE(CONTROL!$C$22, $C$13, 100%, $E$13)</f>
        <v>11.620900000000001</v>
      </c>
      <c r="F606" s="64">
        <f>11.6209 * CHOOSE(CONTROL!$C$22, $C$13, 100%, $E$13)</f>
        <v>11.620900000000001</v>
      </c>
      <c r="G606" s="64">
        <f>11.6231 * CHOOSE(CONTROL!$C$22, $C$13, 100%, $E$13)</f>
        <v>11.623100000000001</v>
      </c>
      <c r="H606" s="64">
        <f>19.2082* CHOOSE(CONTROL!$C$22, $C$13, 100%, $E$13)</f>
        <v>19.208200000000001</v>
      </c>
      <c r="I606" s="64">
        <f>19.2104 * CHOOSE(CONTROL!$C$22, $C$13, 100%, $E$13)</f>
        <v>19.2104</v>
      </c>
      <c r="J606" s="64">
        <f>11.6209 * CHOOSE(CONTROL!$C$22, $C$13, 100%, $E$13)</f>
        <v>11.620900000000001</v>
      </c>
      <c r="K606" s="64">
        <f>11.6231 * CHOOSE(CONTROL!$C$22, $C$13, 100%, $E$13)</f>
        <v>11.623100000000001</v>
      </c>
    </row>
    <row r="607" spans="1:11" ht="15">
      <c r="A607" s="13">
        <v>60115</v>
      </c>
      <c r="B607" s="63">
        <f>9.8656 * CHOOSE(CONTROL!$C$22, $C$13, 100%, $E$13)</f>
        <v>9.8656000000000006</v>
      </c>
      <c r="C607" s="63">
        <f>9.8656 * CHOOSE(CONTROL!$C$22, $C$13, 100%, $E$13)</f>
        <v>9.8656000000000006</v>
      </c>
      <c r="D607" s="63">
        <f>9.9003 * CHOOSE(CONTROL!$C$22, $C$13, 100%, $E$13)</f>
        <v>9.9002999999999997</v>
      </c>
      <c r="E607" s="64">
        <f>11.5076 * CHOOSE(CONTROL!$C$22, $C$13, 100%, $E$13)</f>
        <v>11.5076</v>
      </c>
      <c r="F607" s="64">
        <f>11.5076 * CHOOSE(CONTROL!$C$22, $C$13, 100%, $E$13)</f>
        <v>11.5076</v>
      </c>
      <c r="G607" s="64">
        <f>11.5098 * CHOOSE(CONTROL!$C$22, $C$13, 100%, $E$13)</f>
        <v>11.5098</v>
      </c>
      <c r="H607" s="64">
        <f>19.2483* CHOOSE(CONTROL!$C$22, $C$13, 100%, $E$13)</f>
        <v>19.2483</v>
      </c>
      <c r="I607" s="64">
        <f>19.2504 * CHOOSE(CONTROL!$C$22, $C$13, 100%, $E$13)</f>
        <v>19.250399999999999</v>
      </c>
      <c r="J607" s="64">
        <f>11.5076 * CHOOSE(CONTROL!$C$22, $C$13, 100%, $E$13)</f>
        <v>11.5076</v>
      </c>
      <c r="K607" s="64">
        <f>11.5098 * CHOOSE(CONTROL!$C$22, $C$13, 100%, $E$13)</f>
        <v>11.5098</v>
      </c>
    </row>
    <row r="608" spans="1:11" ht="15">
      <c r="A608" s="13">
        <v>60146</v>
      </c>
      <c r="B608" s="63">
        <f>9.8626 * CHOOSE(CONTROL!$C$22, $C$13, 100%, $E$13)</f>
        <v>9.8626000000000005</v>
      </c>
      <c r="C608" s="63">
        <f>9.8626 * CHOOSE(CONTROL!$C$22, $C$13, 100%, $E$13)</f>
        <v>9.8626000000000005</v>
      </c>
      <c r="D608" s="63">
        <f>9.8972 * CHOOSE(CONTROL!$C$22, $C$13, 100%, $E$13)</f>
        <v>9.8971999999999998</v>
      </c>
      <c r="E608" s="64">
        <f>11.4924 * CHOOSE(CONTROL!$C$22, $C$13, 100%, $E$13)</f>
        <v>11.4924</v>
      </c>
      <c r="F608" s="64">
        <f>11.4924 * CHOOSE(CONTROL!$C$22, $C$13, 100%, $E$13)</f>
        <v>11.4924</v>
      </c>
      <c r="G608" s="64">
        <f>11.4945 * CHOOSE(CONTROL!$C$22, $C$13, 100%, $E$13)</f>
        <v>11.4945</v>
      </c>
      <c r="H608" s="64">
        <f>19.2884* CHOOSE(CONTROL!$C$22, $C$13, 100%, $E$13)</f>
        <v>19.288399999999999</v>
      </c>
      <c r="I608" s="64">
        <f>19.2905 * CHOOSE(CONTROL!$C$22, $C$13, 100%, $E$13)</f>
        <v>19.290500000000002</v>
      </c>
      <c r="J608" s="64">
        <f>11.4924 * CHOOSE(CONTROL!$C$22, $C$13, 100%, $E$13)</f>
        <v>11.4924</v>
      </c>
      <c r="K608" s="64">
        <f>11.4945 * CHOOSE(CONTROL!$C$22, $C$13, 100%, $E$13)</f>
        <v>11.4945</v>
      </c>
    </row>
    <row r="609" spans="1:11" ht="15">
      <c r="A609" s="13">
        <v>60176</v>
      </c>
      <c r="B609" s="63">
        <f>9.8772 * CHOOSE(CONTROL!$C$22, $C$13, 100%, $E$13)</f>
        <v>9.8772000000000002</v>
      </c>
      <c r="C609" s="63">
        <f>9.8772 * CHOOSE(CONTROL!$C$22, $C$13, 100%, $E$13)</f>
        <v>9.8772000000000002</v>
      </c>
      <c r="D609" s="63">
        <f>9.8945 * CHOOSE(CONTROL!$C$22, $C$13, 100%, $E$13)</f>
        <v>9.8945000000000007</v>
      </c>
      <c r="E609" s="64">
        <f>11.5314 * CHOOSE(CONTROL!$C$22, $C$13, 100%, $E$13)</f>
        <v>11.5314</v>
      </c>
      <c r="F609" s="64">
        <f>11.5314 * CHOOSE(CONTROL!$C$22, $C$13, 100%, $E$13)</f>
        <v>11.5314</v>
      </c>
      <c r="G609" s="64">
        <f>11.5316 * CHOOSE(CONTROL!$C$22, $C$13, 100%, $E$13)</f>
        <v>11.531599999999999</v>
      </c>
      <c r="H609" s="64">
        <f>19.3285* CHOOSE(CONTROL!$C$22, $C$13, 100%, $E$13)</f>
        <v>19.328499999999998</v>
      </c>
      <c r="I609" s="64">
        <f>19.3287 * CHOOSE(CONTROL!$C$22, $C$13, 100%, $E$13)</f>
        <v>19.328700000000001</v>
      </c>
      <c r="J609" s="64">
        <f>11.5314 * CHOOSE(CONTROL!$C$22, $C$13, 100%, $E$13)</f>
        <v>11.5314</v>
      </c>
      <c r="K609" s="64">
        <f>11.5316 * CHOOSE(CONTROL!$C$22, $C$13, 100%, $E$13)</f>
        <v>11.531599999999999</v>
      </c>
    </row>
    <row r="610" spans="1:11" ht="15">
      <c r="A610" s="13">
        <v>60207</v>
      </c>
      <c r="B610" s="63">
        <f>9.8802 * CHOOSE(CONTROL!$C$22, $C$13, 100%, $E$13)</f>
        <v>9.8802000000000003</v>
      </c>
      <c r="C610" s="63">
        <f>9.8802 * CHOOSE(CONTROL!$C$22, $C$13, 100%, $E$13)</f>
        <v>9.8802000000000003</v>
      </c>
      <c r="D610" s="63">
        <f>9.8975 * CHOOSE(CONTROL!$C$22, $C$13, 100%, $E$13)</f>
        <v>9.8975000000000009</v>
      </c>
      <c r="E610" s="64">
        <f>11.5597 * CHOOSE(CONTROL!$C$22, $C$13, 100%, $E$13)</f>
        <v>11.559699999999999</v>
      </c>
      <c r="F610" s="64">
        <f>11.5597 * CHOOSE(CONTROL!$C$22, $C$13, 100%, $E$13)</f>
        <v>11.559699999999999</v>
      </c>
      <c r="G610" s="64">
        <f>11.5599 * CHOOSE(CONTROL!$C$22, $C$13, 100%, $E$13)</f>
        <v>11.559900000000001</v>
      </c>
      <c r="H610" s="64">
        <f>19.3688* CHOOSE(CONTROL!$C$22, $C$13, 100%, $E$13)</f>
        <v>19.3688</v>
      </c>
      <c r="I610" s="64">
        <f>19.369 * CHOOSE(CONTROL!$C$22, $C$13, 100%, $E$13)</f>
        <v>19.369</v>
      </c>
      <c r="J610" s="64">
        <f>11.5597 * CHOOSE(CONTROL!$C$22, $C$13, 100%, $E$13)</f>
        <v>11.559699999999999</v>
      </c>
      <c r="K610" s="64">
        <f>11.5599 * CHOOSE(CONTROL!$C$22, $C$13, 100%, $E$13)</f>
        <v>11.559900000000001</v>
      </c>
    </row>
    <row r="611" spans="1:11" ht="15">
      <c r="A611" s="13">
        <v>60237</v>
      </c>
      <c r="B611" s="63">
        <f>9.8802 * CHOOSE(CONTROL!$C$22, $C$13, 100%, $E$13)</f>
        <v>9.8802000000000003</v>
      </c>
      <c r="C611" s="63">
        <f>9.8802 * CHOOSE(CONTROL!$C$22, $C$13, 100%, $E$13)</f>
        <v>9.8802000000000003</v>
      </c>
      <c r="D611" s="63">
        <f>9.8975 * CHOOSE(CONTROL!$C$22, $C$13, 100%, $E$13)</f>
        <v>9.8975000000000009</v>
      </c>
      <c r="E611" s="64">
        <f>11.4942 * CHOOSE(CONTROL!$C$22, $C$13, 100%, $E$13)</f>
        <v>11.494199999999999</v>
      </c>
      <c r="F611" s="64">
        <f>11.4942 * CHOOSE(CONTROL!$C$22, $C$13, 100%, $E$13)</f>
        <v>11.494199999999999</v>
      </c>
      <c r="G611" s="64">
        <f>11.4944 * CHOOSE(CONTROL!$C$22, $C$13, 100%, $E$13)</f>
        <v>11.494400000000001</v>
      </c>
      <c r="H611" s="64">
        <f>19.4092* CHOOSE(CONTROL!$C$22, $C$13, 100%, $E$13)</f>
        <v>19.409199999999998</v>
      </c>
      <c r="I611" s="64">
        <f>19.4093 * CHOOSE(CONTROL!$C$22, $C$13, 100%, $E$13)</f>
        <v>19.409300000000002</v>
      </c>
      <c r="J611" s="64">
        <f>11.4942 * CHOOSE(CONTROL!$C$22, $C$13, 100%, $E$13)</f>
        <v>11.494199999999999</v>
      </c>
      <c r="K611" s="64">
        <f>11.4944 * CHOOSE(CONTROL!$C$22, $C$13, 100%, $E$13)</f>
        <v>11.494400000000001</v>
      </c>
    </row>
    <row r="612" spans="1:11" ht="15">
      <c r="A612" s="13">
        <v>60268</v>
      </c>
      <c r="B612" s="63">
        <f>9.9464 * CHOOSE(CONTROL!$C$22, $C$13, 100%, $E$13)</f>
        <v>9.9464000000000006</v>
      </c>
      <c r="C612" s="63">
        <f>9.9464 * CHOOSE(CONTROL!$C$22, $C$13, 100%, $E$13)</f>
        <v>9.9464000000000006</v>
      </c>
      <c r="D612" s="63">
        <f>9.9637 * CHOOSE(CONTROL!$C$22, $C$13, 100%, $E$13)</f>
        <v>9.9636999999999993</v>
      </c>
      <c r="E612" s="64">
        <f>11.6187 * CHOOSE(CONTROL!$C$22, $C$13, 100%, $E$13)</f>
        <v>11.6187</v>
      </c>
      <c r="F612" s="64">
        <f>11.6187 * CHOOSE(CONTROL!$C$22, $C$13, 100%, $E$13)</f>
        <v>11.6187</v>
      </c>
      <c r="G612" s="64">
        <f>11.6188 * CHOOSE(CONTROL!$C$22, $C$13, 100%, $E$13)</f>
        <v>11.6188</v>
      </c>
      <c r="H612" s="64">
        <f>19.4158* CHOOSE(CONTROL!$C$22, $C$13, 100%, $E$13)</f>
        <v>19.415800000000001</v>
      </c>
      <c r="I612" s="64">
        <f>19.4159 * CHOOSE(CONTROL!$C$22, $C$13, 100%, $E$13)</f>
        <v>19.415900000000001</v>
      </c>
      <c r="J612" s="64">
        <f>11.6187 * CHOOSE(CONTROL!$C$22, $C$13, 100%, $E$13)</f>
        <v>11.6187</v>
      </c>
      <c r="K612" s="64">
        <f>11.6188 * CHOOSE(CONTROL!$C$22, $C$13, 100%, $E$13)</f>
        <v>11.6188</v>
      </c>
    </row>
    <row r="613" spans="1:11" ht="15">
      <c r="A613" s="13">
        <v>60299</v>
      </c>
      <c r="B613" s="63">
        <f>9.9433 * CHOOSE(CONTROL!$C$22, $C$13, 100%, $E$13)</f>
        <v>9.9433000000000007</v>
      </c>
      <c r="C613" s="63">
        <f>9.9433 * CHOOSE(CONTROL!$C$22, $C$13, 100%, $E$13)</f>
        <v>9.9433000000000007</v>
      </c>
      <c r="D613" s="63">
        <f>9.9607 * CHOOSE(CONTROL!$C$22, $C$13, 100%, $E$13)</f>
        <v>9.9606999999999992</v>
      </c>
      <c r="E613" s="64">
        <f>11.4895 * CHOOSE(CONTROL!$C$22, $C$13, 100%, $E$13)</f>
        <v>11.4895</v>
      </c>
      <c r="F613" s="64">
        <f>11.4895 * CHOOSE(CONTROL!$C$22, $C$13, 100%, $E$13)</f>
        <v>11.4895</v>
      </c>
      <c r="G613" s="64">
        <f>11.4897 * CHOOSE(CONTROL!$C$22, $C$13, 100%, $E$13)</f>
        <v>11.489699999999999</v>
      </c>
      <c r="H613" s="64">
        <f>19.4562* CHOOSE(CONTROL!$C$22, $C$13, 100%, $E$13)</f>
        <v>19.456199999999999</v>
      </c>
      <c r="I613" s="64">
        <f>19.4564 * CHOOSE(CONTROL!$C$22, $C$13, 100%, $E$13)</f>
        <v>19.456399999999999</v>
      </c>
      <c r="J613" s="64">
        <f>11.4895 * CHOOSE(CONTROL!$C$22, $C$13, 100%, $E$13)</f>
        <v>11.4895</v>
      </c>
      <c r="K613" s="64">
        <f>11.4897 * CHOOSE(CONTROL!$C$22, $C$13, 100%, $E$13)</f>
        <v>11.489699999999999</v>
      </c>
    </row>
    <row r="614" spans="1:11" ht="15">
      <c r="A614" s="13">
        <v>60327</v>
      </c>
      <c r="B614" s="63">
        <f>9.9403 * CHOOSE(CONTROL!$C$22, $C$13, 100%, $E$13)</f>
        <v>9.9403000000000006</v>
      </c>
      <c r="C614" s="63">
        <f>9.9403 * CHOOSE(CONTROL!$C$22, $C$13, 100%, $E$13)</f>
        <v>9.9403000000000006</v>
      </c>
      <c r="D614" s="63">
        <f>9.9576 * CHOOSE(CONTROL!$C$22, $C$13, 100%, $E$13)</f>
        <v>9.9575999999999993</v>
      </c>
      <c r="E614" s="64">
        <f>11.5875 * CHOOSE(CONTROL!$C$22, $C$13, 100%, $E$13)</f>
        <v>11.5875</v>
      </c>
      <c r="F614" s="64">
        <f>11.5875 * CHOOSE(CONTROL!$C$22, $C$13, 100%, $E$13)</f>
        <v>11.5875</v>
      </c>
      <c r="G614" s="64">
        <f>11.5877 * CHOOSE(CONTROL!$C$22, $C$13, 100%, $E$13)</f>
        <v>11.5877</v>
      </c>
      <c r="H614" s="64">
        <f>19.4967* CHOOSE(CONTROL!$C$22, $C$13, 100%, $E$13)</f>
        <v>19.496700000000001</v>
      </c>
      <c r="I614" s="64">
        <f>19.4969 * CHOOSE(CONTROL!$C$22, $C$13, 100%, $E$13)</f>
        <v>19.4969</v>
      </c>
      <c r="J614" s="64">
        <f>11.5875 * CHOOSE(CONTROL!$C$22, $C$13, 100%, $E$13)</f>
        <v>11.5875</v>
      </c>
      <c r="K614" s="64">
        <f>11.5877 * CHOOSE(CONTROL!$C$22, $C$13, 100%, $E$13)</f>
        <v>11.5877</v>
      </c>
    </row>
    <row r="615" spans="1:11" ht="15">
      <c r="A615" s="13">
        <v>60358</v>
      </c>
      <c r="B615" s="63">
        <f>9.9431 * CHOOSE(CONTROL!$C$22, $C$13, 100%, $E$13)</f>
        <v>9.9430999999999994</v>
      </c>
      <c r="C615" s="63">
        <f>9.9431 * CHOOSE(CONTROL!$C$22, $C$13, 100%, $E$13)</f>
        <v>9.9430999999999994</v>
      </c>
      <c r="D615" s="63">
        <f>9.9604 * CHOOSE(CONTROL!$C$22, $C$13, 100%, $E$13)</f>
        <v>9.9603999999999999</v>
      </c>
      <c r="E615" s="64">
        <f>11.6909 * CHOOSE(CONTROL!$C$22, $C$13, 100%, $E$13)</f>
        <v>11.690899999999999</v>
      </c>
      <c r="F615" s="64">
        <f>11.6909 * CHOOSE(CONTROL!$C$22, $C$13, 100%, $E$13)</f>
        <v>11.690899999999999</v>
      </c>
      <c r="G615" s="64">
        <f>11.691 * CHOOSE(CONTROL!$C$22, $C$13, 100%, $E$13)</f>
        <v>11.691000000000001</v>
      </c>
      <c r="H615" s="64">
        <f>19.5374* CHOOSE(CONTROL!$C$22, $C$13, 100%, $E$13)</f>
        <v>19.537400000000002</v>
      </c>
      <c r="I615" s="64">
        <f>19.5375 * CHOOSE(CONTROL!$C$22, $C$13, 100%, $E$13)</f>
        <v>19.537500000000001</v>
      </c>
      <c r="J615" s="64">
        <f>11.6909 * CHOOSE(CONTROL!$C$22, $C$13, 100%, $E$13)</f>
        <v>11.690899999999999</v>
      </c>
      <c r="K615" s="64">
        <f>11.691 * CHOOSE(CONTROL!$C$22, $C$13, 100%, $E$13)</f>
        <v>11.691000000000001</v>
      </c>
    </row>
    <row r="616" spans="1:11" ht="15">
      <c r="A616" s="13">
        <v>60388</v>
      </c>
      <c r="B616" s="63">
        <f>9.9431 * CHOOSE(CONTROL!$C$22, $C$13, 100%, $E$13)</f>
        <v>9.9430999999999994</v>
      </c>
      <c r="C616" s="63">
        <f>9.9431 * CHOOSE(CONTROL!$C$22, $C$13, 100%, $E$13)</f>
        <v>9.9430999999999994</v>
      </c>
      <c r="D616" s="63">
        <f>9.9778 * CHOOSE(CONTROL!$C$22, $C$13, 100%, $E$13)</f>
        <v>9.9778000000000002</v>
      </c>
      <c r="E616" s="64">
        <f>11.7312 * CHOOSE(CONTROL!$C$22, $C$13, 100%, $E$13)</f>
        <v>11.731199999999999</v>
      </c>
      <c r="F616" s="64">
        <f>11.7312 * CHOOSE(CONTROL!$C$22, $C$13, 100%, $E$13)</f>
        <v>11.731199999999999</v>
      </c>
      <c r="G616" s="64">
        <f>11.7334 * CHOOSE(CONTROL!$C$22, $C$13, 100%, $E$13)</f>
        <v>11.7334</v>
      </c>
      <c r="H616" s="64">
        <f>19.5781* CHOOSE(CONTROL!$C$22, $C$13, 100%, $E$13)</f>
        <v>19.578099999999999</v>
      </c>
      <c r="I616" s="64">
        <f>19.5802 * CHOOSE(CONTROL!$C$22, $C$13, 100%, $E$13)</f>
        <v>19.580200000000001</v>
      </c>
      <c r="J616" s="64">
        <f>11.7312 * CHOOSE(CONTROL!$C$22, $C$13, 100%, $E$13)</f>
        <v>11.731199999999999</v>
      </c>
      <c r="K616" s="64">
        <f>11.7334 * CHOOSE(CONTROL!$C$22, $C$13, 100%, $E$13)</f>
        <v>11.7334</v>
      </c>
    </row>
    <row r="617" spans="1:11" ht="15">
      <c r="A617" s="13">
        <v>60419</v>
      </c>
      <c r="B617" s="63">
        <f>9.9492 * CHOOSE(CONTROL!$C$22, $C$13, 100%, $E$13)</f>
        <v>9.9491999999999994</v>
      </c>
      <c r="C617" s="63">
        <f>9.9492 * CHOOSE(CONTROL!$C$22, $C$13, 100%, $E$13)</f>
        <v>9.9491999999999994</v>
      </c>
      <c r="D617" s="63">
        <f>9.9838 * CHOOSE(CONTROL!$C$22, $C$13, 100%, $E$13)</f>
        <v>9.9838000000000005</v>
      </c>
      <c r="E617" s="64">
        <f>11.6951 * CHOOSE(CONTROL!$C$22, $C$13, 100%, $E$13)</f>
        <v>11.6951</v>
      </c>
      <c r="F617" s="64">
        <f>11.6951 * CHOOSE(CONTROL!$C$22, $C$13, 100%, $E$13)</f>
        <v>11.6951</v>
      </c>
      <c r="G617" s="64">
        <f>11.6972 * CHOOSE(CONTROL!$C$22, $C$13, 100%, $E$13)</f>
        <v>11.6972</v>
      </c>
      <c r="H617" s="64">
        <f>19.6189* CHOOSE(CONTROL!$C$22, $C$13, 100%, $E$13)</f>
        <v>19.6189</v>
      </c>
      <c r="I617" s="64">
        <f>19.621 * CHOOSE(CONTROL!$C$22, $C$13, 100%, $E$13)</f>
        <v>19.620999999999999</v>
      </c>
      <c r="J617" s="64">
        <f>11.6951 * CHOOSE(CONTROL!$C$22, $C$13, 100%, $E$13)</f>
        <v>11.6951</v>
      </c>
      <c r="K617" s="64">
        <f>11.6972 * CHOOSE(CONTROL!$C$22, $C$13, 100%, $E$13)</f>
        <v>11.6972</v>
      </c>
    </row>
    <row r="618" spans="1:11" ht="15">
      <c r="A618" s="13">
        <v>60449</v>
      </c>
      <c r="B618" s="63">
        <f>10.1081 * CHOOSE(CONTROL!$C$22, $C$13, 100%, $E$13)</f>
        <v>10.1081</v>
      </c>
      <c r="C618" s="63">
        <f>10.1081 * CHOOSE(CONTROL!$C$22, $C$13, 100%, $E$13)</f>
        <v>10.1081</v>
      </c>
      <c r="D618" s="63">
        <f>10.1428 * CHOOSE(CONTROL!$C$22, $C$13, 100%, $E$13)</f>
        <v>10.142799999999999</v>
      </c>
      <c r="E618" s="64">
        <f>11.9208 * CHOOSE(CONTROL!$C$22, $C$13, 100%, $E$13)</f>
        <v>11.9208</v>
      </c>
      <c r="F618" s="64">
        <f>11.9208 * CHOOSE(CONTROL!$C$22, $C$13, 100%, $E$13)</f>
        <v>11.9208</v>
      </c>
      <c r="G618" s="64">
        <f>11.923 * CHOOSE(CONTROL!$C$22, $C$13, 100%, $E$13)</f>
        <v>11.923</v>
      </c>
      <c r="H618" s="64">
        <f>19.6597* CHOOSE(CONTROL!$C$22, $C$13, 100%, $E$13)</f>
        <v>19.659700000000001</v>
      </c>
      <c r="I618" s="64">
        <f>19.6619 * CHOOSE(CONTROL!$C$22, $C$13, 100%, $E$13)</f>
        <v>19.661899999999999</v>
      </c>
      <c r="J618" s="64">
        <f>11.9208 * CHOOSE(CONTROL!$C$22, $C$13, 100%, $E$13)</f>
        <v>11.9208</v>
      </c>
      <c r="K618" s="64">
        <f>11.923 * CHOOSE(CONTROL!$C$22, $C$13, 100%, $E$13)</f>
        <v>11.923</v>
      </c>
    </row>
    <row r="619" spans="1:11" ht="15">
      <c r="A619" s="13">
        <v>60480</v>
      </c>
      <c r="B619" s="63">
        <f>10.1148 * CHOOSE(CONTROL!$C$22, $C$13, 100%, $E$13)</f>
        <v>10.114800000000001</v>
      </c>
      <c r="C619" s="63">
        <f>10.1148 * CHOOSE(CONTROL!$C$22, $C$13, 100%, $E$13)</f>
        <v>10.114800000000001</v>
      </c>
      <c r="D619" s="63">
        <f>10.1495 * CHOOSE(CONTROL!$C$22, $C$13, 100%, $E$13)</f>
        <v>10.1495</v>
      </c>
      <c r="E619" s="64">
        <f>11.8045 * CHOOSE(CONTROL!$C$22, $C$13, 100%, $E$13)</f>
        <v>11.804500000000001</v>
      </c>
      <c r="F619" s="64">
        <f>11.8045 * CHOOSE(CONTROL!$C$22, $C$13, 100%, $E$13)</f>
        <v>11.804500000000001</v>
      </c>
      <c r="G619" s="64">
        <f>11.8066 * CHOOSE(CONTROL!$C$22, $C$13, 100%, $E$13)</f>
        <v>11.8066</v>
      </c>
      <c r="H619" s="64">
        <f>19.7007* CHOOSE(CONTROL!$C$22, $C$13, 100%, $E$13)</f>
        <v>19.700700000000001</v>
      </c>
      <c r="I619" s="64">
        <f>19.7028 * CHOOSE(CONTROL!$C$22, $C$13, 100%, $E$13)</f>
        <v>19.7028</v>
      </c>
      <c r="J619" s="64">
        <f>11.8045 * CHOOSE(CONTROL!$C$22, $C$13, 100%, $E$13)</f>
        <v>11.804500000000001</v>
      </c>
      <c r="K619" s="64">
        <f>11.8066 * CHOOSE(CONTROL!$C$22, $C$13, 100%, $E$13)</f>
        <v>11.8066</v>
      </c>
    </row>
    <row r="620" spans="1:11" ht="15">
      <c r="A620" s="13">
        <v>60511</v>
      </c>
      <c r="B620" s="63">
        <f>10.1118 * CHOOSE(CONTROL!$C$22, $C$13, 100%, $E$13)</f>
        <v>10.111800000000001</v>
      </c>
      <c r="C620" s="63">
        <f>10.1118 * CHOOSE(CONTROL!$C$22, $C$13, 100%, $E$13)</f>
        <v>10.111800000000001</v>
      </c>
      <c r="D620" s="63">
        <f>10.1464 * CHOOSE(CONTROL!$C$22, $C$13, 100%, $E$13)</f>
        <v>10.1464</v>
      </c>
      <c r="E620" s="64">
        <f>11.7889 * CHOOSE(CONTROL!$C$22, $C$13, 100%, $E$13)</f>
        <v>11.7889</v>
      </c>
      <c r="F620" s="64">
        <f>11.7889 * CHOOSE(CONTROL!$C$22, $C$13, 100%, $E$13)</f>
        <v>11.7889</v>
      </c>
      <c r="G620" s="64">
        <f>11.791 * CHOOSE(CONTROL!$C$22, $C$13, 100%, $E$13)</f>
        <v>11.791</v>
      </c>
      <c r="H620" s="64">
        <f>19.7417* CHOOSE(CONTROL!$C$22, $C$13, 100%, $E$13)</f>
        <v>19.741700000000002</v>
      </c>
      <c r="I620" s="64">
        <f>19.7439 * CHOOSE(CONTROL!$C$22, $C$13, 100%, $E$13)</f>
        <v>19.7439</v>
      </c>
      <c r="J620" s="64">
        <f>11.7889 * CHOOSE(CONTROL!$C$22, $C$13, 100%, $E$13)</f>
        <v>11.7889</v>
      </c>
      <c r="K620" s="64">
        <f>11.791 * CHOOSE(CONTROL!$C$22, $C$13, 100%, $E$13)</f>
        <v>11.791</v>
      </c>
    </row>
    <row r="621" spans="1:11" ht="15">
      <c r="A621" s="13">
        <v>60541</v>
      </c>
      <c r="B621" s="63">
        <f>10.1272 * CHOOSE(CONTROL!$C$22, $C$13, 100%, $E$13)</f>
        <v>10.1272</v>
      </c>
      <c r="C621" s="63">
        <f>10.1272 * CHOOSE(CONTROL!$C$22, $C$13, 100%, $E$13)</f>
        <v>10.1272</v>
      </c>
      <c r="D621" s="63">
        <f>10.1445 * CHOOSE(CONTROL!$C$22, $C$13, 100%, $E$13)</f>
        <v>10.144500000000001</v>
      </c>
      <c r="E621" s="64">
        <f>11.8293 * CHOOSE(CONTROL!$C$22, $C$13, 100%, $E$13)</f>
        <v>11.8293</v>
      </c>
      <c r="F621" s="64">
        <f>11.8293 * CHOOSE(CONTROL!$C$22, $C$13, 100%, $E$13)</f>
        <v>11.8293</v>
      </c>
      <c r="G621" s="64">
        <f>11.8294 * CHOOSE(CONTROL!$C$22, $C$13, 100%, $E$13)</f>
        <v>11.8294</v>
      </c>
      <c r="H621" s="64">
        <f>19.7829* CHOOSE(CONTROL!$C$22, $C$13, 100%, $E$13)</f>
        <v>19.782900000000001</v>
      </c>
      <c r="I621" s="64">
        <f>19.783 * CHOOSE(CONTROL!$C$22, $C$13, 100%, $E$13)</f>
        <v>19.783000000000001</v>
      </c>
      <c r="J621" s="64">
        <f>11.8293 * CHOOSE(CONTROL!$C$22, $C$13, 100%, $E$13)</f>
        <v>11.8293</v>
      </c>
      <c r="K621" s="64">
        <f>11.8294 * CHOOSE(CONTROL!$C$22, $C$13, 100%, $E$13)</f>
        <v>11.8294</v>
      </c>
    </row>
    <row r="622" spans="1:11" ht="15">
      <c r="A622" s="13">
        <v>60572</v>
      </c>
      <c r="B622" s="63">
        <f>10.1302 * CHOOSE(CONTROL!$C$22, $C$13, 100%, $E$13)</f>
        <v>10.1302</v>
      </c>
      <c r="C622" s="63">
        <f>10.1302 * CHOOSE(CONTROL!$C$22, $C$13, 100%, $E$13)</f>
        <v>10.1302</v>
      </c>
      <c r="D622" s="63">
        <f>10.1475 * CHOOSE(CONTROL!$C$22, $C$13, 100%, $E$13)</f>
        <v>10.147500000000001</v>
      </c>
      <c r="E622" s="64">
        <f>11.8583 * CHOOSE(CONTROL!$C$22, $C$13, 100%, $E$13)</f>
        <v>11.8583</v>
      </c>
      <c r="F622" s="64">
        <f>11.8583 * CHOOSE(CONTROL!$C$22, $C$13, 100%, $E$13)</f>
        <v>11.8583</v>
      </c>
      <c r="G622" s="64">
        <f>11.8584 * CHOOSE(CONTROL!$C$22, $C$13, 100%, $E$13)</f>
        <v>11.8584</v>
      </c>
      <c r="H622" s="64">
        <f>19.8241* CHOOSE(CONTROL!$C$22, $C$13, 100%, $E$13)</f>
        <v>19.824100000000001</v>
      </c>
      <c r="I622" s="64">
        <f>19.8242 * CHOOSE(CONTROL!$C$22, $C$13, 100%, $E$13)</f>
        <v>19.824200000000001</v>
      </c>
      <c r="J622" s="64">
        <f>11.8583 * CHOOSE(CONTROL!$C$22, $C$13, 100%, $E$13)</f>
        <v>11.8583</v>
      </c>
      <c r="K622" s="64">
        <f>11.8584 * CHOOSE(CONTROL!$C$22, $C$13, 100%, $E$13)</f>
        <v>11.8584</v>
      </c>
    </row>
    <row r="623" spans="1:11" ht="15">
      <c r="A623" s="13">
        <v>60602</v>
      </c>
      <c r="B623" s="63">
        <f>10.1302 * CHOOSE(CONTROL!$C$22, $C$13, 100%, $E$13)</f>
        <v>10.1302</v>
      </c>
      <c r="C623" s="63">
        <f>10.1302 * CHOOSE(CONTROL!$C$22, $C$13, 100%, $E$13)</f>
        <v>10.1302</v>
      </c>
      <c r="D623" s="63">
        <f>10.1475 * CHOOSE(CONTROL!$C$22, $C$13, 100%, $E$13)</f>
        <v>10.147500000000001</v>
      </c>
      <c r="E623" s="64">
        <f>11.791 * CHOOSE(CONTROL!$C$22, $C$13, 100%, $E$13)</f>
        <v>11.791</v>
      </c>
      <c r="F623" s="64">
        <f>11.791 * CHOOSE(CONTROL!$C$22, $C$13, 100%, $E$13)</f>
        <v>11.791</v>
      </c>
      <c r="G623" s="64">
        <f>11.7912 * CHOOSE(CONTROL!$C$22, $C$13, 100%, $E$13)</f>
        <v>11.7912</v>
      </c>
      <c r="H623" s="64">
        <f>19.8654* CHOOSE(CONTROL!$C$22, $C$13, 100%, $E$13)</f>
        <v>19.865400000000001</v>
      </c>
      <c r="I623" s="64">
        <f>19.8655 * CHOOSE(CONTROL!$C$22, $C$13, 100%, $E$13)</f>
        <v>19.865500000000001</v>
      </c>
      <c r="J623" s="64">
        <f>11.791 * CHOOSE(CONTROL!$C$22, $C$13, 100%, $E$13)</f>
        <v>11.791</v>
      </c>
      <c r="K623" s="64">
        <f>11.7912 * CHOOSE(CONTROL!$C$22, $C$13, 100%, $E$13)</f>
        <v>11.7912</v>
      </c>
    </row>
    <row r="624" spans="1:11" ht="15">
      <c r="A624" s="13">
        <v>60633</v>
      </c>
      <c r="B624" s="63">
        <f>10.1917 * CHOOSE(CONTROL!$C$22, $C$13, 100%, $E$13)</f>
        <v>10.191700000000001</v>
      </c>
      <c r="C624" s="63">
        <f>10.1917 * CHOOSE(CONTROL!$C$22, $C$13, 100%, $E$13)</f>
        <v>10.191700000000001</v>
      </c>
      <c r="D624" s="63">
        <f>10.209 * CHOOSE(CONTROL!$C$22, $C$13, 100%, $E$13)</f>
        <v>10.209</v>
      </c>
      <c r="E624" s="64">
        <f>11.9111 * CHOOSE(CONTROL!$C$22, $C$13, 100%, $E$13)</f>
        <v>11.911099999999999</v>
      </c>
      <c r="F624" s="64">
        <f>11.9111 * CHOOSE(CONTROL!$C$22, $C$13, 100%, $E$13)</f>
        <v>11.911099999999999</v>
      </c>
      <c r="G624" s="64">
        <f>11.9113 * CHOOSE(CONTROL!$C$22, $C$13, 100%, $E$13)</f>
        <v>11.911300000000001</v>
      </c>
      <c r="H624" s="64">
        <f>19.8617* CHOOSE(CONTROL!$C$22, $C$13, 100%, $E$13)</f>
        <v>19.861699999999999</v>
      </c>
      <c r="I624" s="64">
        <f>19.8618 * CHOOSE(CONTROL!$C$22, $C$13, 100%, $E$13)</f>
        <v>19.861799999999999</v>
      </c>
      <c r="J624" s="64">
        <f>11.9111 * CHOOSE(CONTROL!$C$22, $C$13, 100%, $E$13)</f>
        <v>11.911099999999999</v>
      </c>
      <c r="K624" s="64">
        <f>11.9113 * CHOOSE(CONTROL!$C$22, $C$13, 100%, $E$13)</f>
        <v>11.911300000000001</v>
      </c>
    </row>
    <row r="625" spans="1:11" ht="15">
      <c r="A625" s="13">
        <v>60664</v>
      </c>
      <c r="B625" s="63">
        <f>10.1887 * CHOOSE(CONTROL!$C$22, $C$13, 100%, $E$13)</f>
        <v>10.188700000000001</v>
      </c>
      <c r="C625" s="63">
        <f>10.1887 * CHOOSE(CONTROL!$C$22, $C$13, 100%, $E$13)</f>
        <v>10.188700000000001</v>
      </c>
      <c r="D625" s="63">
        <f>10.206 * CHOOSE(CONTROL!$C$22, $C$13, 100%, $E$13)</f>
        <v>10.206</v>
      </c>
      <c r="E625" s="64">
        <f>11.7787 * CHOOSE(CONTROL!$C$22, $C$13, 100%, $E$13)</f>
        <v>11.778700000000001</v>
      </c>
      <c r="F625" s="64">
        <f>11.7787 * CHOOSE(CONTROL!$C$22, $C$13, 100%, $E$13)</f>
        <v>11.778700000000001</v>
      </c>
      <c r="G625" s="64">
        <f>11.7789 * CHOOSE(CONTROL!$C$22, $C$13, 100%, $E$13)</f>
        <v>11.7789</v>
      </c>
      <c r="H625" s="64">
        <f>19.903* CHOOSE(CONTROL!$C$22, $C$13, 100%, $E$13)</f>
        <v>19.902999999999999</v>
      </c>
      <c r="I625" s="64">
        <f>19.9032 * CHOOSE(CONTROL!$C$22, $C$13, 100%, $E$13)</f>
        <v>19.903199999999998</v>
      </c>
      <c r="J625" s="64">
        <f>11.7787 * CHOOSE(CONTROL!$C$22, $C$13, 100%, $E$13)</f>
        <v>11.778700000000001</v>
      </c>
      <c r="K625" s="64">
        <f>11.7789 * CHOOSE(CONTROL!$C$22, $C$13, 100%, $E$13)</f>
        <v>11.7789</v>
      </c>
    </row>
    <row r="626" spans="1:11" ht="15">
      <c r="A626" s="13">
        <v>60692</v>
      </c>
      <c r="B626" s="63">
        <f>10.1856 * CHOOSE(CONTROL!$C$22, $C$13, 100%, $E$13)</f>
        <v>10.185600000000001</v>
      </c>
      <c r="C626" s="63">
        <f>10.1856 * CHOOSE(CONTROL!$C$22, $C$13, 100%, $E$13)</f>
        <v>10.185600000000001</v>
      </c>
      <c r="D626" s="63">
        <f>10.203 * CHOOSE(CONTROL!$C$22, $C$13, 100%, $E$13)</f>
        <v>10.202999999999999</v>
      </c>
      <c r="E626" s="64">
        <f>11.8793 * CHOOSE(CONTROL!$C$22, $C$13, 100%, $E$13)</f>
        <v>11.879300000000001</v>
      </c>
      <c r="F626" s="64">
        <f>11.8793 * CHOOSE(CONTROL!$C$22, $C$13, 100%, $E$13)</f>
        <v>11.879300000000001</v>
      </c>
      <c r="G626" s="64">
        <f>11.8794 * CHOOSE(CONTROL!$C$22, $C$13, 100%, $E$13)</f>
        <v>11.8794</v>
      </c>
      <c r="H626" s="64">
        <f>19.9445* CHOOSE(CONTROL!$C$22, $C$13, 100%, $E$13)</f>
        <v>19.944500000000001</v>
      </c>
      <c r="I626" s="64">
        <f>19.9447 * CHOOSE(CONTROL!$C$22, $C$13, 100%, $E$13)</f>
        <v>19.944700000000001</v>
      </c>
      <c r="J626" s="64">
        <f>11.8793 * CHOOSE(CONTROL!$C$22, $C$13, 100%, $E$13)</f>
        <v>11.879300000000001</v>
      </c>
      <c r="K626" s="64">
        <f>11.8794 * CHOOSE(CONTROL!$C$22, $C$13, 100%, $E$13)</f>
        <v>11.8794</v>
      </c>
    </row>
    <row r="627" spans="1:11" ht="15">
      <c r="A627" s="13">
        <v>60723</v>
      </c>
      <c r="B627" s="63">
        <f>10.1886 * CHOOSE(CONTROL!$C$22, $C$13, 100%, $E$13)</f>
        <v>10.188599999999999</v>
      </c>
      <c r="C627" s="63">
        <f>10.1886 * CHOOSE(CONTROL!$C$22, $C$13, 100%, $E$13)</f>
        <v>10.188599999999999</v>
      </c>
      <c r="D627" s="63">
        <f>10.206 * CHOOSE(CONTROL!$C$22, $C$13, 100%, $E$13)</f>
        <v>10.206</v>
      </c>
      <c r="E627" s="64">
        <f>11.9853 * CHOOSE(CONTROL!$C$22, $C$13, 100%, $E$13)</f>
        <v>11.985300000000001</v>
      </c>
      <c r="F627" s="64">
        <f>11.9853 * CHOOSE(CONTROL!$C$22, $C$13, 100%, $E$13)</f>
        <v>11.985300000000001</v>
      </c>
      <c r="G627" s="64">
        <f>11.9855 * CHOOSE(CONTROL!$C$22, $C$13, 100%, $E$13)</f>
        <v>11.9855</v>
      </c>
      <c r="H627" s="64">
        <f>19.986* CHOOSE(CONTROL!$C$22, $C$13, 100%, $E$13)</f>
        <v>19.986000000000001</v>
      </c>
      <c r="I627" s="64">
        <f>19.9862 * CHOOSE(CONTROL!$C$22, $C$13, 100%, $E$13)</f>
        <v>19.9862</v>
      </c>
      <c r="J627" s="64">
        <f>11.9853 * CHOOSE(CONTROL!$C$22, $C$13, 100%, $E$13)</f>
        <v>11.985300000000001</v>
      </c>
      <c r="K627" s="64">
        <f>11.9855 * CHOOSE(CONTROL!$C$22, $C$13, 100%, $E$13)</f>
        <v>11.9855</v>
      </c>
    </row>
    <row r="628" spans="1:11" ht="15">
      <c r="A628" s="13">
        <v>60753</v>
      </c>
      <c r="B628" s="63">
        <f>10.1886 * CHOOSE(CONTROL!$C$22, $C$13, 100%, $E$13)</f>
        <v>10.188599999999999</v>
      </c>
      <c r="C628" s="63">
        <f>10.1886 * CHOOSE(CONTROL!$C$22, $C$13, 100%, $E$13)</f>
        <v>10.188599999999999</v>
      </c>
      <c r="D628" s="63">
        <f>10.2233 * CHOOSE(CONTROL!$C$22, $C$13, 100%, $E$13)</f>
        <v>10.2233</v>
      </c>
      <c r="E628" s="64">
        <f>12.0267 * CHOOSE(CONTROL!$C$22, $C$13, 100%, $E$13)</f>
        <v>12.0267</v>
      </c>
      <c r="F628" s="64">
        <f>12.0267 * CHOOSE(CONTROL!$C$22, $C$13, 100%, $E$13)</f>
        <v>12.0267</v>
      </c>
      <c r="G628" s="64">
        <f>12.0288 * CHOOSE(CONTROL!$C$22, $C$13, 100%, $E$13)</f>
        <v>12.0288</v>
      </c>
      <c r="H628" s="64">
        <f>20.0277* CHOOSE(CONTROL!$C$22, $C$13, 100%, $E$13)</f>
        <v>20.027699999999999</v>
      </c>
      <c r="I628" s="64">
        <f>20.0298 * CHOOSE(CONTROL!$C$22, $C$13, 100%, $E$13)</f>
        <v>20.029800000000002</v>
      </c>
      <c r="J628" s="64">
        <f>12.0267 * CHOOSE(CONTROL!$C$22, $C$13, 100%, $E$13)</f>
        <v>12.0267</v>
      </c>
      <c r="K628" s="64">
        <f>12.0288 * CHOOSE(CONTROL!$C$22, $C$13, 100%, $E$13)</f>
        <v>12.0288</v>
      </c>
    </row>
    <row r="629" spans="1:11" ht="15">
      <c r="A629" s="13">
        <v>60784</v>
      </c>
      <c r="B629" s="63">
        <f>10.1947 * CHOOSE(CONTROL!$C$22, $C$13, 100%, $E$13)</f>
        <v>10.194699999999999</v>
      </c>
      <c r="C629" s="63">
        <f>10.1947 * CHOOSE(CONTROL!$C$22, $C$13, 100%, $E$13)</f>
        <v>10.194699999999999</v>
      </c>
      <c r="D629" s="63">
        <f>10.2294 * CHOOSE(CONTROL!$C$22, $C$13, 100%, $E$13)</f>
        <v>10.2294</v>
      </c>
      <c r="E629" s="64">
        <f>11.9896 * CHOOSE(CONTROL!$C$22, $C$13, 100%, $E$13)</f>
        <v>11.989599999999999</v>
      </c>
      <c r="F629" s="64">
        <f>11.9896 * CHOOSE(CONTROL!$C$22, $C$13, 100%, $E$13)</f>
        <v>11.989599999999999</v>
      </c>
      <c r="G629" s="64">
        <f>11.9917 * CHOOSE(CONTROL!$C$22, $C$13, 100%, $E$13)</f>
        <v>11.9917</v>
      </c>
      <c r="H629" s="64">
        <f>20.0694* CHOOSE(CONTROL!$C$22, $C$13, 100%, $E$13)</f>
        <v>20.069400000000002</v>
      </c>
      <c r="I629" s="64">
        <f>20.0716 * CHOOSE(CONTROL!$C$22, $C$13, 100%, $E$13)</f>
        <v>20.0716</v>
      </c>
      <c r="J629" s="64">
        <f>11.9896 * CHOOSE(CONTROL!$C$22, $C$13, 100%, $E$13)</f>
        <v>11.989599999999999</v>
      </c>
      <c r="K629" s="64">
        <f>11.9917 * CHOOSE(CONTROL!$C$22, $C$13, 100%, $E$13)</f>
        <v>11.9917</v>
      </c>
    </row>
    <row r="630" spans="1:11" ht="15">
      <c r="A630" s="13">
        <v>60814</v>
      </c>
      <c r="B630" s="63">
        <f>10.3574 * CHOOSE(CONTROL!$C$22, $C$13, 100%, $E$13)</f>
        <v>10.3574</v>
      </c>
      <c r="C630" s="63">
        <f>10.3574 * CHOOSE(CONTROL!$C$22, $C$13, 100%, $E$13)</f>
        <v>10.3574</v>
      </c>
      <c r="D630" s="63">
        <f>10.392 * CHOOSE(CONTROL!$C$22, $C$13, 100%, $E$13)</f>
        <v>10.391999999999999</v>
      </c>
      <c r="E630" s="64">
        <f>12.2207 * CHOOSE(CONTROL!$C$22, $C$13, 100%, $E$13)</f>
        <v>12.220700000000001</v>
      </c>
      <c r="F630" s="64">
        <f>12.2207 * CHOOSE(CONTROL!$C$22, $C$13, 100%, $E$13)</f>
        <v>12.220700000000001</v>
      </c>
      <c r="G630" s="64">
        <f>12.2228 * CHOOSE(CONTROL!$C$22, $C$13, 100%, $E$13)</f>
        <v>12.222799999999999</v>
      </c>
      <c r="H630" s="64">
        <f>20.1112* CHOOSE(CONTROL!$C$22, $C$13, 100%, $E$13)</f>
        <v>20.1112</v>
      </c>
      <c r="I630" s="64">
        <f>20.1134 * CHOOSE(CONTROL!$C$22, $C$13, 100%, $E$13)</f>
        <v>20.113399999999999</v>
      </c>
      <c r="J630" s="64">
        <f>12.2207 * CHOOSE(CONTROL!$C$22, $C$13, 100%, $E$13)</f>
        <v>12.220700000000001</v>
      </c>
      <c r="K630" s="64">
        <f>12.2228 * CHOOSE(CONTROL!$C$22, $C$13, 100%, $E$13)</f>
        <v>12.222799999999999</v>
      </c>
    </row>
    <row r="631" spans="1:11" ht="15">
      <c r="A631" s="13">
        <v>60845</v>
      </c>
      <c r="B631" s="63">
        <f>10.364 * CHOOSE(CONTROL!$C$22, $C$13, 100%, $E$13)</f>
        <v>10.364000000000001</v>
      </c>
      <c r="C631" s="63">
        <f>10.364 * CHOOSE(CONTROL!$C$22, $C$13, 100%, $E$13)</f>
        <v>10.364000000000001</v>
      </c>
      <c r="D631" s="63">
        <f>10.3987 * CHOOSE(CONTROL!$C$22, $C$13, 100%, $E$13)</f>
        <v>10.3987</v>
      </c>
      <c r="E631" s="64">
        <f>12.1013 * CHOOSE(CONTROL!$C$22, $C$13, 100%, $E$13)</f>
        <v>12.1013</v>
      </c>
      <c r="F631" s="64">
        <f>12.1013 * CHOOSE(CONTROL!$C$22, $C$13, 100%, $E$13)</f>
        <v>12.1013</v>
      </c>
      <c r="G631" s="64">
        <f>12.1034 * CHOOSE(CONTROL!$C$22, $C$13, 100%, $E$13)</f>
        <v>12.103400000000001</v>
      </c>
      <c r="H631" s="64">
        <f>20.1531* CHOOSE(CONTROL!$C$22, $C$13, 100%, $E$13)</f>
        <v>20.153099999999998</v>
      </c>
      <c r="I631" s="64">
        <f>20.1553 * CHOOSE(CONTROL!$C$22, $C$13, 100%, $E$13)</f>
        <v>20.1553</v>
      </c>
      <c r="J631" s="64">
        <f>12.1013 * CHOOSE(CONTROL!$C$22, $C$13, 100%, $E$13)</f>
        <v>12.1013</v>
      </c>
      <c r="K631" s="64">
        <f>12.1034 * CHOOSE(CONTROL!$C$22, $C$13, 100%, $E$13)</f>
        <v>12.103400000000001</v>
      </c>
    </row>
    <row r="632" spans="1:11" ht="15">
      <c r="A632" s="13">
        <v>60876</v>
      </c>
      <c r="B632" s="63">
        <f>10.361 * CHOOSE(CONTROL!$C$22, $C$13, 100%, $E$13)</f>
        <v>10.361000000000001</v>
      </c>
      <c r="C632" s="63">
        <f>10.361 * CHOOSE(CONTROL!$C$22, $C$13, 100%, $E$13)</f>
        <v>10.361000000000001</v>
      </c>
      <c r="D632" s="63">
        <f>10.3957 * CHOOSE(CONTROL!$C$22, $C$13, 100%, $E$13)</f>
        <v>10.3957</v>
      </c>
      <c r="E632" s="64">
        <f>12.0854 * CHOOSE(CONTROL!$C$22, $C$13, 100%, $E$13)</f>
        <v>12.0854</v>
      </c>
      <c r="F632" s="64">
        <f>12.0854 * CHOOSE(CONTROL!$C$22, $C$13, 100%, $E$13)</f>
        <v>12.0854</v>
      </c>
      <c r="G632" s="64">
        <f>12.0875 * CHOOSE(CONTROL!$C$22, $C$13, 100%, $E$13)</f>
        <v>12.0875</v>
      </c>
      <c r="H632" s="64">
        <f>20.1951* CHOOSE(CONTROL!$C$22, $C$13, 100%, $E$13)</f>
        <v>20.1951</v>
      </c>
      <c r="I632" s="64">
        <f>20.1973 * CHOOSE(CONTROL!$C$22, $C$13, 100%, $E$13)</f>
        <v>20.197299999999998</v>
      </c>
      <c r="J632" s="64">
        <f>12.0854 * CHOOSE(CONTROL!$C$22, $C$13, 100%, $E$13)</f>
        <v>12.0854</v>
      </c>
      <c r="K632" s="64">
        <f>12.0875 * CHOOSE(CONTROL!$C$22, $C$13, 100%, $E$13)</f>
        <v>12.0875</v>
      </c>
    </row>
    <row r="633" spans="1:11" ht="15">
      <c r="A633" s="13">
        <v>60906</v>
      </c>
      <c r="B633" s="63">
        <f>10.3772 * CHOOSE(CONTROL!$C$22, $C$13, 100%, $E$13)</f>
        <v>10.3772</v>
      </c>
      <c r="C633" s="63">
        <f>10.3772 * CHOOSE(CONTROL!$C$22, $C$13, 100%, $E$13)</f>
        <v>10.3772</v>
      </c>
      <c r="D633" s="63">
        <f>10.3945 * CHOOSE(CONTROL!$C$22, $C$13, 100%, $E$13)</f>
        <v>10.394500000000001</v>
      </c>
      <c r="E633" s="64">
        <f>12.1271 * CHOOSE(CONTROL!$C$22, $C$13, 100%, $E$13)</f>
        <v>12.1271</v>
      </c>
      <c r="F633" s="64">
        <f>12.1271 * CHOOSE(CONTROL!$C$22, $C$13, 100%, $E$13)</f>
        <v>12.1271</v>
      </c>
      <c r="G633" s="64">
        <f>12.1273 * CHOOSE(CONTROL!$C$22, $C$13, 100%, $E$13)</f>
        <v>12.1273</v>
      </c>
      <c r="H633" s="64">
        <f>20.2372* CHOOSE(CONTROL!$C$22, $C$13, 100%, $E$13)</f>
        <v>20.237200000000001</v>
      </c>
      <c r="I633" s="64">
        <f>20.2374 * CHOOSE(CONTROL!$C$22, $C$13, 100%, $E$13)</f>
        <v>20.237400000000001</v>
      </c>
      <c r="J633" s="64">
        <f>12.1271 * CHOOSE(CONTROL!$C$22, $C$13, 100%, $E$13)</f>
        <v>12.1271</v>
      </c>
      <c r="K633" s="64">
        <f>12.1273 * CHOOSE(CONTROL!$C$22, $C$13, 100%, $E$13)</f>
        <v>12.1273</v>
      </c>
    </row>
    <row r="634" spans="1:11" ht="15">
      <c r="A634" s="13">
        <v>60937</v>
      </c>
      <c r="B634" s="63">
        <f>10.3802 * CHOOSE(CONTROL!$C$22, $C$13, 100%, $E$13)</f>
        <v>10.3802</v>
      </c>
      <c r="C634" s="63">
        <f>10.3802 * CHOOSE(CONTROL!$C$22, $C$13, 100%, $E$13)</f>
        <v>10.3802</v>
      </c>
      <c r="D634" s="63">
        <f>10.3976 * CHOOSE(CONTROL!$C$22, $C$13, 100%, $E$13)</f>
        <v>10.397600000000001</v>
      </c>
      <c r="E634" s="64">
        <f>12.1568 * CHOOSE(CONTROL!$C$22, $C$13, 100%, $E$13)</f>
        <v>12.1568</v>
      </c>
      <c r="F634" s="64">
        <f>12.1568 * CHOOSE(CONTROL!$C$22, $C$13, 100%, $E$13)</f>
        <v>12.1568</v>
      </c>
      <c r="G634" s="64">
        <f>12.157 * CHOOSE(CONTROL!$C$22, $C$13, 100%, $E$13)</f>
        <v>12.157</v>
      </c>
      <c r="H634" s="64">
        <f>20.2793* CHOOSE(CONTROL!$C$22, $C$13, 100%, $E$13)</f>
        <v>20.279299999999999</v>
      </c>
      <c r="I634" s="64">
        <f>20.2795 * CHOOSE(CONTROL!$C$22, $C$13, 100%, $E$13)</f>
        <v>20.279499999999999</v>
      </c>
      <c r="J634" s="64">
        <f>12.1568 * CHOOSE(CONTROL!$C$22, $C$13, 100%, $E$13)</f>
        <v>12.1568</v>
      </c>
      <c r="K634" s="64">
        <f>12.157 * CHOOSE(CONTROL!$C$22, $C$13, 100%, $E$13)</f>
        <v>12.157</v>
      </c>
    </row>
    <row r="635" spans="1:11" ht="15">
      <c r="A635" s="13">
        <v>60967</v>
      </c>
      <c r="B635" s="63">
        <f>10.3802 * CHOOSE(CONTROL!$C$22, $C$13, 100%, $E$13)</f>
        <v>10.3802</v>
      </c>
      <c r="C635" s="63">
        <f>10.3802 * CHOOSE(CONTROL!$C$22, $C$13, 100%, $E$13)</f>
        <v>10.3802</v>
      </c>
      <c r="D635" s="63">
        <f>10.3976 * CHOOSE(CONTROL!$C$22, $C$13, 100%, $E$13)</f>
        <v>10.397600000000001</v>
      </c>
      <c r="E635" s="64">
        <f>12.0879 * CHOOSE(CONTROL!$C$22, $C$13, 100%, $E$13)</f>
        <v>12.087899999999999</v>
      </c>
      <c r="F635" s="64">
        <f>12.0879 * CHOOSE(CONTROL!$C$22, $C$13, 100%, $E$13)</f>
        <v>12.087899999999999</v>
      </c>
      <c r="G635" s="64">
        <f>12.088 * CHOOSE(CONTROL!$C$22, $C$13, 100%, $E$13)</f>
        <v>12.087999999999999</v>
      </c>
      <c r="H635" s="64">
        <f>20.3216* CHOOSE(CONTROL!$C$22, $C$13, 100%, $E$13)</f>
        <v>20.3216</v>
      </c>
      <c r="I635" s="64">
        <f>20.3218 * CHOOSE(CONTROL!$C$22, $C$13, 100%, $E$13)</f>
        <v>20.3218</v>
      </c>
      <c r="J635" s="64">
        <f>12.0879 * CHOOSE(CONTROL!$C$22, $C$13, 100%, $E$13)</f>
        <v>12.087899999999999</v>
      </c>
      <c r="K635" s="64">
        <f>12.088 * CHOOSE(CONTROL!$C$22, $C$13, 100%, $E$13)</f>
        <v>12.087999999999999</v>
      </c>
    </row>
    <row r="636" spans="1:11" ht="15">
      <c r="A636" s="13">
        <v>60998</v>
      </c>
      <c r="B636" s="63">
        <f>10.437 * CHOOSE(CONTROL!$C$22, $C$13, 100%, $E$13)</f>
        <v>10.436999999999999</v>
      </c>
      <c r="C636" s="63">
        <f>10.437 * CHOOSE(CONTROL!$C$22, $C$13, 100%, $E$13)</f>
        <v>10.436999999999999</v>
      </c>
      <c r="D636" s="63">
        <f>10.4544 * CHOOSE(CONTROL!$C$22, $C$13, 100%, $E$13)</f>
        <v>10.4544</v>
      </c>
      <c r="E636" s="64">
        <f>12.2035 * CHOOSE(CONTROL!$C$22, $C$13, 100%, $E$13)</f>
        <v>12.2035</v>
      </c>
      <c r="F636" s="64">
        <f>12.2035 * CHOOSE(CONTROL!$C$22, $C$13, 100%, $E$13)</f>
        <v>12.2035</v>
      </c>
      <c r="G636" s="64">
        <f>12.2037 * CHOOSE(CONTROL!$C$22, $C$13, 100%, $E$13)</f>
        <v>12.2037</v>
      </c>
      <c r="H636" s="64">
        <f>20.3075* CHOOSE(CONTROL!$C$22, $C$13, 100%, $E$13)</f>
        <v>20.307500000000001</v>
      </c>
      <c r="I636" s="64">
        <f>20.3077 * CHOOSE(CONTROL!$C$22, $C$13, 100%, $E$13)</f>
        <v>20.307700000000001</v>
      </c>
      <c r="J636" s="64">
        <f>12.2035 * CHOOSE(CONTROL!$C$22, $C$13, 100%, $E$13)</f>
        <v>12.2035</v>
      </c>
      <c r="K636" s="64">
        <f>12.2037 * CHOOSE(CONTROL!$C$22, $C$13, 100%, $E$13)</f>
        <v>12.2037</v>
      </c>
    </row>
    <row r="637" spans="1:11" ht="15">
      <c r="A637" s="13">
        <v>61029</v>
      </c>
      <c r="B637" s="63">
        <f>10.434 * CHOOSE(CONTROL!$C$22, $C$13, 100%, $E$13)</f>
        <v>10.433999999999999</v>
      </c>
      <c r="C637" s="63">
        <f>10.434 * CHOOSE(CONTROL!$C$22, $C$13, 100%, $E$13)</f>
        <v>10.433999999999999</v>
      </c>
      <c r="D637" s="63">
        <f>10.4513 * CHOOSE(CONTROL!$C$22, $C$13, 100%, $E$13)</f>
        <v>10.4513</v>
      </c>
      <c r="E637" s="64">
        <f>12.0679 * CHOOSE(CONTROL!$C$22, $C$13, 100%, $E$13)</f>
        <v>12.0679</v>
      </c>
      <c r="F637" s="64">
        <f>12.0679 * CHOOSE(CONTROL!$C$22, $C$13, 100%, $E$13)</f>
        <v>12.0679</v>
      </c>
      <c r="G637" s="64">
        <f>12.0681 * CHOOSE(CONTROL!$C$22, $C$13, 100%, $E$13)</f>
        <v>12.068099999999999</v>
      </c>
      <c r="H637" s="64">
        <f>20.3499* CHOOSE(CONTROL!$C$22, $C$13, 100%, $E$13)</f>
        <v>20.349900000000002</v>
      </c>
      <c r="I637" s="64">
        <f>20.35 * CHOOSE(CONTROL!$C$22, $C$13, 100%, $E$13)</f>
        <v>20.350000000000001</v>
      </c>
      <c r="J637" s="64">
        <f>12.0679 * CHOOSE(CONTROL!$C$22, $C$13, 100%, $E$13)</f>
        <v>12.0679</v>
      </c>
      <c r="K637" s="64">
        <f>12.0681 * CHOOSE(CONTROL!$C$22, $C$13, 100%, $E$13)</f>
        <v>12.068099999999999</v>
      </c>
    </row>
    <row r="638" spans="1:11" ht="15">
      <c r="A638" s="13">
        <v>61057</v>
      </c>
      <c r="B638" s="63">
        <f>10.4309 * CHOOSE(CONTROL!$C$22, $C$13, 100%, $E$13)</f>
        <v>10.430899999999999</v>
      </c>
      <c r="C638" s="63">
        <f>10.4309 * CHOOSE(CONTROL!$C$22, $C$13, 100%, $E$13)</f>
        <v>10.430899999999999</v>
      </c>
      <c r="D638" s="63">
        <f>10.4483 * CHOOSE(CONTROL!$C$22, $C$13, 100%, $E$13)</f>
        <v>10.4483</v>
      </c>
      <c r="E638" s="64">
        <f>12.171 * CHOOSE(CONTROL!$C$22, $C$13, 100%, $E$13)</f>
        <v>12.170999999999999</v>
      </c>
      <c r="F638" s="64">
        <f>12.171 * CHOOSE(CONTROL!$C$22, $C$13, 100%, $E$13)</f>
        <v>12.170999999999999</v>
      </c>
      <c r="G638" s="64">
        <f>12.1712 * CHOOSE(CONTROL!$C$22, $C$13, 100%, $E$13)</f>
        <v>12.171200000000001</v>
      </c>
      <c r="H638" s="64">
        <f>20.3922* CHOOSE(CONTROL!$C$22, $C$13, 100%, $E$13)</f>
        <v>20.392199999999999</v>
      </c>
      <c r="I638" s="64">
        <f>20.3924 * CHOOSE(CONTROL!$C$22, $C$13, 100%, $E$13)</f>
        <v>20.392399999999999</v>
      </c>
      <c r="J638" s="64">
        <f>12.171 * CHOOSE(CONTROL!$C$22, $C$13, 100%, $E$13)</f>
        <v>12.170999999999999</v>
      </c>
      <c r="K638" s="64">
        <f>12.1712 * CHOOSE(CONTROL!$C$22, $C$13, 100%, $E$13)</f>
        <v>12.171200000000001</v>
      </c>
    </row>
    <row r="639" spans="1:11" ht="15">
      <c r="A639" s="13">
        <v>61088</v>
      </c>
      <c r="B639" s="63">
        <f>10.4341 * CHOOSE(CONTROL!$C$22, $C$13, 100%, $E$13)</f>
        <v>10.434100000000001</v>
      </c>
      <c r="C639" s="63">
        <f>10.4341 * CHOOSE(CONTROL!$C$22, $C$13, 100%, $E$13)</f>
        <v>10.434100000000001</v>
      </c>
      <c r="D639" s="63">
        <f>10.4515 * CHOOSE(CONTROL!$C$22, $C$13, 100%, $E$13)</f>
        <v>10.451499999999999</v>
      </c>
      <c r="E639" s="64">
        <f>12.2798 * CHOOSE(CONTROL!$C$22, $C$13, 100%, $E$13)</f>
        <v>12.2798</v>
      </c>
      <c r="F639" s="64">
        <f>12.2798 * CHOOSE(CONTROL!$C$22, $C$13, 100%, $E$13)</f>
        <v>12.2798</v>
      </c>
      <c r="G639" s="64">
        <f>12.2799 * CHOOSE(CONTROL!$C$22, $C$13, 100%, $E$13)</f>
        <v>12.2799</v>
      </c>
      <c r="H639" s="64">
        <f>20.4347* CHOOSE(CONTROL!$C$22, $C$13, 100%, $E$13)</f>
        <v>20.434699999999999</v>
      </c>
      <c r="I639" s="64">
        <f>20.4349 * CHOOSE(CONTROL!$C$22, $C$13, 100%, $E$13)</f>
        <v>20.434899999999999</v>
      </c>
      <c r="J639" s="64">
        <f>12.2798 * CHOOSE(CONTROL!$C$22, $C$13, 100%, $E$13)</f>
        <v>12.2798</v>
      </c>
      <c r="K639" s="64">
        <f>12.2799 * CHOOSE(CONTROL!$C$22, $C$13, 100%, $E$13)</f>
        <v>12.2799</v>
      </c>
    </row>
    <row r="640" spans="1:11" ht="15">
      <c r="A640" s="13">
        <v>61118</v>
      </c>
      <c r="B640" s="63">
        <f>10.4341 * CHOOSE(CONTROL!$C$22, $C$13, 100%, $E$13)</f>
        <v>10.434100000000001</v>
      </c>
      <c r="C640" s="63">
        <f>10.4341 * CHOOSE(CONTROL!$C$22, $C$13, 100%, $E$13)</f>
        <v>10.434100000000001</v>
      </c>
      <c r="D640" s="63">
        <f>10.4688 * CHOOSE(CONTROL!$C$22, $C$13, 100%, $E$13)</f>
        <v>10.4688</v>
      </c>
      <c r="E640" s="64">
        <f>12.3221 * CHOOSE(CONTROL!$C$22, $C$13, 100%, $E$13)</f>
        <v>12.322100000000001</v>
      </c>
      <c r="F640" s="64">
        <f>12.3221 * CHOOSE(CONTROL!$C$22, $C$13, 100%, $E$13)</f>
        <v>12.322100000000001</v>
      </c>
      <c r="G640" s="64">
        <f>12.3243 * CHOOSE(CONTROL!$C$22, $C$13, 100%, $E$13)</f>
        <v>12.324299999999999</v>
      </c>
      <c r="H640" s="64">
        <f>20.4773* CHOOSE(CONTROL!$C$22, $C$13, 100%, $E$13)</f>
        <v>20.4773</v>
      </c>
      <c r="I640" s="64">
        <f>20.4795 * CHOOSE(CONTROL!$C$22, $C$13, 100%, $E$13)</f>
        <v>20.479500000000002</v>
      </c>
      <c r="J640" s="64">
        <f>12.3221 * CHOOSE(CONTROL!$C$22, $C$13, 100%, $E$13)</f>
        <v>12.322100000000001</v>
      </c>
      <c r="K640" s="64">
        <f>12.3243 * CHOOSE(CONTROL!$C$22, $C$13, 100%, $E$13)</f>
        <v>12.324299999999999</v>
      </c>
    </row>
    <row r="641" spans="1:11" ht="15">
      <c r="A641" s="13">
        <v>61149</v>
      </c>
      <c r="B641" s="63">
        <f>10.4402 * CHOOSE(CONTROL!$C$22, $C$13, 100%, $E$13)</f>
        <v>10.440200000000001</v>
      </c>
      <c r="C641" s="63">
        <f>10.4402 * CHOOSE(CONTROL!$C$22, $C$13, 100%, $E$13)</f>
        <v>10.440200000000001</v>
      </c>
      <c r="D641" s="63">
        <f>10.4749 * CHOOSE(CONTROL!$C$22, $C$13, 100%, $E$13)</f>
        <v>10.4749</v>
      </c>
      <c r="E641" s="64">
        <f>12.284 * CHOOSE(CONTROL!$C$22, $C$13, 100%, $E$13)</f>
        <v>12.284000000000001</v>
      </c>
      <c r="F641" s="64">
        <f>12.284 * CHOOSE(CONTROL!$C$22, $C$13, 100%, $E$13)</f>
        <v>12.284000000000001</v>
      </c>
      <c r="G641" s="64">
        <f>12.2861 * CHOOSE(CONTROL!$C$22, $C$13, 100%, $E$13)</f>
        <v>12.286099999999999</v>
      </c>
      <c r="H641" s="64">
        <f>20.52* CHOOSE(CONTROL!$C$22, $C$13, 100%, $E$13)</f>
        <v>20.52</v>
      </c>
      <c r="I641" s="64">
        <f>20.5221 * CHOOSE(CONTROL!$C$22, $C$13, 100%, $E$13)</f>
        <v>20.522099999999998</v>
      </c>
      <c r="J641" s="64">
        <f>12.284 * CHOOSE(CONTROL!$C$22, $C$13, 100%, $E$13)</f>
        <v>12.284000000000001</v>
      </c>
      <c r="K641" s="64">
        <f>12.2861 * CHOOSE(CONTROL!$C$22, $C$13, 100%, $E$13)</f>
        <v>12.286099999999999</v>
      </c>
    </row>
    <row r="642" spans="1:11" ht="15">
      <c r="A642" s="13">
        <v>61179</v>
      </c>
      <c r="B642" s="63">
        <f>10.6066 * CHOOSE(CONTROL!$C$22, $C$13, 100%, $E$13)</f>
        <v>10.6066</v>
      </c>
      <c r="C642" s="63">
        <f>10.6066 * CHOOSE(CONTROL!$C$22, $C$13, 100%, $E$13)</f>
        <v>10.6066</v>
      </c>
      <c r="D642" s="63">
        <f>10.6412 * CHOOSE(CONTROL!$C$22, $C$13, 100%, $E$13)</f>
        <v>10.6412</v>
      </c>
      <c r="E642" s="64">
        <f>12.5206 * CHOOSE(CONTROL!$C$22, $C$13, 100%, $E$13)</f>
        <v>12.5206</v>
      </c>
      <c r="F642" s="64">
        <f>12.5206 * CHOOSE(CONTROL!$C$22, $C$13, 100%, $E$13)</f>
        <v>12.5206</v>
      </c>
      <c r="G642" s="64">
        <f>12.5227 * CHOOSE(CONTROL!$C$22, $C$13, 100%, $E$13)</f>
        <v>12.5227</v>
      </c>
      <c r="H642" s="64">
        <f>20.5627* CHOOSE(CONTROL!$C$22, $C$13, 100%, $E$13)</f>
        <v>20.5627</v>
      </c>
      <c r="I642" s="64">
        <f>20.5649 * CHOOSE(CONTROL!$C$22, $C$13, 100%, $E$13)</f>
        <v>20.564900000000002</v>
      </c>
      <c r="J642" s="64">
        <f>12.5206 * CHOOSE(CONTROL!$C$22, $C$13, 100%, $E$13)</f>
        <v>12.5206</v>
      </c>
      <c r="K642" s="64">
        <f>12.5227 * CHOOSE(CONTROL!$C$22, $C$13, 100%, $E$13)</f>
        <v>12.5227</v>
      </c>
    </row>
    <row r="643" spans="1:11" ht="15">
      <c r="A643" s="13">
        <v>61210</v>
      </c>
      <c r="B643" s="63">
        <f>10.6133 * CHOOSE(CONTROL!$C$22, $C$13, 100%, $E$13)</f>
        <v>10.613300000000001</v>
      </c>
      <c r="C643" s="63">
        <f>10.6133 * CHOOSE(CONTROL!$C$22, $C$13, 100%, $E$13)</f>
        <v>10.613300000000001</v>
      </c>
      <c r="D643" s="63">
        <f>10.6479 * CHOOSE(CONTROL!$C$22, $C$13, 100%, $E$13)</f>
        <v>10.6479</v>
      </c>
      <c r="E643" s="64">
        <f>12.3981 * CHOOSE(CONTROL!$C$22, $C$13, 100%, $E$13)</f>
        <v>12.398099999999999</v>
      </c>
      <c r="F643" s="64">
        <f>12.3981 * CHOOSE(CONTROL!$C$22, $C$13, 100%, $E$13)</f>
        <v>12.398099999999999</v>
      </c>
      <c r="G643" s="64">
        <f>12.4003 * CHOOSE(CONTROL!$C$22, $C$13, 100%, $E$13)</f>
        <v>12.4003</v>
      </c>
      <c r="H643" s="64">
        <f>20.6056* CHOOSE(CONTROL!$C$22, $C$13, 100%, $E$13)</f>
        <v>20.605599999999999</v>
      </c>
      <c r="I643" s="64">
        <f>20.6077 * CHOOSE(CONTROL!$C$22, $C$13, 100%, $E$13)</f>
        <v>20.607700000000001</v>
      </c>
      <c r="J643" s="64">
        <f>12.3981 * CHOOSE(CONTROL!$C$22, $C$13, 100%, $E$13)</f>
        <v>12.398099999999999</v>
      </c>
      <c r="K643" s="64">
        <f>12.4003 * CHOOSE(CONTROL!$C$22, $C$13, 100%, $E$13)</f>
        <v>12.4003</v>
      </c>
    </row>
    <row r="644" spans="1:11" ht="15">
      <c r="A644" s="13">
        <v>61241</v>
      </c>
      <c r="B644" s="63">
        <f>10.6102 * CHOOSE(CONTROL!$C$22, $C$13, 100%, $E$13)</f>
        <v>10.610200000000001</v>
      </c>
      <c r="C644" s="63">
        <f>10.6102 * CHOOSE(CONTROL!$C$22, $C$13, 100%, $E$13)</f>
        <v>10.610200000000001</v>
      </c>
      <c r="D644" s="63">
        <f>10.6449 * CHOOSE(CONTROL!$C$22, $C$13, 100%, $E$13)</f>
        <v>10.6449</v>
      </c>
      <c r="E644" s="64">
        <f>12.3819 * CHOOSE(CONTROL!$C$22, $C$13, 100%, $E$13)</f>
        <v>12.3819</v>
      </c>
      <c r="F644" s="64">
        <f>12.3819 * CHOOSE(CONTROL!$C$22, $C$13, 100%, $E$13)</f>
        <v>12.3819</v>
      </c>
      <c r="G644" s="64">
        <f>12.384 * CHOOSE(CONTROL!$C$22, $C$13, 100%, $E$13)</f>
        <v>12.384</v>
      </c>
      <c r="H644" s="64">
        <f>20.6485* CHOOSE(CONTROL!$C$22, $C$13, 100%, $E$13)</f>
        <v>20.648499999999999</v>
      </c>
      <c r="I644" s="64">
        <f>20.6506 * CHOOSE(CONTROL!$C$22, $C$13, 100%, $E$13)</f>
        <v>20.650600000000001</v>
      </c>
      <c r="J644" s="64">
        <f>12.3819 * CHOOSE(CONTROL!$C$22, $C$13, 100%, $E$13)</f>
        <v>12.3819</v>
      </c>
      <c r="K644" s="64">
        <f>12.384 * CHOOSE(CONTROL!$C$22, $C$13, 100%, $E$13)</f>
        <v>12.384</v>
      </c>
    </row>
    <row r="645" spans="1:11" ht="15">
      <c r="A645" s="13">
        <v>61271</v>
      </c>
      <c r="B645" s="63">
        <f>10.6272 * CHOOSE(CONTROL!$C$22, $C$13, 100%, $E$13)</f>
        <v>10.6272</v>
      </c>
      <c r="C645" s="63">
        <f>10.6272 * CHOOSE(CONTROL!$C$22, $C$13, 100%, $E$13)</f>
        <v>10.6272</v>
      </c>
      <c r="D645" s="63">
        <f>10.6445 * CHOOSE(CONTROL!$C$22, $C$13, 100%, $E$13)</f>
        <v>10.644500000000001</v>
      </c>
      <c r="E645" s="64">
        <f>12.425 * CHOOSE(CONTROL!$C$22, $C$13, 100%, $E$13)</f>
        <v>12.425000000000001</v>
      </c>
      <c r="F645" s="64">
        <f>12.425 * CHOOSE(CONTROL!$C$22, $C$13, 100%, $E$13)</f>
        <v>12.425000000000001</v>
      </c>
      <c r="G645" s="64">
        <f>12.4251 * CHOOSE(CONTROL!$C$22, $C$13, 100%, $E$13)</f>
        <v>12.4251</v>
      </c>
      <c r="H645" s="64">
        <f>20.6915* CHOOSE(CONTROL!$C$22, $C$13, 100%, $E$13)</f>
        <v>20.691500000000001</v>
      </c>
      <c r="I645" s="64">
        <f>20.6917 * CHOOSE(CONTROL!$C$22, $C$13, 100%, $E$13)</f>
        <v>20.691700000000001</v>
      </c>
      <c r="J645" s="64">
        <f>12.425 * CHOOSE(CONTROL!$C$22, $C$13, 100%, $E$13)</f>
        <v>12.425000000000001</v>
      </c>
      <c r="K645" s="64">
        <f>12.4251 * CHOOSE(CONTROL!$C$22, $C$13, 100%, $E$13)</f>
        <v>12.4251</v>
      </c>
    </row>
    <row r="646" spans="1:11" ht="15">
      <c r="A646" s="13">
        <v>61302</v>
      </c>
      <c r="B646" s="63">
        <f>10.6302 * CHOOSE(CONTROL!$C$22, $C$13, 100%, $E$13)</f>
        <v>10.6302</v>
      </c>
      <c r="C646" s="63">
        <f>10.6302 * CHOOSE(CONTROL!$C$22, $C$13, 100%, $E$13)</f>
        <v>10.6302</v>
      </c>
      <c r="D646" s="63">
        <f>10.6476 * CHOOSE(CONTROL!$C$22, $C$13, 100%, $E$13)</f>
        <v>10.647600000000001</v>
      </c>
      <c r="E646" s="64">
        <f>12.4553 * CHOOSE(CONTROL!$C$22, $C$13, 100%, $E$13)</f>
        <v>12.455299999999999</v>
      </c>
      <c r="F646" s="64">
        <f>12.4553 * CHOOSE(CONTROL!$C$22, $C$13, 100%, $E$13)</f>
        <v>12.455299999999999</v>
      </c>
      <c r="G646" s="64">
        <f>12.4555 * CHOOSE(CONTROL!$C$22, $C$13, 100%, $E$13)</f>
        <v>12.455500000000001</v>
      </c>
      <c r="H646" s="64">
        <f>20.7346* CHOOSE(CONTROL!$C$22, $C$13, 100%, $E$13)</f>
        <v>20.7346</v>
      </c>
      <c r="I646" s="64">
        <f>20.7348 * CHOOSE(CONTROL!$C$22, $C$13, 100%, $E$13)</f>
        <v>20.7348</v>
      </c>
      <c r="J646" s="64">
        <f>12.4553 * CHOOSE(CONTROL!$C$22, $C$13, 100%, $E$13)</f>
        <v>12.455299999999999</v>
      </c>
      <c r="K646" s="64">
        <f>12.4555 * CHOOSE(CONTROL!$C$22, $C$13, 100%, $E$13)</f>
        <v>12.455500000000001</v>
      </c>
    </row>
    <row r="647" spans="1:11" ht="15">
      <c r="A647" s="13">
        <v>61332</v>
      </c>
      <c r="B647" s="63">
        <f>10.6302 * CHOOSE(CONTROL!$C$22, $C$13, 100%, $E$13)</f>
        <v>10.6302</v>
      </c>
      <c r="C647" s="63">
        <f>10.6302 * CHOOSE(CONTROL!$C$22, $C$13, 100%, $E$13)</f>
        <v>10.6302</v>
      </c>
      <c r="D647" s="63">
        <f>10.6476 * CHOOSE(CONTROL!$C$22, $C$13, 100%, $E$13)</f>
        <v>10.647600000000001</v>
      </c>
      <c r="E647" s="64">
        <f>12.3847 * CHOOSE(CONTROL!$C$22, $C$13, 100%, $E$13)</f>
        <v>12.3847</v>
      </c>
      <c r="F647" s="64">
        <f>12.3847 * CHOOSE(CONTROL!$C$22, $C$13, 100%, $E$13)</f>
        <v>12.3847</v>
      </c>
      <c r="G647" s="64">
        <f>12.3849 * CHOOSE(CONTROL!$C$22, $C$13, 100%, $E$13)</f>
        <v>12.3849</v>
      </c>
      <c r="H647" s="64">
        <f>20.7778* CHOOSE(CONTROL!$C$22, $C$13, 100%, $E$13)</f>
        <v>20.777799999999999</v>
      </c>
      <c r="I647" s="64">
        <f>20.778 * CHOOSE(CONTROL!$C$22, $C$13, 100%, $E$13)</f>
        <v>20.777999999999999</v>
      </c>
      <c r="J647" s="64">
        <f>12.3847 * CHOOSE(CONTROL!$C$22, $C$13, 100%, $E$13)</f>
        <v>12.3847</v>
      </c>
      <c r="K647" s="64">
        <f>12.3849 * CHOOSE(CONTROL!$C$22, $C$13, 100%, $E$13)</f>
        <v>12.3849</v>
      </c>
    </row>
    <row r="648" spans="1:11" ht="15">
      <c r="A648" s="13">
        <v>61363</v>
      </c>
      <c r="B648" s="63">
        <f>10.6823 * CHOOSE(CONTROL!$C$22, $C$13, 100%, $E$13)</f>
        <v>10.6823</v>
      </c>
      <c r="C648" s="63">
        <f>10.6823 * CHOOSE(CONTROL!$C$22, $C$13, 100%, $E$13)</f>
        <v>10.6823</v>
      </c>
      <c r="D648" s="63">
        <f>10.6997 * CHOOSE(CONTROL!$C$22, $C$13, 100%, $E$13)</f>
        <v>10.6997</v>
      </c>
      <c r="E648" s="64">
        <f>12.4959 * CHOOSE(CONTROL!$C$22, $C$13, 100%, $E$13)</f>
        <v>12.495900000000001</v>
      </c>
      <c r="F648" s="64">
        <f>12.4959 * CHOOSE(CONTROL!$C$22, $C$13, 100%, $E$13)</f>
        <v>12.495900000000001</v>
      </c>
      <c r="G648" s="64">
        <f>12.4961 * CHOOSE(CONTROL!$C$22, $C$13, 100%, $E$13)</f>
        <v>12.4961</v>
      </c>
      <c r="H648" s="64">
        <f>20.7534* CHOOSE(CONTROL!$C$22, $C$13, 100%, $E$13)</f>
        <v>20.753399999999999</v>
      </c>
      <c r="I648" s="64">
        <f>20.7536 * CHOOSE(CONTROL!$C$22, $C$13, 100%, $E$13)</f>
        <v>20.753599999999999</v>
      </c>
      <c r="J648" s="64">
        <f>12.4959 * CHOOSE(CONTROL!$C$22, $C$13, 100%, $E$13)</f>
        <v>12.495900000000001</v>
      </c>
      <c r="K648" s="64">
        <f>12.4961 * CHOOSE(CONTROL!$C$22, $C$13, 100%, $E$13)</f>
        <v>12.4961</v>
      </c>
    </row>
    <row r="649" spans="1:11" ht="15">
      <c r="A649" s="13">
        <v>61394</v>
      </c>
      <c r="B649" s="63">
        <f>10.6793 * CHOOSE(CONTROL!$C$22, $C$13, 100%, $E$13)</f>
        <v>10.6793</v>
      </c>
      <c r="C649" s="63">
        <f>10.6793 * CHOOSE(CONTROL!$C$22, $C$13, 100%, $E$13)</f>
        <v>10.6793</v>
      </c>
      <c r="D649" s="63">
        <f>10.6966 * CHOOSE(CONTROL!$C$22, $C$13, 100%, $E$13)</f>
        <v>10.6966</v>
      </c>
      <c r="E649" s="64">
        <f>12.3571 * CHOOSE(CONTROL!$C$22, $C$13, 100%, $E$13)</f>
        <v>12.357100000000001</v>
      </c>
      <c r="F649" s="64">
        <f>12.3571 * CHOOSE(CONTROL!$C$22, $C$13, 100%, $E$13)</f>
        <v>12.357100000000001</v>
      </c>
      <c r="G649" s="64">
        <f>12.3573 * CHOOSE(CONTROL!$C$22, $C$13, 100%, $E$13)</f>
        <v>12.3573</v>
      </c>
      <c r="H649" s="64">
        <f>20.7967* CHOOSE(CONTROL!$C$22, $C$13, 100%, $E$13)</f>
        <v>20.796700000000001</v>
      </c>
      <c r="I649" s="64">
        <f>20.7969 * CHOOSE(CONTROL!$C$22, $C$13, 100%, $E$13)</f>
        <v>20.796900000000001</v>
      </c>
      <c r="J649" s="64">
        <f>12.3571 * CHOOSE(CONTROL!$C$22, $C$13, 100%, $E$13)</f>
        <v>12.357100000000001</v>
      </c>
      <c r="K649" s="64">
        <f>12.3573 * CHOOSE(CONTROL!$C$22, $C$13, 100%, $E$13)</f>
        <v>12.3573</v>
      </c>
    </row>
    <row r="650" spans="1:11" ht="15">
      <c r="A650" s="13">
        <v>61423</v>
      </c>
      <c r="B650" s="63">
        <f>10.6763 * CHOOSE(CONTROL!$C$22, $C$13, 100%, $E$13)</f>
        <v>10.676299999999999</v>
      </c>
      <c r="C650" s="63">
        <f>10.6763 * CHOOSE(CONTROL!$C$22, $C$13, 100%, $E$13)</f>
        <v>10.676299999999999</v>
      </c>
      <c r="D650" s="63">
        <f>10.6936 * CHOOSE(CONTROL!$C$22, $C$13, 100%, $E$13)</f>
        <v>10.6936</v>
      </c>
      <c r="E650" s="64">
        <f>12.4627 * CHOOSE(CONTROL!$C$22, $C$13, 100%, $E$13)</f>
        <v>12.4627</v>
      </c>
      <c r="F650" s="64">
        <f>12.4627 * CHOOSE(CONTROL!$C$22, $C$13, 100%, $E$13)</f>
        <v>12.4627</v>
      </c>
      <c r="G650" s="64">
        <f>12.4629 * CHOOSE(CONTROL!$C$22, $C$13, 100%, $E$13)</f>
        <v>12.462899999999999</v>
      </c>
      <c r="H650" s="64">
        <f>20.84* CHOOSE(CONTROL!$C$22, $C$13, 100%, $E$13)</f>
        <v>20.84</v>
      </c>
      <c r="I650" s="64">
        <f>20.8402 * CHOOSE(CONTROL!$C$22, $C$13, 100%, $E$13)</f>
        <v>20.840199999999999</v>
      </c>
      <c r="J650" s="64">
        <f>12.4627 * CHOOSE(CONTROL!$C$22, $C$13, 100%, $E$13)</f>
        <v>12.4627</v>
      </c>
      <c r="K650" s="64">
        <f>12.4629 * CHOOSE(CONTROL!$C$22, $C$13, 100%, $E$13)</f>
        <v>12.462899999999999</v>
      </c>
    </row>
    <row r="651" spans="1:11" ht="15">
      <c r="A651" s="13">
        <v>61454</v>
      </c>
      <c r="B651" s="63">
        <f>10.6797 * CHOOSE(CONTROL!$C$22, $C$13, 100%, $E$13)</f>
        <v>10.6797</v>
      </c>
      <c r="C651" s="63">
        <f>10.6797 * CHOOSE(CONTROL!$C$22, $C$13, 100%, $E$13)</f>
        <v>10.6797</v>
      </c>
      <c r="D651" s="63">
        <f>10.697 * CHOOSE(CONTROL!$C$22, $C$13, 100%, $E$13)</f>
        <v>10.696999999999999</v>
      </c>
      <c r="E651" s="64">
        <f>12.5742 * CHOOSE(CONTROL!$C$22, $C$13, 100%, $E$13)</f>
        <v>12.574199999999999</v>
      </c>
      <c r="F651" s="64">
        <f>12.5742 * CHOOSE(CONTROL!$C$22, $C$13, 100%, $E$13)</f>
        <v>12.574199999999999</v>
      </c>
      <c r="G651" s="64">
        <f>12.5744 * CHOOSE(CONTROL!$C$22, $C$13, 100%, $E$13)</f>
        <v>12.574400000000001</v>
      </c>
      <c r="H651" s="64">
        <f>20.8834* CHOOSE(CONTROL!$C$22, $C$13, 100%, $E$13)</f>
        <v>20.883400000000002</v>
      </c>
      <c r="I651" s="64">
        <f>20.8836 * CHOOSE(CONTROL!$C$22, $C$13, 100%, $E$13)</f>
        <v>20.883600000000001</v>
      </c>
      <c r="J651" s="64">
        <f>12.5742 * CHOOSE(CONTROL!$C$22, $C$13, 100%, $E$13)</f>
        <v>12.574199999999999</v>
      </c>
      <c r="K651" s="64">
        <f>12.5744 * CHOOSE(CONTROL!$C$22, $C$13, 100%, $E$13)</f>
        <v>12.574400000000001</v>
      </c>
    </row>
    <row r="652" spans="1:11" ht="15">
      <c r="A652" s="13">
        <v>61484</v>
      </c>
      <c r="B652" s="63">
        <f>10.6797 * CHOOSE(CONTROL!$C$22, $C$13, 100%, $E$13)</f>
        <v>10.6797</v>
      </c>
      <c r="C652" s="63">
        <f>10.6797 * CHOOSE(CONTROL!$C$22, $C$13, 100%, $E$13)</f>
        <v>10.6797</v>
      </c>
      <c r="D652" s="63">
        <f>10.7143 * CHOOSE(CONTROL!$C$22, $C$13, 100%, $E$13)</f>
        <v>10.7143</v>
      </c>
      <c r="E652" s="64">
        <f>12.6176 * CHOOSE(CONTROL!$C$22, $C$13, 100%, $E$13)</f>
        <v>12.617599999999999</v>
      </c>
      <c r="F652" s="64">
        <f>12.6176 * CHOOSE(CONTROL!$C$22, $C$13, 100%, $E$13)</f>
        <v>12.617599999999999</v>
      </c>
      <c r="G652" s="64">
        <f>12.6197 * CHOOSE(CONTROL!$C$22, $C$13, 100%, $E$13)</f>
        <v>12.6197</v>
      </c>
      <c r="H652" s="64">
        <f>20.9269* CHOOSE(CONTROL!$C$22, $C$13, 100%, $E$13)</f>
        <v>20.9269</v>
      </c>
      <c r="I652" s="64">
        <f>20.9291 * CHOOSE(CONTROL!$C$22, $C$13, 100%, $E$13)</f>
        <v>20.929099999999998</v>
      </c>
      <c r="J652" s="64">
        <f>12.6176 * CHOOSE(CONTROL!$C$22, $C$13, 100%, $E$13)</f>
        <v>12.617599999999999</v>
      </c>
      <c r="K652" s="64">
        <f>12.6197 * CHOOSE(CONTROL!$C$22, $C$13, 100%, $E$13)</f>
        <v>12.6197</v>
      </c>
    </row>
    <row r="653" spans="1:11" ht="15">
      <c r="A653" s="13">
        <v>61515</v>
      </c>
      <c r="B653" s="63">
        <f>10.6858 * CHOOSE(CONTROL!$C$22, $C$13, 100%, $E$13)</f>
        <v>10.6858</v>
      </c>
      <c r="C653" s="63">
        <f>10.6858 * CHOOSE(CONTROL!$C$22, $C$13, 100%, $E$13)</f>
        <v>10.6858</v>
      </c>
      <c r="D653" s="63">
        <f>10.7204 * CHOOSE(CONTROL!$C$22, $C$13, 100%, $E$13)</f>
        <v>10.7204</v>
      </c>
      <c r="E653" s="64">
        <f>12.5784 * CHOOSE(CONTROL!$C$22, $C$13, 100%, $E$13)</f>
        <v>12.5784</v>
      </c>
      <c r="F653" s="64">
        <f>12.5784 * CHOOSE(CONTROL!$C$22, $C$13, 100%, $E$13)</f>
        <v>12.5784</v>
      </c>
      <c r="G653" s="64">
        <f>12.5806 * CHOOSE(CONTROL!$C$22, $C$13, 100%, $E$13)</f>
        <v>12.5806</v>
      </c>
      <c r="H653" s="64">
        <f>20.9705* CHOOSE(CONTROL!$C$22, $C$13, 100%, $E$13)</f>
        <v>20.970500000000001</v>
      </c>
      <c r="I653" s="64">
        <f>20.9727 * CHOOSE(CONTROL!$C$22, $C$13, 100%, $E$13)</f>
        <v>20.9727</v>
      </c>
      <c r="J653" s="64">
        <f>12.5784 * CHOOSE(CONTROL!$C$22, $C$13, 100%, $E$13)</f>
        <v>12.5784</v>
      </c>
      <c r="K653" s="64">
        <f>12.5806 * CHOOSE(CONTROL!$C$22, $C$13, 100%, $E$13)</f>
        <v>12.5806</v>
      </c>
    </row>
    <row r="654" spans="1:11" ht="15">
      <c r="A654" s="13">
        <v>61545</v>
      </c>
      <c r="B654" s="63">
        <f>10.8558 * CHOOSE(CONTROL!$C$22, $C$13, 100%, $E$13)</f>
        <v>10.8558</v>
      </c>
      <c r="C654" s="63">
        <f>10.8558 * CHOOSE(CONTROL!$C$22, $C$13, 100%, $E$13)</f>
        <v>10.8558</v>
      </c>
      <c r="D654" s="63">
        <f>10.8904 * CHOOSE(CONTROL!$C$22, $C$13, 100%, $E$13)</f>
        <v>10.8904</v>
      </c>
      <c r="E654" s="64">
        <f>12.8205 * CHOOSE(CONTROL!$C$22, $C$13, 100%, $E$13)</f>
        <v>12.820499999999999</v>
      </c>
      <c r="F654" s="64">
        <f>12.8205 * CHOOSE(CONTROL!$C$22, $C$13, 100%, $E$13)</f>
        <v>12.820499999999999</v>
      </c>
      <c r="G654" s="64">
        <f>12.8226 * CHOOSE(CONTROL!$C$22, $C$13, 100%, $E$13)</f>
        <v>12.8226</v>
      </c>
      <c r="H654" s="64">
        <f>21.0142* CHOOSE(CONTROL!$C$22, $C$13, 100%, $E$13)</f>
        <v>21.014199999999999</v>
      </c>
      <c r="I654" s="64">
        <f>21.0164 * CHOOSE(CONTROL!$C$22, $C$13, 100%, $E$13)</f>
        <v>21.016400000000001</v>
      </c>
      <c r="J654" s="64">
        <f>12.8205 * CHOOSE(CONTROL!$C$22, $C$13, 100%, $E$13)</f>
        <v>12.820499999999999</v>
      </c>
      <c r="K654" s="64">
        <f>12.8226 * CHOOSE(CONTROL!$C$22, $C$13, 100%, $E$13)</f>
        <v>12.8226</v>
      </c>
    </row>
    <row r="655" spans="1:11" ht="15">
      <c r="A655" s="13">
        <v>61576</v>
      </c>
      <c r="B655" s="63">
        <f>10.8625 * CHOOSE(CONTROL!$C$22, $C$13, 100%, $E$13)</f>
        <v>10.862500000000001</v>
      </c>
      <c r="C655" s="63">
        <f>10.8625 * CHOOSE(CONTROL!$C$22, $C$13, 100%, $E$13)</f>
        <v>10.862500000000001</v>
      </c>
      <c r="D655" s="63">
        <f>10.8971 * CHOOSE(CONTROL!$C$22, $C$13, 100%, $E$13)</f>
        <v>10.8971</v>
      </c>
      <c r="E655" s="64">
        <f>12.6949 * CHOOSE(CONTROL!$C$22, $C$13, 100%, $E$13)</f>
        <v>12.694900000000001</v>
      </c>
      <c r="F655" s="64">
        <f>12.6949 * CHOOSE(CONTROL!$C$22, $C$13, 100%, $E$13)</f>
        <v>12.694900000000001</v>
      </c>
      <c r="G655" s="64">
        <f>12.6971 * CHOOSE(CONTROL!$C$22, $C$13, 100%, $E$13)</f>
        <v>12.697100000000001</v>
      </c>
      <c r="H655" s="64">
        <f>21.058* CHOOSE(CONTROL!$C$22, $C$13, 100%, $E$13)</f>
        <v>21.058</v>
      </c>
      <c r="I655" s="64">
        <f>21.0601 * CHOOSE(CONTROL!$C$22, $C$13, 100%, $E$13)</f>
        <v>21.060099999999998</v>
      </c>
      <c r="J655" s="64">
        <f>12.6949 * CHOOSE(CONTROL!$C$22, $C$13, 100%, $E$13)</f>
        <v>12.694900000000001</v>
      </c>
      <c r="K655" s="64">
        <f>12.6971 * CHOOSE(CONTROL!$C$22, $C$13, 100%, $E$13)</f>
        <v>12.697100000000001</v>
      </c>
    </row>
    <row r="656" spans="1:11" ht="15">
      <c r="A656" s="13">
        <v>61607</v>
      </c>
      <c r="B656" s="63">
        <f>10.8594 * CHOOSE(CONTROL!$C$22, $C$13, 100%, $E$13)</f>
        <v>10.859400000000001</v>
      </c>
      <c r="C656" s="63">
        <f>10.8594 * CHOOSE(CONTROL!$C$22, $C$13, 100%, $E$13)</f>
        <v>10.859400000000001</v>
      </c>
      <c r="D656" s="63">
        <f>10.8941 * CHOOSE(CONTROL!$C$22, $C$13, 100%, $E$13)</f>
        <v>10.8941</v>
      </c>
      <c r="E656" s="64">
        <f>12.6784 * CHOOSE(CONTROL!$C$22, $C$13, 100%, $E$13)</f>
        <v>12.6784</v>
      </c>
      <c r="F656" s="64">
        <f>12.6784 * CHOOSE(CONTROL!$C$22, $C$13, 100%, $E$13)</f>
        <v>12.6784</v>
      </c>
      <c r="G656" s="64">
        <f>12.6805 * CHOOSE(CONTROL!$C$22, $C$13, 100%, $E$13)</f>
        <v>12.6805</v>
      </c>
      <c r="H656" s="64">
        <f>21.1019* CHOOSE(CONTROL!$C$22, $C$13, 100%, $E$13)</f>
        <v>21.101900000000001</v>
      </c>
      <c r="I656" s="64">
        <f>21.104 * CHOOSE(CONTROL!$C$22, $C$13, 100%, $E$13)</f>
        <v>21.103999999999999</v>
      </c>
      <c r="J656" s="64">
        <f>12.6784 * CHOOSE(CONTROL!$C$22, $C$13, 100%, $E$13)</f>
        <v>12.6784</v>
      </c>
      <c r="K656" s="64">
        <f>12.6805 * CHOOSE(CONTROL!$C$22, $C$13, 100%, $E$13)</f>
        <v>12.6805</v>
      </c>
    </row>
    <row r="657" spans="1:11" ht="15">
      <c r="A657" s="13">
        <v>61637</v>
      </c>
      <c r="B657" s="63">
        <f>10.8772 * CHOOSE(CONTROL!$C$22, $C$13, 100%, $E$13)</f>
        <v>10.8772</v>
      </c>
      <c r="C657" s="63">
        <f>10.8772 * CHOOSE(CONTROL!$C$22, $C$13, 100%, $E$13)</f>
        <v>10.8772</v>
      </c>
      <c r="D657" s="63">
        <f>10.8946 * CHOOSE(CONTROL!$C$22, $C$13, 100%, $E$13)</f>
        <v>10.894600000000001</v>
      </c>
      <c r="E657" s="64">
        <f>12.7228 * CHOOSE(CONTROL!$C$22, $C$13, 100%, $E$13)</f>
        <v>12.722799999999999</v>
      </c>
      <c r="F657" s="64">
        <f>12.7228 * CHOOSE(CONTROL!$C$22, $C$13, 100%, $E$13)</f>
        <v>12.722799999999999</v>
      </c>
      <c r="G657" s="64">
        <f>12.723 * CHOOSE(CONTROL!$C$22, $C$13, 100%, $E$13)</f>
        <v>12.723000000000001</v>
      </c>
      <c r="H657" s="64">
        <f>21.1458* CHOOSE(CONTROL!$C$22, $C$13, 100%, $E$13)</f>
        <v>21.145800000000001</v>
      </c>
      <c r="I657" s="64">
        <f>21.146 * CHOOSE(CONTROL!$C$22, $C$13, 100%, $E$13)</f>
        <v>21.146000000000001</v>
      </c>
      <c r="J657" s="64">
        <f>12.7228 * CHOOSE(CONTROL!$C$22, $C$13, 100%, $E$13)</f>
        <v>12.722799999999999</v>
      </c>
      <c r="K657" s="64">
        <f>12.723 * CHOOSE(CONTROL!$C$22, $C$13, 100%, $E$13)</f>
        <v>12.723000000000001</v>
      </c>
    </row>
    <row r="658" spans="1:11" ht="15">
      <c r="A658" s="13">
        <v>61668</v>
      </c>
      <c r="B658" s="63">
        <f>10.8803 * CHOOSE(CONTROL!$C$22, $C$13, 100%, $E$13)</f>
        <v>10.8803</v>
      </c>
      <c r="C658" s="63">
        <f>10.8803 * CHOOSE(CONTROL!$C$22, $C$13, 100%, $E$13)</f>
        <v>10.8803</v>
      </c>
      <c r="D658" s="63">
        <f>10.8976 * CHOOSE(CONTROL!$C$22, $C$13, 100%, $E$13)</f>
        <v>10.897600000000001</v>
      </c>
      <c r="E658" s="64">
        <f>12.7538 * CHOOSE(CONTROL!$C$22, $C$13, 100%, $E$13)</f>
        <v>12.7538</v>
      </c>
      <c r="F658" s="64">
        <f>12.7538 * CHOOSE(CONTROL!$C$22, $C$13, 100%, $E$13)</f>
        <v>12.7538</v>
      </c>
      <c r="G658" s="64">
        <f>12.754 * CHOOSE(CONTROL!$C$22, $C$13, 100%, $E$13)</f>
        <v>12.754</v>
      </c>
      <c r="H658" s="64">
        <f>21.1899* CHOOSE(CONTROL!$C$22, $C$13, 100%, $E$13)</f>
        <v>21.189900000000002</v>
      </c>
      <c r="I658" s="64">
        <f>21.1901 * CHOOSE(CONTROL!$C$22, $C$13, 100%, $E$13)</f>
        <v>21.190100000000001</v>
      </c>
      <c r="J658" s="64">
        <f>12.7538 * CHOOSE(CONTROL!$C$22, $C$13, 100%, $E$13)</f>
        <v>12.7538</v>
      </c>
      <c r="K658" s="64">
        <f>12.754 * CHOOSE(CONTROL!$C$22, $C$13, 100%, $E$13)</f>
        <v>12.754</v>
      </c>
    </row>
    <row r="659" spans="1:11" ht="15">
      <c r="A659" s="13">
        <v>61698</v>
      </c>
      <c r="B659" s="63">
        <f>10.8803 * CHOOSE(CONTROL!$C$22, $C$13, 100%, $E$13)</f>
        <v>10.8803</v>
      </c>
      <c r="C659" s="63">
        <f>10.8803 * CHOOSE(CONTROL!$C$22, $C$13, 100%, $E$13)</f>
        <v>10.8803</v>
      </c>
      <c r="D659" s="63">
        <f>10.8976 * CHOOSE(CONTROL!$C$22, $C$13, 100%, $E$13)</f>
        <v>10.897600000000001</v>
      </c>
      <c r="E659" s="64">
        <f>12.6815 * CHOOSE(CONTROL!$C$22, $C$13, 100%, $E$13)</f>
        <v>12.6815</v>
      </c>
      <c r="F659" s="64">
        <f>12.6815 * CHOOSE(CONTROL!$C$22, $C$13, 100%, $E$13)</f>
        <v>12.6815</v>
      </c>
      <c r="G659" s="64">
        <f>12.6817 * CHOOSE(CONTROL!$C$22, $C$13, 100%, $E$13)</f>
        <v>12.681699999999999</v>
      </c>
      <c r="H659" s="64">
        <f>21.234* CHOOSE(CONTROL!$C$22, $C$13, 100%, $E$13)</f>
        <v>21.234000000000002</v>
      </c>
      <c r="I659" s="64">
        <f>21.2342 * CHOOSE(CONTROL!$C$22, $C$13, 100%, $E$13)</f>
        <v>21.234200000000001</v>
      </c>
      <c r="J659" s="64">
        <f>12.6815 * CHOOSE(CONTROL!$C$22, $C$13, 100%, $E$13)</f>
        <v>12.6815</v>
      </c>
      <c r="K659" s="64">
        <f>12.6817 * CHOOSE(CONTROL!$C$22, $C$13, 100%, $E$13)</f>
        <v>12.681699999999999</v>
      </c>
    </row>
    <row r="660" spans="1:11" ht="15">
      <c r="A660" s="13">
        <v>61729</v>
      </c>
      <c r="B660" s="63">
        <f>10.9277 * CHOOSE(CONTROL!$C$22, $C$13, 100%, $E$13)</f>
        <v>10.9277</v>
      </c>
      <c r="C660" s="63">
        <f>10.9277 * CHOOSE(CONTROL!$C$22, $C$13, 100%, $E$13)</f>
        <v>10.9277</v>
      </c>
      <c r="D660" s="63">
        <f>10.945 * CHOOSE(CONTROL!$C$22, $C$13, 100%, $E$13)</f>
        <v>10.945</v>
      </c>
      <c r="E660" s="64">
        <f>12.7883 * CHOOSE(CONTROL!$C$22, $C$13, 100%, $E$13)</f>
        <v>12.7883</v>
      </c>
      <c r="F660" s="64">
        <f>12.7883 * CHOOSE(CONTROL!$C$22, $C$13, 100%, $E$13)</f>
        <v>12.7883</v>
      </c>
      <c r="G660" s="64">
        <f>12.7885 * CHOOSE(CONTROL!$C$22, $C$13, 100%, $E$13)</f>
        <v>12.788500000000001</v>
      </c>
      <c r="H660" s="64">
        <f>21.1993* CHOOSE(CONTROL!$C$22, $C$13, 100%, $E$13)</f>
        <v>21.199300000000001</v>
      </c>
      <c r="I660" s="64">
        <f>21.1995 * CHOOSE(CONTROL!$C$22, $C$13, 100%, $E$13)</f>
        <v>21.1995</v>
      </c>
      <c r="J660" s="64">
        <f>12.7883 * CHOOSE(CONTROL!$C$22, $C$13, 100%, $E$13)</f>
        <v>12.7883</v>
      </c>
      <c r="K660" s="64">
        <f>12.7885 * CHOOSE(CONTROL!$C$22, $C$13, 100%, $E$13)</f>
        <v>12.788500000000001</v>
      </c>
    </row>
    <row r="661" spans="1:11" ht="15">
      <c r="A661" s="13">
        <v>61760</v>
      </c>
      <c r="B661" s="63">
        <f>10.9246 * CHOOSE(CONTROL!$C$22, $C$13, 100%, $E$13)</f>
        <v>10.9246</v>
      </c>
      <c r="C661" s="63">
        <f>10.9246 * CHOOSE(CONTROL!$C$22, $C$13, 100%, $E$13)</f>
        <v>10.9246</v>
      </c>
      <c r="D661" s="63">
        <f>10.942 * CHOOSE(CONTROL!$C$22, $C$13, 100%, $E$13)</f>
        <v>10.942</v>
      </c>
      <c r="E661" s="64">
        <f>12.6463 * CHOOSE(CONTROL!$C$22, $C$13, 100%, $E$13)</f>
        <v>12.6463</v>
      </c>
      <c r="F661" s="64">
        <f>12.6463 * CHOOSE(CONTROL!$C$22, $C$13, 100%, $E$13)</f>
        <v>12.6463</v>
      </c>
      <c r="G661" s="64">
        <f>12.6465 * CHOOSE(CONTROL!$C$22, $C$13, 100%, $E$13)</f>
        <v>12.6465</v>
      </c>
      <c r="H661" s="64">
        <f>21.2435* CHOOSE(CONTROL!$C$22, $C$13, 100%, $E$13)</f>
        <v>21.243500000000001</v>
      </c>
      <c r="I661" s="64">
        <f>21.2437 * CHOOSE(CONTROL!$C$22, $C$13, 100%, $E$13)</f>
        <v>21.2437</v>
      </c>
      <c r="J661" s="64">
        <f>12.6463 * CHOOSE(CONTROL!$C$22, $C$13, 100%, $E$13)</f>
        <v>12.6463</v>
      </c>
      <c r="K661" s="64">
        <f>12.6465 * CHOOSE(CONTROL!$C$22, $C$13, 100%, $E$13)</f>
        <v>12.6465</v>
      </c>
    </row>
    <row r="662" spans="1:11" ht="15">
      <c r="A662" s="13">
        <v>61788</v>
      </c>
      <c r="B662" s="63">
        <f>10.9216 * CHOOSE(CONTROL!$C$22, $C$13, 100%, $E$13)</f>
        <v>10.9216</v>
      </c>
      <c r="C662" s="63">
        <f>10.9216 * CHOOSE(CONTROL!$C$22, $C$13, 100%, $E$13)</f>
        <v>10.9216</v>
      </c>
      <c r="D662" s="63">
        <f>10.9389 * CHOOSE(CONTROL!$C$22, $C$13, 100%, $E$13)</f>
        <v>10.9389</v>
      </c>
      <c r="E662" s="64">
        <f>12.7545 * CHOOSE(CONTROL!$C$22, $C$13, 100%, $E$13)</f>
        <v>12.7545</v>
      </c>
      <c r="F662" s="64">
        <f>12.7545 * CHOOSE(CONTROL!$C$22, $C$13, 100%, $E$13)</f>
        <v>12.7545</v>
      </c>
      <c r="G662" s="64">
        <f>12.7546 * CHOOSE(CONTROL!$C$22, $C$13, 100%, $E$13)</f>
        <v>12.7546</v>
      </c>
      <c r="H662" s="64">
        <f>21.2878* CHOOSE(CONTROL!$C$22, $C$13, 100%, $E$13)</f>
        <v>21.287800000000001</v>
      </c>
      <c r="I662" s="64">
        <f>21.2879 * CHOOSE(CONTROL!$C$22, $C$13, 100%, $E$13)</f>
        <v>21.2879</v>
      </c>
      <c r="J662" s="64">
        <f>12.7545 * CHOOSE(CONTROL!$C$22, $C$13, 100%, $E$13)</f>
        <v>12.7545</v>
      </c>
      <c r="K662" s="64">
        <f>12.7546 * CHOOSE(CONTROL!$C$22, $C$13, 100%, $E$13)</f>
        <v>12.7546</v>
      </c>
    </row>
    <row r="663" spans="1:11" ht="15">
      <c r="A663" s="13">
        <v>61819</v>
      </c>
      <c r="B663" s="63">
        <f>10.9252 * CHOOSE(CONTROL!$C$22, $C$13, 100%, $E$13)</f>
        <v>10.9252</v>
      </c>
      <c r="C663" s="63">
        <f>10.9252 * CHOOSE(CONTROL!$C$22, $C$13, 100%, $E$13)</f>
        <v>10.9252</v>
      </c>
      <c r="D663" s="63">
        <f>10.9425 * CHOOSE(CONTROL!$C$22, $C$13, 100%, $E$13)</f>
        <v>10.942500000000001</v>
      </c>
      <c r="E663" s="64">
        <f>12.8687 * CHOOSE(CONTROL!$C$22, $C$13, 100%, $E$13)</f>
        <v>12.8687</v>
      </c>
      <c r="F663" s="64">
        <f>12.8687 * CHOOSE(CONTROL!$C$22, $C$13, 100%, $E$13)</f>
        <v>12.8687</v>
      </c>
      <c r="G663" s="64">
        <f>12.8688 * CHOOSE(CONTROL!$C$22, $C$13, 100%, $E$13)</f>
        <v>12.8688</v>
      </c>
      <c r="H663" s="64">
        <f>21.3321* CHOOSE(CONTROL!$C$22, $C$13, 100%, $E$13)</f>
        <v>21.332100000000001</v>
      </c>
      <c r="I663" s="64">
        <f>21.3323 * CHOOSE(CONTROL!$C$22, $C$13, 100%, $E$13)</f>
        <v>21.3323</v>
      </c>
      <c r="J663" s="64">
        <f>12.8687 * CHOOSE(CONTROL!$C$22, $C$13, 100%, $E$13)</f>
        <v>12.8687</v>
      </c>
      <c r="K663" s="64">
        <f>12.8688 * CHOOSE(CONTROL!$C$22, $C$13, 100%, $E$13)</f>
        <v>12.8688</v>
      </c>
    </row>
    <row r="664" spans="1:11" ht="15">
      <c r="A664" s="13">
        <v>61849</v>
      </c>
      <c r="B664" s="63">
        <f>10.9252 * CHOOSE(CONTROL!$C$22, $C$13, 100%, $E$13)</f>
        <v>10.9252</v>
      </c>
      <c r="C664" s="63">
        <f>10.9252 * CHOOSE(CONTROL!$C$22, $C$13, 100%, $E$13)</f>
        <v>10.9252</v>
      </c>
      <c r="D664" s="63">
        <f>10.9599 * CHOOSE(CONTROL!$C$22, $C$13, 100%, $E$13)</f>
        <v>10.959899999999999</v>
      </c>
      <c r="E664" s="64">
        <f>12.9131 * CHOOSE(CONTROL!$C$22, $C$13, 100%, $E$13)</f>
        <v>12.9131</v>
      </c>
      <c r="F664" s="64">
        <f>12.9131 * CHOOSE(CONTROL!$C$22, $C$13, 100%, $E$13)</f>
        <v>12.9131</v>
      </c>
      <c r="G664" s="64">
        <f>12.9152 * CHOOSE(CONTROL!$C$22, $C$13, 100%, $E$13)</f>
        <v>12.9152</v>
      </c>
      <c r="H664" s="64">
        <f>21.3765* CHOOSE(CONTROL!$C$22, $C$13, 100%, $E$13)</f>
        <v>21.3765</v>
      </c>
      <c r="I664" s="64">
        <f>21.3787 * CHOOSE(CONTROL!$C$22, $C$13, 100%, $E$13)</f>
        <v>21.378699999999998</v>
      </c>
      <c r="J664" s="64">
        <f>12.9131 * CHOOSE(CONTROL!$C$22, $C$13, 100%, $E$13)</f>
        <v>12.9131</v>
      </c>
      <c r="K664" s="64">
        <f>12.9152 * CHOOSE(CONTROL!$C$22, $C$13, 100%, $E$13)</f>
        <v>12.9152</v>
      </c>
    </row>
    <row r="665" spans="1:11" ht="15">
      <c r="A665" s="13">
        <v>61880</v>
      </c>
      <c r="B665" s="63">
        <f>10.9313 * CHOOSE(CONTROL!$C$22, $C$13, 100%, $E$13)</f>
        <v>10.9313</v>
      </c>
      <c r="C665" s="63">
        <f>10.9313 * CHOOSE(CONTROL!$C$22, $C$13, 100%, $E$13)</f>
        <v>10.9313</v>
      </c>
      <c r="D665" s="63">
        <f>10.9659 * CHOOSE(CONTROL!$C$22, $C$13, 100%, $E$13)</f>
        <v>10.9659</v>
      </c>
      <c r="E665" s="64">
        <f>12.8729 * CHOOSE(CONTROL!$C$22, $C$13, 100%, $E$13)</f>
        <v>12.8729</v>
      </c>
      <c r="F665" s="64">
        <f>12.8729 * CHOOSE(CONTROL!$C$22, $C$13, 100%, $E$13)</f>
        <v>12.8729</v>
      </c>
      <c r="G665" s="64">
        <f>12.875 * CHOOSE(CONTROL!$C$22, $C$13, 100%, $E$13)</f>
        <v>12.875</v>
      </c>
      <c r="H665" s="64">
        <f>21.4211* CHOOSE(CONTROL!$C$22, $C$13, 100%, $E$13)</f>
        <v>21.421099999999999</v>
      </c>
      <c r="I665" s="64">
        <f>21.4232 * CHOOSE(CONTROL!$C$22, $C$13, 100%, $E$13)</f>
        <v>21.423200000000001</v>
      </c>
      <c r="J665" s="64">
        <f>12.8729 * CHOOSE(CONTROL!$C$22, $C$13, 100%, $E$13)</f>
        <v>12.8729</v>
      </c>
      <c r="K665" s="64">
        <f>12.875 * CHOOSE(CONTROL!$C$22, $C$13, 100%, $E$13)</f>
        <v>12.875</v>
      </c>
    </row>
    <row r="666" spans="1:11" ht="15">
      <c r="A666" s="13">
        <v>61910</v>
      </c>
      <c r="B666" s="63">
        <f>11.105 * CHOOSE(CONTROL!$C$22, $C$13, 100%, $E$13)</f>
        <v>11.105</v>
      </c>
      <c r="C666" s="63">
        <f>11.105 * CHOOSE(CONTROL!$C$22, $C$13, 100%, $E$13)</f>
        <v>11.105</v>
      </c>
      <c r="D666" s="63">
        <f>11.1397 * CHOOSE(CONTROL!$C$22, $C$13, 100%, $E$13)</f>
        <v>11.139699999999999</v>
      </c>
      <c r="E666" s="64">
        <f>13.1203 * CHOOSE(CONTROL!$C$22, $C$13, 100%, $E$13)</f>
        <v>13.1203</v>
      </c>
      <c r="F666" s="64">
        <f>13.1203 * CHOOSE(CONTROL!$C$22, $C$13, 100%, $E$13)</f>
        <v>13.1203</v>
      </c>
      <c r="G666" s="64">
        <f>13.1225 * CHOOSE(CONTROL!$C$22, $C$13, 100%, $E$13)</f>
        <v>13.1225</v>
      </c>
      <c r="H666" s="64">
        <f>21.4657* CHOOSE(CONTROL!$C$22, $C$13, 100%, $E$13)</f>
        <v>21.465699999999998</v>
      </c>
      <c r="I666" s="64">
        <f>21.4678 * CHOOSE(CONTROL!$C$22, $C$13, 100%, $E$13)</f>
        <v>21.4678</v>
      </c>
      <c r="J666" s="64">
        <f>13.1203 * CHOOSE(CONTROL!$C$22, $C$13, 100%, $E$13)</f>
        <v>13.1203</v>
      </c>
      <c r="K666" s="64">
        <f>13.1225 * CHOOSE(CONTROL!$C$22, $C$13, 100%, $E$13)</f>
        <v>13.1225</v>
      </c>
    </row>
    <row r="667" spans="1:11" ht="15">
      <c r="A667" s="13">
        <v>61941</v>
      </c>
      <c r="B667" s="63">
        <f>11.1117 * CHOOSE(CONTROL!$C$22, $C$13, 100%, $E$13)</f>
        <v>11.111700000000001</v>
      </c>
      <c r="C667" s="63">
        <f>11.1117 * CHOOSE(CONTROL!$C$22, $C$13, 100%, $E$13)</f>
        <v>11.111700000000001</v>
      </c>
      <c r="D667" s="63">
        <f>11.1463 * CHOOSE(CONTROL!$C$22, $C$13, 100%, $E$13)</f>
        <v>11.1463</v>
      </c>
      <c r="E667" s="64">
        <f>12.9918 * CHOOSE(CONTROL!$C$22, $C$13, 100%, $E$13)</f>
        <v>12.9918</v>
      </c>
      <c r="F667" s="64">
        <f>12.9918 * CHOOSE(CONTROL!$C$22, $C$13, 100%, $E$13)</f>
        <v>12.9918</v>
      </c>
      <c r="G667" s="64">
        <f>12.9939 * CHOOSE(CONTROL!$C$22, $C$13, 100%, $E$13)</f>
        <v>12.9939</v>
      </c>
      <c r="H667" s="64">
        <f>21.5104* CHOOSE(CONTROL!$C$22, $C$13, 100%, $E$13)</f>
        <v>21.510400000000001</v>
      </c>
      <c r="I667" s="64">
        <f>21.5126 * CHOOSE(CONTROL!$C$22, $C$13, 100%, $E$13)</f>
        <v>21.512599999999999</v>
      </c>
      <c r="J667" s="64">
        <f>12.9918 * CHOOSE(CONTROL!$C$22, $C$13, 100%, $E$13)</f>
        <v>12.9918</v>
      </c>
      <c r="K667" s="64">
        <f>12.9939 * CHOOSE(CONTROL!$C$22, $C$13, 100%, $E$13)</f>
        <v>12.9939</v>
      </c>
    </row>
    <row r="668" spans="1:11" ht="15">
      <c r="A668" s="13">
        <v>61972</v>
      </c>
      <c r="B668" s="63">
        <f>11.1087 * CHOOSE(CONTROL!$C$22, $C$13, 100%, $E$13)</f>
        <v>11.108700000000001</v>
      </c>
      <c r="C668" s="63">
        <f>11.1087 * CHOOSE(CONTROL!$C$22, $C$13, 100%, $E$13)</f>
        <v>11.108700000000001</v>
      </c>
      <c r="D668" s="63">
        <f>11.1433 * CHOOSE(CONTROL!$C$22, $C$13, 100%, $E$13)</f>
        <v>11.1433</v>
      </c>
      <c r="E668" s="64">
        <f>12.9749 * CHOOSE(CONTROL!$C$22, $C$13, 100%, $E$13)</f>
        <v>12.9749</v>
      </c>
      <c r="F668" s="64">
        <f>12.9749 * CHOOSE(CONTROL!$C$22, $C$13, 100%, $E$13)</f>
        <v>12.9749</v>
      </c>
      <c r="G668" s="64">
        <f>12.977 * CHOOSE(CONTROL!$C$22, $C$13, 100%, $E$13)</f>
        <v>12.977</v>
      </c>
      <c r="H668" s="64">
        <f>21.5552* CHOOSE(CONTROL!$C$22, $C$13, 100%, $E$13)</f>
        <v>21.555199999999999</v>
      </c>
      <c r="I668" s="64">
        <f>21.5574 * CHOOSE(CONTROL!$C$22, $C$13, 100%, $E$13)</f>
        <v>21.557400000000001</v>
      </c>
      <c r="J668" s="64">
        <f>12.9749 * CHOOSE(CONTROL!$C$22, $C$13, 100%, $E$13)</f>
        <v>12.9749</v>
      </c>
      <c r="K668" s="64">
        <f>12.977 * CHOOSE(CONTROL!$C$22, $C$13, 100%, $E$13)</f>
        <v>12.977</v>
      </c>
    </row>
    <row r="669" spans="1:11" ht="15">
      <c r="A669" s="13">
        <v>62002</v>
      </c>
      <c r="B669" s="63">
        <f>11.1272 * CHOOSE(CONTROL!$C$22, $C$13, 100%, $E$13)</f>
        <v>11.1272</v>
      </c>
      <c r="C669" s="63">
        <f>11.1272 * CHOOSE(CONTROL!$C$22, $C$13, 100%, $E$13)</f>
        <v>11.1272</v>
      </c>
      <c r="D669" s="63">
        <f>11.1446 * CHOOSE(CONTROL!$C$22, $C$13, 100%, $E$13)</f>
        <v>11.144600000000001</v>
      </c>
      <c r="E669" s="64">
        <f>13.0206 * CHOOSE(CONTROL!$C$22, $C$13, 100%, $E$13)</f>
        <v>13.0206</v>
      </c>
      <c r="F669" s="64">
        <f>13.0206 * CHOOSE(CONTROL!$C$22, $C$13, 100%, $E$13)</f>
        <v>13.0206</v>
      </c>
      <c r="G669" s="64">
        <f>13.0208 * CHOOSE(CONTROL!$C$22, $C$13, 100%, $E$13)</f>
        <v>13.020799999999999</v>
      </c>
      <c r="H669" s="64">
        <f>21.6001* CHOOSE(CONTROL!$C$22, $C$13, 100%, $E$13)</f>
        <v>21.600100000000001</v>
      </c>
      <c r="I669" s="64">
        <f>21.6003 * CHOOSE(CONTROL!$C$22, $C$13, 100%, $E$13)</f>
        <v>21.600300000000001</v>
      </c>
      <c r="J669" s="64">
        <f>13.0206 * CHOOSE(CONTROL!$C$22, $C$13, 100%, $E$13)</f>
        <v>13.0206</v>
      </c>
      <c r="K669" s="64">
        <f>13.0208 * CHOOSE(CONTROL!$C$22, $C$13, 100%, $E$13)</f>
        <v>13.020799999999999</v>
      </c>
    </row>
    <row r="670" spans="1:11" ht="15">
      <c r="A670" s="13">
        <v>62033</v>
      </c>
      <c r="B670" s="63">
        <f>11.1303 * CHOOSE(CONTROL!$C$22, $C$13, 100%, $E$13)</f>
        <v>11.1303</v>
      </c>
      <c r="C670" s="63">
        <f>11.1303 * CHOOSE(CONTROL!$C$22, $C$13, 100%, $E$13)</f>
        <v>11.1303</v>
      </c>
      <c r="D670" s="63">
        <f>11.1476 * CHOOSE(CONTROL!$C$22, $C$13, 100%, $E$13)</f>
        <v>11.147600000000001</v>
      </c>
      <c r="E670" s="64">
        <f>13.0524 * CHOOSE(CONTROL!$C$22, $C$13, 100%, $E$13)</f>
        <v>13.0524</v>
      </c>
      <c r="F670" s="64">
        <f>13.0524 * CHOOSE(CONTROL!$C$22, $C$13, 100%, $E$13)</f>
        <v>13.0524</v>
      </c>
      <c r="G670" s="64">
        <f>13.0525 * CHOOSE(CONTROL!$C$22, $C$13, 100%, $E$13)</f>
        <v>13.0525</v>
      </c>
      <c r="H670" s="64">
        <f>21.6451* CHOOSE(CONTROL!$C$22, $C$13, 100%, $E$13)</f>
        <v>21.645099999999999</v>
      </c>
      <c r="I670" s="64">
        <f>21.6453 * CHOOSE(CONTROL!$C$22, $C$13, 100%, $E$13)</f>
        <v>21.645299999999999</v>
      </c>
      <c r="J670" s="64">
        <f>13.0524 * CHOOSE(CONTROL!$C$22, $C$13, 100%, $E$13)</f>
        <v>13.0524</v>
      </c>
      <c r="K670" s="64">
        <f>13.0525 * CHOOSE(CONTROL!$C$22, $C$13, 100%, $E$13)</f>
        <v>13.0525</v>
      </c>
    </row>
    <row r="671" spans="1:11" ht="15">
      <c r="A671" s="13">
        <v>62063</v>
      </c>
      <c r="B671" s="63">
        <f>11.1303 * CHOOSE(CONTROL!$C$22, $C$13, 100%, $E$13)</f>
        <v>11.1303</v>
      </c>
      <c r="C671" s="63">
        <f>11.1303 * CHOOSE(CONTROL!$C$22, $C$13, 100%, $E$13)</f>
        <v>11.1303</v>
      </c>
      <c r="D671" s="63">
        <f>11.1476 * CHOOSE(CONTROL!$C$22, $C$13, 100%, $E$13)</f>
        <v>11.147600000000001</v>
      </c>
      <c r="E671" s="64">
        <f>12.9784 * CHOOSE(CONTROL!$C$22, $C$13, 100%, $E$13)</f>
        <v>12.978400000000001</v>
      </c>
      <c r="F671" s="64">
        <f>12.9784 * CHOOSE(CONTROL!$C$22, $C$13, 100%, $E$13)</f>
        <v>12.978400000000001</v>
      </c>
      <c r="G671" s="64">
        <f>12.9785 * CHOOSE(CONTROL!$C$22, $C$13, 100%, $E$13)</f>
        <v>12.9785</v>
      </c>
      <c r="H671" s="64">
        <f>21.6902* CHOOSE(CONTROL!$C$22, $C$13, 100%, $E$13)</f>
        <v>21.690200000000001</v>
      </c>
      <c r="I671" s="64">
        <f>21.6904 * CHOOSE(CONTROL!$C$22, $C$13, 100%, $E$13)</f>
        <v>21.6904</v>
      </c>
      <c r="J671" s="64">
        <f>12.9784 * CHOOSE(CONTROL!$C$22, $C$13, 100%, $E$13)</f>
        <v>12.978400000000001</v>
      </c>
      <c r="K671" s="64">
        <f>12.9785 * CHOOSE(CONTROL!$C$22, $C$13, 100%, $E$13)</f>
        <v>12.9785</v>
      </c>
    </row>
    <row r="672" spans="1:11" ht="15">
      <c r="A672" s="13">
        <v>62094</v>
      </c>
      <c r="B672" s="63">
        <f>11.173 * CHOOSE(CONTROL!$C$22, $C$13, 100%, $E$13)</f>
        <v>11.173</v>
      </c>
      <c r="C672" s="63">
        <f>11.173 * CHOOSE(CONTROL!$C$22, $C$13, 100%, $E$13)</f>
        <v>11.173</v>
      </c>
      <c r="D672" s="63">
        <f>11.1903 * CHOOSE(CONTROL!$C$22, $C$13, 100%, $E$13)</f>
        <v>11.190300000000001</v>
      </c>
      <c r="E672" s="64">
        <f>13.0807 * CHOOSE(CONTROL!$C$22, $C$13, 100%, $E$13)</f>
        <v>13.0807</v>
      </c>
      <c r="F672" s="64">
        <f>13.0807 * CHOOSE(CONTROL!$C$22, $C$13, 100%, $E$13)</f>
        <v>13.0807</v>
      </c>
      <c r="G672" s="64">
        <f>13.0809 * CHOOSE(CONTROL!$C$22, $C$13, 100%, $E$13)</f>
        <v>13.0809</v>
      </c>
      <c r="H672" s="64">
        <f>21.6452* CHOOSE(CONTROL!$C$22, $C$13, 100%, $E$13)</f>
        <v>21.645199999999999</v>
      </c>
      <c r="I672" s="64">
        <f>21.6454 * CHOOSE(CONTROL!$C$22, $C$13, 100%, $E$13)</f>
        <v>21.645399999999999</v>
      </c>
      <c r="J672" s="64">
        <f>13.0807 * CHOOSE(CONTROL!$C$22, $C$13, 100%, $E$13)</f>
        <v>13.0807</v>
      </c>
      <c r="K672" s="64">
        <f>13.0809 * CHOOSE(CONTROL!$C$22, $C$13, 100%, $E$13)</f>
        <v>13.0809</v>
      </c>
    </row>
    <row r="673" spans="1:11" ht="15">
      <c r="A673" s="13">
        <v>62125</v>
      </c>
      <c r="B673" s="63">
        <f>11.1699 * CHOOSE(CONTROL!$C$22, $C$13, 100%, $E$13)</f>
        <v>11.1699</v>
      </c>
      <c r="C673" s="63">
        <f>11.1699 * CHOOSE(CONTROL!$C$22, $C$13, 100%, $E$13)</f>
        <v>11.1699</v>
      </c>
      <c r="D673" s="63">
        <f>11.1873 * CHOOSE(CONTROL!$C$22, $C$13, 100%, $E$13)</f>
        <v>11.1873</v>
      </c>
      <c r="E673" s="64">
        <f>12.9355 * CHOOSE(CONTROL!$C$22, $C$13, 100%, $E$13)</f>
        <v>12.935499999999999</v>
      </c>
      <c r="F673" s="64">
        <f>12.9355 * CHOOSE(CONTROL!$C$22, $C$13, 100%, $E$13)</f>
        <v>12.935499999999999</v>
      </c>
      <c r="G673" s="64">
        <f>12.9357 * CHOOSE(CONTROL!$C$22, $C$13, 100%, $E$13)</f>
        <v>12.935700000000001</v>
      </c>
      <c r="H673" s="64">
        <f>21.6903* CHOOSE(CONTROL!$C$22, $C$13, 100%, $E$13)</f>
        <v>21.690300000000001</v>
      </c>
      <c r="I673" s="64">
        <f>21.6905 * CHOOSE(CONTROL!$C$22, $C$13, 100%, $E$13)</f>
        <v>21.6905</v>
      </c>
      <c r="J673" s="64">
        <f>12.9355 * CHOOSE(CONTROL!$C$22, $C$13, 100%, $E$13)</f>
        <v>12.935499999999999</v>
      </c>
      <c r="K673" s="64">
        <f>12.9357 * CHOOSE(CONTROL!$C$22, $C$13, 100%, $E$13)</f>
        <v>12.935700000000001</v>
      </c>
    </row>
    <row r="674" spans="1:11" ht="15">
      <c r="A674" s="13">
        <v>62153</v>
      </c>
      <c r="B674" s="63">
        <f>11.1669 * CHOOSE(CONTROL!$C$22, $C$13, 100%, $E$13)</f>
        <v>11.1669</v>
      </c>
      <c r="C674" s="63">
        <f>11.1669 * CHOOSE(CONTROL!$C$22, $C$13, 100%, $E$13)</f>
        <v>11.1669</v>
      </c>
      <c r="D674" s="63">
        <f>11.1842 * CHOOSE(CONTROL!$C$22, $C$13, 100%, $E$13)</f>
        <v>11.184200000000001</v>
      </c>
      <c r="E674" s="64">
        <f>13.0462 * CHOOSE(CONTROL!$C$22, $C$13, 100%, $E$13)</f>
        <v>13.046200000000001</v>
      </c>
      <c r="F674" s="64">
        <f>13.0462 * CHOOSE(CONTROL!$C$22, $C$13, 100%, $E$13)</f>
        <v>13.046200000000001</v>
      </c>
      <c r="G674" s="64">
        <f>13.0464 * CHOOSE(CONTROL!$C$22, $C$13, 100%, $E$13)</f>
        <v>13.0464</v>
      </c>
      <c r="H674" s="64">
        <f>21.7355* CHOOSE(CONTROL!$C$22, $C$13, 100%, $E$13)</f>
        <v>21.735499999999998</v>
      </c>
      <c r="I674" s="64">
        <f>21.7357 * CHOOSE(CONTROL!$C$22, $C$13, 100%, $E$13)</f>
        <v>21.735700000000001</v>
      </c>
      <c r="J674" s="64">
        <f>13.0462 * CHOOSE(CONTROL!$C$22, $C$13, 100%, $E$13)</f>
        <v>13.046200000000001</v>
      </c>
      <c r="K674" s="64">
        <f>13.0464 * CHOOSE(CONTROL!$C$22, $C$13, 100%, $E$13)</f>
        <v>13.0464</v>
      </c>
    </row>
    <row r="675" spans="1:11" ht="15">
      <c r="A675" s="13">
        <v>62184</v>
      </c>
      <c r="B675" s="63">
        <f>11.1707 * CHOOSE(CONTROL!$C$22, $C$13, 100%, $E$13)</f>
        <v>11.1707</v>
      </c>
      <c r="C675" s="63">
        <f>11.1707 * CHOOSE(CONTROL!$C$22, $C$13, 100%, $E$13)</f>
        <v>11.1707</v>
      </c>
      <c r="D675" s="63">
        <f>11.1881 * CHOOSE(CONTROL!$C$22, $C$13, 100%, $E$13)</f>
        <v>11.1881</v>
      </c>
      <c r="E675" s="64">
        <f>13.1631 * CHOOSE(CONTROL!$C$22, $C$13, 100%, $E$13)</f>
        <v>13.1631</v>
      </c>
      <c r="F675" s="64">
        <f>13.1631 * CHOOSE(CONTROL!$C$22, $C$13, 100%, $E$13)</f>
        <v>13.1631</v>
      </c>
      <c r="G675" s="64">
        <f>13.1633 * CHOOSE(CONTROL!$C$22, $C$13, 100%, $E$13)</f>
        <v>13.1633</v>
      </c>
      <c r="H675" s="64">
        <f>21.7808* CHOOSE(CONTROL!$C$22, $C$13, 100%, $E$13)</f>
        <v>21.780799999999999</v>
      </c>
      <c r="I675" s="64">
        <f>21.781 * CHOOSE(CONTROL!$C$22, $C$13, 100%, $E$13)</f>
        <v>21.780999999999999</v>
      </c>
      <c r="J675" s="64">
        <f>13.1631 * CHOOSE(CONTROL!$C$22, $C$13, 100%, $E$13)</f>
        <v>13.1631</v>
      </c>
      <c r="K675" s="64">
        <f>13.1633 * CHOOSE(CONTROL!$C$22, $C$13, 100%, $E$13)</f>
        <v>13.1633</v>
      </c>
    </row>
    <row r="676" spans="1:11" ht="15">
      <c r="A676" s="13">
        <v>62214</v>
      </c>
      <c r="B676" s="63">
        <f>11.1707 * CHOOSE(CONTROL!$C$22, $C$13, 100%, $E$13)</f>
        <v>11.1707</v>
      </c>
      <c r="C676" s="63">
        <f>11.1707 * CHOOSE(CONTROL!$C$22, $C$13, 100%, $E$13)</f>
        <v>11.1707</v>
      </c>
      <c r="D676" s="63">
        <f>11.2054 * CHOOSE(CONTROL!$C$22, $C$13, 100%, $E$13)</f>
        <v>11.205399999999999</v>
      </c>
      <c r="E676" s="64">
        <f>13.2085 * CHOOSE(CONTROL!$C$22, $C$13, 100%, $E$13)</f>
        <v>13.208500000000001</v>
      </c>
      <c r="F676" s="64">
        <f>13.2085 * CHOOSE(CONTROL!$C$22, $C$13, 100%, $E$13)</f>
        <v>13.208500000000001</v>
      </c>
      <c r="G676" s="64">
        <f>13.2107 * CHOOSE(CONTROL!$C$22, $C$13, 100%, $E$13)</f>
        <v>13.210699999999999</v>
      </c>
      <c r="H676" s="64">
        <f>21.8262* CHOOSE(CONTROL!$C$22, $C$13, 100%, $E$13)</f>
        <v>21.8262</v>
      </c>
      <c r="I676" s="64">
        <f>21.8283 * CHOOSE(CONTROL!$C$22, $C$13, 100%, $E$13)</f>
        <v>21.828299999999999</v>
      </c>
      <c r="J676" s="64">
        <f>13.2085 * CHOOSE(CONTROL!$C$22, $C$13, 100%, $E$13)</f>
        <v>13.208500000000001</v>
      </c>
      <c r="K676" s="64">
        <f>13.2107 * CHOOSE(CONTROL!$C$22, $C$13, 100%, $E$13)</f>
        <v>13.210699999999999</v>
      </c>
    </row>
    <row r="677" spans="1:11" ht="15">
      <c r="A677" s="13">
        <v>62245</v>
      </c>
      <c r="B677" s="63">
        <f>11.1768 * CHOOSE(CONTROL!$C$22, $C$13, 100%, $E$13)</f>
        <v>11.1768</v>
      </c>
      <c r="C677" s="63">
        <f>11.1768 * CHOOSE(CONTROL!$C$22, $C$13, 100%, $E$13)</f>
        <v>11.1768</v>
      </c>
      <c r="D677" s="63">
        <f>11.2115 * CHOOSE(CONTROL!$C$22, $C$13, 100%, $E$13)</f>
        <v>11.211499999999999</v>
      </c>
      <c r="E677" s="64">
        <f>13.1673 * CHOOSE(CONTROL!$C$22, $C$13, 100%, $E$13)</f>
        <v>13.167299999999999</v>
      </c>
      <c r="F677" s="64">
        <f>13.1673 * CHOOSE(CONTROL!$C$22, $C$13, 100%, $E$13)</f>
        <v>13.167299999999999</v>
      </c>
      <c r="G677" s="64">
        <f>13.1695 * CHOOSE(CONTROL!$C$22, $C$13, 100%, $E$13)</f>
        <v>13.169499999999999</v>
      </c>
      <c r="H677" s="64">
        <f>21.8716* CHOOSE(CONTROL!$C$22, $C$13, 100%, $E$13)</f>
        <v>21.871600000000001</v>
      </c>
      <c r="I677" s="64">
        <f>21.8738 * CHOOSE(CONTROL!$C$22, $C$13, 100%, $E$13)</f>
        <v>21.873799999999999</v>
      </c>
      <c r="J677" s="64">
        <f>13.1673 * CHOOSE(CONTROL!$C$22, $C$13, 100%, $E$13)</f>
        <v>13.167299999999999</v>
      </c>
      <c r="K677" s="64">
        <f>13.1695 * CHOOSE(CONTROL!$C$22, $C$13, 100%, $E$13)</f>
        <v>13.169499999999999</v>
      </c>
    </row>
    <row r="678" spans="1:11" ht="15">
      <c r="A678" s="13">
        <v>62275</v>
      </c>
      <c r="B678" s="63">
        <f>11.3542 * CHOOSE(CONTROL!$C$22, $C$13, 100%, $E$13)</f>
        <v>11.354200000000001</v>
      </c>
      <c r="C678" s="63">
        <f>11.3542 * CHOOSE(CONTROL!$C$22, $C$13, 100%, $E$13)</f>
        <v>11.354200000000001</v>
      </c>
      <c r="D678" s="63">
        <f>11.3889 * CHOOSE(CONTROL!$C$22, $C$13, 100%, $E$13)</f>
        <v>11.3889</v>
      </c>
      <c r="E678" s="64">
        <f>13.4202 * CHOOSE(CONTROL!$C$22, $C$13, 100%, $E$13)</f>
        <v>13.420199999999999</v>
      </c>
      <c r="F678" s="64">
        <f>13.4202 * CHOOSE(CONTROL!$C$22, $C$13, 100%, $E$13)</f>
        <v>13.420199999999999</v>
      </c>
      <c r="G678" s="64">
        <f>13.4224 * CHOOSE(CONTROL!$C$22, $C$13, 100%, $E$13)</f>
        <v>13.4224</v>
      </c>
      <c r="H678" s="64">
        <f>21.9172* CHOOSE(CONTROL!$C$22, $C$13, 100%, $E$13)</f>
        <v>21.917200000000001</v>
      </c>
      <c r="I678" s="64">
        <f>21.9193 * CHOOSE(CONTROL!$C$22, $C$13, 100%, $E$13)</f>
        <v>21.9193</v>
      </c>
      <c r="J678" s="64">
        <f>13.4202 * CHOOSE(CONTROL!$C$22, $C$13, 100%, $E$13)</f>
        <v>13.420199999999999</v>
      </c>
      <c r="K678" s="64">
        <f>13.4224 * CHOOSE(CONTROL!$C$22, $C$13, 100%, $E$13)</f>
        <v>13.4224</v>
      </c>
    </row>
    <row r="679" spans="1:11" ht="15">
      <c r="A679" s="13">
        <v>62306</v>
      </c>
      <c r="B679" s="63">
        <f>11.3609 * CHOOSE(CONTROL!$C$22, $C$13, 100%, $E$13)</f>
        <v>11.360900000000001</v>
      </c>
      <c r="C679" s="63">
        <f>11.3609 * CHOOSE(CONTROL!$C$22, $C$13, 100%, $E$13)</f>
        <v>11.360900000000001</v>
      </c>
      <c r="D679" s="63">
        <f>11.3956 * CHOOSE(CONTROL!$C$22, $C$13, 100%, $E$13)</f>
        <v>11.3956</v>
      </c>
      <c r="E679" s="64">
        <f>13.2886 * CHOOSE(CONTROL!$C$22, $C$13, 100%, $E$13)</f>
        <v>13.288600000000001</v>
      </c>
      <c r="F679" s="64">
        <f>13.2886 * CHOOSE(CONTROL!$C$22, $C$13, 100%, $E$13)</f>
        <v>13.288600000000001</v>
      </c>
      <c r="G679" s="64">
        <f>13.2907 * CHOOSE(CONTROL!$C$22, $C$13, 100%, $E$13)</f>
        <v>13.290699999999999</v>
      </c>
      <c r="H679" s="64">
        <f>21.9629* CHOOSE(CONTROL!$C$22, $C$13, 100%, $E$13)</f>
        <v>21.962900000000001</v>
      </c>
      <c r="I679" s="64">
        <f>21.965 * CHOOSE(CONTROL!$C$22, $C$13, 100%, $E$13)</f>
        <v>21.965</v>
      </c>
      <c r="J679" s="64">
        <f>13.2886 * CHOOSE(CONTROL!$C$22, $C$13, 100%, $E$13)</f>
        <v>13.288600000000001</v>
      </c>
      <c r="K679" s="64">
        <f>13.2907 * CHOOSE(CONTROL!$C$22, $C$13, 100%, $E$13)</f>
        <v>13.290699999999999</v>
      </c>
    </row>
    <row r="680" spans="1:11" ht="15">
      <c r="A680" s="13">
        <v>62337</v>
      </c>
      <c r="B680" s="63">
        <f>11.3579 * CHOOSE(CONTROL!$C$22, $C$13, 100%, $E$13)</f>
        <v>11.357900000000001</v>
      </c>
      <c r="C680" s="63">
        <f>11.3579 * CHOOSE(CONTROL!$C$22, $C$13, 100%, $E$13)</f>
        <v>11.357900000000001</v>
      </c>
      <c r="D680" s="63">
        <f>11.3925 * CHOOSE(CONTROL!$C$22, $C$13, 100%, $E$13)</f>
        <v>11.3925</v>
      </c>
      <c r="E680" s="64">
        <f>13.2713 * CHOOSE(CONTROL!$C$22, $C$13, 100%, $E$13)</f>
        <v>13.2713</v>
      </c>
      <c r="F680" s="64">
        <f>13.2713 * CHOOSE(CONTROL!$C$22, $C$13, 100%, $E$13)</f>
        <v>13.2713</v>
      </c>
      <c r="G680" s="64">
        <f>13.2735 * CHOOSE(CONTROL!$C$22, $C$13, 100%, $E$13)</f>
        <v>13.2735</v>
      </c>
      <c r="H680" s="64">
        <f>22.0086* CHOOSE(CONTROL!$C$22, $C$13, 100%, $E$13)</f>
        <v>22.008600000000001</v>
      </c>
      <c r="I680" s="64">
        <f>22.0108 * CHOOSE(CONTROL!$C$22, $C$13, 100%, $E$13)</f>
        <v>22.0108</v>
      </c>
      <c r="J680" s="64">
        <f>13.2713 * CHOOSE(CONTROL!$C$22, $C$13, 100%, $E$13)</f>
        <v>13.2713</v>
      </c>
      <c r="K680" s="64">
        <f>13.2735 * CHOOSE(CONTROL!$C$22, $C$13, 100%, $E$13)</f>
        <v>13.2735</v>
      </c>
    </row>
    <row r="681" spans="1:11" ht="15">
      <c r="A681" s="13">
        <v>62367</v>
      </c>
      <c r="B681" s="63">
        <f>11.3773 * CHOOSE(CONTROL!$C$22, $C$13, 100%, $E$13)</f>
        <v>11.3773</v>
      </c>
      <c r="C681" s="63">
        <f>11.3773 * CHOOSE(CONTROL!$C$22, $C$13, 100%, $E$13)</f>
        <v>11.3773</v>
      </c>
      <c r="D681" s="63">
        <f>11.3946 * CHOOSE(CONTROL!$C$22, $C$13, 100%, $E$13)</f>
        <v>11.394600000000001</v>
      </c>
      <c r="E681" s="64">
        <f>13.3185 * CHOOSE(CONTROL!$C$22, $C$13, 100%, $E$13)</f>
        <v>13.3185</v>
      </c>
      <c r="F681" s="64">
        <f>13.3185 * CHOOSE(CONTROL!$C$22, $C$13, 100%, $E$13)</f>
        <v>13.3185</v>
      </c>
      <c r="G681" s="64">
        <f>13.3187 * CHOOSE(CONTROL!$C$22, $C$13, 100%, $E$13)</f>
        <v>13.3187</v>
      </c>
      <c r="H681" s="64">
        <f>22.0545* CHOOSE(CONTROL!$C$22, $C$13, 100%, $E$13)</f>
        <v>22.054500000000001</v>
      </c>
      <c r="I681" s="64">
        <f>22.0546 * CHOOSE(CONTROL!$C$22, $C$13, 100%, $E$13)</f>
        <v>22.054600000000001</v>
      </c>
      <c r="J681" s="64">
        <f>13.3185 * CHOOSE(CONTROL!$C$22, $C$13, 100%, $E$13)</f>
        <v>13.3185</v>
      </c>
      <c r="K681" s="64">
        <f>13.3187 * CHOOSE(CONTROL!$C$22, $C$13, 100%, $E$13)</f>
        <v>13.3187</v>
      </c>
    </row>
    <row r="682" spans="1:11" ht="15">
      <c r="A682" s="13">
        <v>62398</v>
      </c>
      <c r="B682" s="63">
        <f>11.3803 * CHOOSE(CONTROL!$C$22, $C$13, 100%, $E$13)</f>
        <v>11.3803</v>
      </c>
      <c r="C682" s="63">
        <f>11.3803 * CHOOSE(CONTROL!$C$22, $C$13, 100%, $E$13)</f>
        <v>11.3803</v>
      </c>
      <c r="D682" s="63">
        <f>11.3976 * CHOOSE(CONTROL!$C$22, $C$13, 100%, $E$13)</f>
        <v>11.397600000000001</v>
      </c>
      <c r="E682" s="64">
        <f>13.3509 * CHOOSE(CONTROL!$C$22, $C$13, 100%, $E$13)</f>
        <v>13.350899999999999</v>
      </c>
      <c r="F682" s="64">
        <f>13.3509 * CHOOSE(CONTROL!$C$22, $C$13, 100%, $E$13)</f>
        <v>13.350899999999999</v>
      </c>
      <c r="G682" s="64">
        <f>13.3511 * CHOOSE(CONTROL!$C$22, $C$13, 100%, $E$13)</f>
        <v>13.351100000000001</v>
      </c>
      <c r="H682" s="64">
        <f>22.1004* CHOOSE(CONTROL!$C$22, $C$13, 100%, $E$13)</f>
        <v>22.1004</v>
      </c>
      <c r="I682" s="64">
        <f>22.1006 * CHOOSE(CONTROL!$C$22, $C$13, 100%, $E$13)</f>
        <v>22.1006</v>
      </c>
      <c r="J682" s="64">
        <f>13.3509 * CHOOSE(CONTROL!$C$22, $C$13, 100%, $E$13)</f>
        <v>13.350899999999999</v>
      </c>
      <c r="K682" s="64">
        <f>13.3511 * CHOOSE(CONTROL!$C$22, $C$13, 100%, $E$13)</f>
        <v>13.351100000000001</v>
      </c>
    </row>
    <row r="683" spans="1:11" ht="15">
      <c r="A683" s="13">
        <v>62428</v>
      </c>
      <c r="B683" s="63">
        <f>11.3803 * CHOOSE(CONTROL!$C$22, $C$13, 100%, $E$13)</f>
        <v>11.3803</v>
      </c>
      <c r="C683" s="63">
        <f>11.3803 * CHOOSE(CONTROL!$C$22, $C$13, 100%, $E$13)</f>
        <v>11.3803</v>
      </c>
      <c r="D683" s="63">
        <f>11.3976 * CHOOSE(CONTROL!$C$22, $C$13, 100%, $E$13)</f>
        <v>11.397600000000001</v>
      </c>
      <c r="E683" s="64">
        <f>13.2752 * CHOOSE(CONTROL!$C$22, $C$13, 100%, $E$13)</f>
        <v>13.2752</v>
      </c>
      <c r="F683" s="64">
        <f>13.2752 * CHOOSE(CONTROL!$C$22, $C$13, 100%, $E$13)</f>
        <v>13.2752</v>
      </c>
      <c r="G683" s="64">
        <f>13.2754 * CHOOSE(CONTROL!$C$22, $C$13, 100%, $E$13)</f>
        <v>13.275399999999999</v>
      </c>
      <c r="H683" s="64">
        <f>22.1465* CHOOSE(CONTROL!$C$22, $C$13, 100%, $E$13)</f>
        <v>22.1465</v>
      </c>
      <c r="I683" s="64">
        <f>22.1466 * CHOOSE(CONTROL!$C$22, $C$13, 100%, $E$13)</f>
        <v>22.146599999999999</v>
      </c>
      <c r="J683" s="64">
        <f>13.2752 * CHOOSE(CONTROL!$C$22, $C$13, 100%, $E$13)</f>
        <v>13.2752</v>
      </c>
      <c r="K683" s="64">
        <f>13.2754 * CHOOSE(CONTROL!$C$22, $C$13, 100%, $E$13)</f>
        <v>13.275399999999999</v>
      </c>
    </row>
    <row r="684" spans="1:11" ht="15">
      <c r="A684" s="13">
        <v>62459</v>
      </c>
      <c r="B684" s="63">
        <f>11.4183 * CHOOSE(CONTROL!$C$22, $C$13, 100%, $E$13)</f>
        <v>11.4183</v>
      </c>
      <c r="C684" s="63">
        <f>11.4183 * CHOOSE(CONTROL!$C$22, $C$13, 100%, $E$13)</f>
        <v>11.4183</v>
      </c>
      <c r="D684" s="63">
        <f>11.4356 * CHOOSE(CONTROL!$C$22, $C$13, 100%, $E$13)</f>
        <v>11.435600000000001</v>
      </c>
      <c r="E684" s="64">
        <f>13.3731 * CHOOSE(CONTROL!$C$22, $C$13, 100%, $E$13)</f>
        <v>13.373100000000001</v>
      </c>
      <c r="F684" s="64">
        <f>13.3731 * CHOOSE(CONTROL!$C$22, $C$13, 100%, $E$13)</f>
        <v>13.373100000000001</v>
      </c>
      <c r="G684" s="64">
        <f>13.3733 * CHOOSE(CONTROL!$C$22, $C$13, 100%, $E$13)</f>
        <v>13.3733</v>
      </c>
      <c r="H684" s="64">
        <f>22.0911* CHOOSE(CONTROL!$C$22, $C$13, 100%, $E$13)</f>
        <v>22.091100000000001</v>
      </c>
      <c r="I684" s="64">
        <f>22.0913 * CHOOSE(CONTROL!$C$22, $C$13, 100%, $E$13)</f>
        <v>22.0913</v>
      </c>
      <c r="J684" s="64">
        <f>13.3731 * CHOOSE(CONTROL!$C$22, $C$13, 100%, $E$13)</f>
        <v>13.373100000000001</v>
      </c>
      <c r="K684" s="64">
        <f>13.3733 * CHOOSE(CONTROL!$C$22, $C$13, 100%, $E$13)</f>
        <v>13.3733</v>
      </c>
    </row>
    <row r="685" spans="1:11" ht="15">
      <c r="A685" s="13">
        <v>62490</v>
      </c>
      <c r="B685" s="63">
        <f>11.4153 * CHOOSE(CONTROL!$C$22, $C$13, 100%, $E$13)</f>
        <v>11.4153</v>
      </c>
      <c r="C685" s="63">
        <f>11.4153 * CHOOSE(CONTROL!$C$22, $C$13, 100%, $E$13)</f>
        <v>11.4153</v>
      </c>
      <c r="D685" s="63">
        <f>11.4326 * CHOOSE(CONTROL!$C$22, $C$13, 100%, $E$13)</f>
        <v>11.432600000000001</v>
      </c>
      <c r="E685" s="64">
        <f>13.2247 * CHOOSE(CONTROL!$C$22, $C$13, 100%, $E$13)</f>
        <v>13.2247</v>
      </c>
      <c r="F685" s="64">
        <f>13.2247 * CHOOSE(CONTROL!$C$22, $C$13, 100%, $E$13)</f>
        <v>13.2247</v>
      </c>
      <c r="G685" s="64">
        <f>13.2249 * CHOOSE(CONTROL!$C$22, $C$13, 100%, $E$13)</f>
        <v>13.2249</v>
      </c>
      <c r="H685" s="64">
        <f>22.1371* CHOOSE(CONTROL!$C$22, $C$13, 100%, $E$13)</f>
        <v>22.1371</v>
      </c>
      <c r="I685" s="64">
        <f>22.1373 * CHOOSE(CONTROL!$C$22, $C$13, 100%, $E$13)</f>
        <v>22.1373</v>
      </c>
      <c r="J685" s="64">
        <f>13.2247 * CHOOSE(CONTROL!$C$22, $C$13, 100%, $E$13)</f>
        <v>13.2247</v>
      </c>
      <c r="K685" s="64">
        <f>13.2249 * CHOOSE(CONTROL!$C$22, $C$13, 100%, $E$13)</f>
        <v>13.2249</v>
      </c>
    </row>
    <row r="686" spans="1:11" ht="15">
      <c r="A686" s="13">
        <v>62518</v>
      </c>
      <c r="B686" s="63">
        <f>11.4122 * CHOOSE(CONTROL!$C$22, $C$13, 100%, $E$13)</f>
        <v>11.4122</v>
      </c>
      <c r="C686" s="63">
        <f>11.4122 * CHOOSE(CONTROL!$C$22, $C$13, 100%, $E$13)</f>
        <v>11.4122</v>
      </c>
      <c r="D686" s="63">
        <f>11.4296 * CHOOSE(CONTROL!$C$22, $C$13, 100%, $E$13)</f>
        <v>11.429600000000001</v>
      </c>
      <c r="E686" s="64">
        <f>13.3379 * CHOOSE(CONTROL!$C$22, $C$13, 100%, $E$13)</f>
        <v>13.337899999999999</v>
      </c>
      <c r="F686" s="64">
        <f>13.3379 * CHOOSE(CONTROL!$C$22, $C$13, 100%, $E$13)</f>
        <v>13.337899999999999</v>
      </c>
      <c r="G686" s="64">
        <f>13.3381 * CHOOSE(CONTROL!$C$22, $C$13, 100%, $E$13)</f>
        <v>13.338100000000001</v>
      </c>
      <c r="H686" s="64">
        <f>22.1833* CHOOSE(CONTROL!$C$22, $C$13, 100%, $E$13)</f>
        <v>22.183299999999999</v>
      </c>
      <c r="I686" s="64">
        <f>22.1834 * CHOOSE(CONTROL!$C$22, $C$13, 100%, $E$13)</f>
        <v>22.183399999999999</v>
      </c>
      <c r="J686" s="64">
        <f>13.3379 * CHOOSE(CONTROL!$C$22, $C$13, 100%, $E$13)</f>
        <v>13.337899999999999</v>
      </c>
      <c r="K686" s="64">
        <f>13.3381 * CHOOSE(CONTROL!$C$22, $C$13, 100%, $E$13)</f>
        <v>13.338100000000001</v>
      </c>
    </row>
    <row r="687" spans="1:11" ht="15">
      <c r="A687" s="13">
        <v>62549</v>
      </c>
      <c r="B687" s="63">
        <f>11.4162 * CHOOSE(CONTROL!$C$22, $C$13, 100%, $E$13)</f>
        <v>11.4162</v>
      </c>
      <c r="C687" s="63">
        <f>11.4162 * CHOOSE(CONTROL!$C$22, $C$13, 100%, $E$13)</f>
        <v>11.4162</v>
      </c>
      <c r="D687" s="63">
        <f>11.4336 * CHOOSE(CONTROL!$C$22, $C$13, 100%, $E$13)</f>
        <v>11.4336</v>
      </c>
      <c r="E687" s="64">
        <f>13.4575 * CHOOSE(CONTROL!$C$22, $C$13, 100%, $E$13)</f>
        <v>13.4575</v>
      </c>
      <c r="F687" s="64">
        <f>13.4575 * CHOOSE(CONTROL!$C$22, $C$13, 100%, $E$13)</f>
        <v>13.4575</v>
      </c>
      <c r="G687" s="64">
        <f>13.4577 * CHOOSE(CONTROL!$C$22, $C$13, 100%, $E$13)</f>
        <v>13.457700000000001</v>
      </c>
      <c r="H687" s="64">
        <f>22.2295* CHOOSE(CONTROL!$C$22, $C$13, 100%, $E$13)</f>
        <v>22.229500000000002</v>
      </c>
      <c r="I687" s="64">
        <f>22.2296 * CHOOSE(CONTROL!$C$22, $C$13, 100%, $E$13)</f>
        <v>22.229600000000001</v>
      </c>
      <c r="J687" s="64">
        <f>13.4575 * CHOOSE(CONTROL!$C$22, $C$13, 100%, $E$13)</f>
        <v>13.4575</v>
      </c>
      <c r="K687" s="64">
        <f>13.4577 * CHOOSE(CONTROL!$C$22, $C$13, 100%, $E$13)</f>
        <v>13.457700000000001</v>
      </c>
    </row>
    <row r="688" spans="1:11" ht="15">
      <c r="A688" s="13">
        <v>62579</v>
      </c>
      <c r="B688" s="63">
        <f>11.4162 * CHOOSE(CONTROL!$C$22, $C$13, 100%, $E$13)</f>
        <v>11.4162</v>
      </c>
      <c r="C688" s="63">
        <f>11.4162 * CHOOSE(CONTROL!$C$22, $C$13, 100%, $E$13)</f>
        <v>11.4162</v>
      </c>
      <c r="D688" s="63">
        <f>11.4509 * CHOOSE(CONTROL!$C$22, $C$13, 100%, $E$13)</f>
        <v>11.450900000000001</v>
      </c>
      <c r="E688" s="64">
        <f>13.504 * CHOOSE(CONTROL!$C$22, $C$13, 100%, $E$13)</f>
        <v>13.504</v>
      </c>
      <c r="F688" s="64">
        <f>13.504 * CHOOSE(CONTROL!$C$22, $C$13, 100%, $E$13)</f>
        <v>13.504</v>
      </c>
      <c r="G688" s="64">
        <f>13.5061 * CHOOSE(CONTROL!$C$22, $C$13, 100%, $E$13)</f>
        <v>13.5061</v>
      </c>
      <c r="H688" s="64">
        <f>22.2758* CHOOSE(CONTROL!$C$22, $C$13, 100%, $E$13)</f>
        <v>22.2758</v>
      </c>
      <c r="I688" s="64">
        <f>22.2779 * CHOOSE(CONTROL!$C$22, $C$13, 100%, $E$13)</f>
        <v>22.277899999999999</v>
      </c>
      <c r="J688" s="64">
        <f>13.504 * CHOOSE(CONTROL!$C$22, $C$13, 100%, $E$13)</f>
        <v>13.504</v>
      </c>
      <c r="K688" s="64">
        <f>13.5061 * CHOOSE(CONTROL!$C$22, $C$13, 100%, $E$13)</f>
        <v>13.5061</v>
      </c>
    </row>
    <row r="689" spans="1:11" ht="15">
      <c r="A689" s="13">
        <v>62610</v>
      </c>
      <c r="B689" s="63">
        <f>11.4223 * CHOOSE(CONTROL!$C$22, $C$13, 100%, $E$13)</f>
        <v>11.4223</v>
      </c>
      <c r="C689" s="63">
        <f>11.4223 * CHOOSE(CONTROL!$C$22, $C$13, 100%, $E$13)</f>
        <v>11.4223</v>
      </c>
      <c r="D689" s="63">
        <f>11.457 * CHOOSE(CONTROL!$C$22, $C$13, 100%, $E$13)</f>
        <v>11.457000000000001</v>
      </c>
      <c r="E689" s="64">
        <f>13.4618 * CHOOSE(CONTROL!$C$22, $C$13, 100%, $E$13)</f>
        <v>13.4618</v>
      </c>
      <c r="F689" s="64">
        <f>13.4618 * CHOOSE(CONTROL!$C$22, $C$13, 100%, $E$13)</f>
        <v>13.4618</v>
      </c>
      <c r="G689" s="64">
        <f>13.4639 * CHOOSE(CONTROL!$C$22, $C$13, 100%, $E$13)</f>
        <v>13.463900000000001</v>
      </c>
      <c r="H689" s="64">
        <f>22.3222* CHOOSE(CONTROL!$C$22, $C$13, 100%, $E$13)</f>
        <v>22.322199999999999</v>
      </c>
      <c r="I689" s="64">
        <f>22.3243 * CHOOSE(CONTROL!$C$22, $C$13, 100%, $E$13)</f>
        <v>22.324300000000001</v>
      </c>
      <c r="J689" s="64">
        <f>13.4618 * CHOOSE(CONTROL!$C$22, $C$13, 100%, $E$13)</f>
        <v>13.4618</v>
      </c>
      <c r="K689" s="64">
        <f>13.4639 * CHOOSE(CONTROL!$C$22, $C$13, 100%, $E$13)</f>
        <v>13.463900000000001</v>
      </c>
    </row>
    <row r="690" spans="1:11" ht="15">
      <c r="A690" s="13">
        <v>62640</v>
      </c>
      <c r="B690" s="63">
        <f>11.6034 * CHOOSE(CONTROL!$C$22, $C$13, 100%, $E$13)</f>
        <v>11.603400000000001</v>
      </c>
      <c r="C690" s="63">
        <f>11.6034 * CHOOSE(CONTROL!$C$22, $C$13, 100%, $E$13)</f>
        <v>11.603400000000001</v>
      </c>
      <c r="D690" s="63">
        <f>11.6381 * CHOOSE(CONTROL!$C$22, $C$13, 100%, $E$13)</f>
        <v>11.6381</v>
      </c>
      <c r="E690" s="64">
        <f>13.7201 * CHOOSE(CONTROL!$C$22, $C$13, 100%, $E$13)</f>
        <v>13.7201</v>
      </c>
      <c r="F690" s="64">
        <f>13.7201 * CHOOSE(CONTROL!$C$22, $C$13, 100%, $E$13)</f>
        <v>13.7201</v>
      </c>
      <c r="G690" s="64">
        <f>13.7223 * CHOOSE(CONTROL!$C$22, $C$13, 100%, $E$13)</f>
        <v>13.722300000000001</v>
      </c>
      <c r="H690" s="64">
        <f>22.3687* CHOOSE(CONTROL!$C$22, $C$13, 100%, $E$13)</f>
        <v>22.3687</v>
      </c>
      <c r="I690" s="64">
        <f>22.3708 * CHOOSE(CONTROL!$C$22, $C$13, 100%, $E$13)</f>
        <v>22.370799999999999</v>
      </c>
      <c r="J690" s="64">
        <f>13.7201 * CHOOSE(CONTROL!$C$22, $C$13, 100%, $E$13)</f>
        <v>13.7201</v>
      </c>
      <c r="K690" s="64">
        <f>13.7223 * CHOOSE(CONTROL!$C$22, $C$13, 100%, $E$13)</f>
        <v>13.722300000000001</v>
      </c>
    </row>
    <row r="691" spans="1:11" ht="15">
      <c r="A691" s="13">
        <v>62671</v>
      </c>
      <c r="B691" s="63">
        <f>11.6101 * CHOOSE(CONTROL!$C$22, $C$13, 100%, $E$13)</f>
        <v>11.610099999999999</v>
      </c>
      <c r="C691" s="63">
        <f>11.6101 * CHOOSE(CONTROL!$C$22, $C$13, 100%, $E$13)</f>
        <v>11.610099999999999</v>
      </c>
      <c r="D691" s="63">
        <f>11.6448 * CHOOSE(CONTROL!$C$22, $C$13, 100%, $E$13)</f>
        <v>11.6448</v>
      </c>
      <c r="E691" s="64">
        <f>13.5854 * CHOOSE(CONTROL!$C$22, $C$13, 100%, $E$13)</f>
        <v>13.5854</v>
      </c>
      <c r="F691" s="64">
        <f>13.5854 * CHOOSE(CONTROL!$C$22, $C$13, 100%, $E$13)</f>
        <v>13.5854</v>
      </c>
      <c r="G691" s="64">
        <f>13.5876 * CHOOSE(CONTROL!$C$22, $C$13, 100%, $E$13)</f>
        <v>13.5876</v>
      </c>
      <c r="H691" s="64">
        <f>22.4153* CHOOSE(CONTROL!$C$22, $C$13, 100%, $E$13)</f>
        <v>22.415299999999998</v>
      </c>
      <c r="I691" s="64">
        <f>22.4174 * CHOOSE(CONTROL!$C$22, $C$13, 100%, $E$13)</f>
        <v>22.417400000000001</v>
      </c>
      <c r="J691" s="64">
        <f>13.5854 * CHOOSE(CONTROL!$C$22, $C$13, 100%, $E$13)</f>
        <v>13.5854</v>
      </c>
      <c r="K691" s="64">
        <f>13.5876 * CHOOSE(CONTROL!$C$22, $C$13, 100%, $E$13)</f>
        <v>13.5876</v>
      </c>
    </row>
    <row r="692" spans="1:11" ht="15">
      <c r="A692" s="13">
        <v>62702</v>
      </c>
      <c r="B692" s="63">
        <f>11.6071 * CHOOSE(CONTROL!$C$22, $C$13, 100%, $E$13)</f>
        <v>11.607100000000001</v>
      </c>
      <c r="C692" s="63">
        <f>11.6071 * CHOOSE(CONTROL!$C$22, $C$13, 100%, $E$13)</f>
        <v>11.607100000000001</v>
      </c>
      <c r="D692" s="63">
        <f>11.6417 * CHOOSE(CONTROL!$C$22, $C$13, 100%, $E$13)</f>
        <v>11.6417</v>
      </c>
      <c r="E692" s="64">
        <f>13.5678 * CHOOSE(CONTROL!$C$22, $C$13, 100%, $E$13)</f>
        <v>13.5678</v>
      </c>
      <c r="F692" s="64">
        <f>13.5678 * CHOOSE(CONTROL!$C$22, $C$13, 100%, $E$13)</f>
        <v>13.5678</v>
      </c>
      <c r="G692" s="64">
        <f>13.57 * CHOOSE(CONTROL!$C$22, $C$13, 100%, $E$13)</f>
        <v>13.57</v>
      </c>
      <c r="H692" s="64">
        <f>22.462* CHOOSE(CONTROL!$C$22, $C$13, 100%, $E$13)</f>
        <v>22.462</v>
      </c>
      <c r="I692" s="64">
        <f>22.4641 * CHOOSE(CONTROL!$C$22, $C$13, 100%, $E$13)</f>
        <v>22.464099999999998</v>
      </c>
      <c r="J692" s="64">
        <f>13.5678 * CHOOSE(CONTROL!$C$22, $C$13, 100%, $E$13)</f>
        <v>13.5678</v>
      </c>
      <c r="K692" s="64">
        <f>13.57 * CHOOSE(CONTROL!$C$22, $C$13, 100%, $E$13)</f>
        <v>13.57</v>
      </c>
    </row>
    <row r="693" spans="1:11" ht="15">
      <c r="A693" s="13">
        <v>62732</v>
      </c>
      <c r="B693" s="63">
        <f>11.6273 * CHOOSE(CONTROL!$C$22, $C$13, 100%, $E$13)</f>
        <v>11.6273</v>
      </c>
      <c r="C693" s="63">
        <f>11.6273 * CHOOSE(CONTROL!$C$22, $C$13, 100%, $E$13)</f>
        <v>11.6273</v>
      </c>
      <c r="D693" s="63">
        <f>11.6446 * CHOOSE(CONTROL!$C$22, $C$13, 100%, $E$13)</f>
        <v>11.644600000000001</v>
      </c>
      <c r="E693" s="64">
        <f>13.6163 * CHOOSE(CONTROL!$C$22, $C$13, 100%, $E$13)</f>
        <v>13.616300000000001</v>
      </c>
      <c r="F693" s="64">
        <f>13.6163 * CHOOSE(CONTROL!$C$22, $C$13, 100%, $E$13)</f>
        <v>13.616300000000001</v>
      </c>
      <c r="G693" s="64">
        <f>13.6165 * CHOOSE(CONTROL!$C$22, $C$13, 100%, $E$13)</f>
        <v>13.6165</v>
      </c>
      <c r="H693" s="64">
        <f>22.5088* CHOOSE(CONTROL!$C$22, $C$13, 100%, $E$13)</f>
        <v>22.508800000000001</v>
      </c>
      <c r="I693" s="64">
        <f>22.509 * CHOOSE(CONTROL!$C$22, $C$13, 100%, $E$13)</f>
        <v>22.509</v>
      </c>
      <c r="J693" s="64">
        <f>13.6163 * CHOOSE(CONTROL!$C$22, $C$13, 100%, $E$13)</f>
        <v>13.616300000000001</v>
      </c>
      <c r="K693" s="64">
        <f>13.6165 * CHOOSE(CONTROL!$C$22, $C$13, 100%, $E$13)</f>
        <v>13.6165</v>
      </c>
    </row>
    <row r="694" spans="1:11" ht="15">
      <c r="A694" s="13">
        <v>62763</v>
      </c>
      <c r="B694" s="63">
        <f>11.6303 * CHOOSE(CONTROL!$C$22, $C$13, 100%, $E$13)</f>
        <v>11.6303</v>
      </c>
      <c r="C694" s="63">
        <f>11.6303 * CHOOSE(CONTROL!$C$22, $C$13, 100%, $E$13)</f>
        <v>11.6303</v>
      </c>
      <c r="D694" s="63">
        <f>11.6476 * CHOOSE(CONTROL!$C$22, $C$13, 100%, $E$13)</f>
        <v>11.647600000000001</v>
      </c>
      <c r="E694" s="64">
        <f>13.6494 * CHOOSE(CONTROL!$C$22, $C$13, 100%, $E$13)</f>
        <v>13.6494</v>
      </c>
      <c r="F694" s="64">
        <f>13.6494 * CHOOSE(CONTROL!$C$22, $C$13, 100%, $E$13)</f>
        <v>13.6494</v>
      </c>
      <c r="G694" s="64">
        <f>13.6496 * CHOOSE(CONTROL!$C$22, $C$13, 100%, $E$13)</f>
        <v>13.6496</v>
      </c>
      <c r="H694" s="64">
        <f>22.5557* CHOOSE(CONTROL!$C$22, $C$13, 100%, $E$13)</f>
        <v>22.555700000000002</v>
      </c>
      <c r="I694" s="64">
        <f>22.5559 * CHOOSE(CONTROL!$C$22, $C$13, 100%, $E$13)</f>
        <v>22.555900000000001</v>
      </c>
      <c r="J694" s="64">
        <f>13.6494 * CHOOSE(CONTROL!$C$22, $C$13, 100%, $E$13)</f>
        <v>13.6494</v>
      </c>
      <c r="K694" s="64">
        <f>13.6496 * CHOOSE(CONTROL!$C$22, $C$13, 100%, $E$13)</f>
        <v>13.6496</v>
      </c>
    </row>
    <row r="695" spans="1:11" ht="15">
      <c r="A695" s="13">
        <v>62793</v>
      </c>
      <c r="B695" s="63">
        <f>11.6303 * CHOOSE(CONTROL!$C$22, $C$13, 100%, $E$13)</f>
        <v>11.6303</v>
      </c>
      <c r="C695" s="63">
        <f>11.6303 * CHOOSE(CONTROL!$C$22, $C$13, 100%, $E$13)</f>
        <v>11.6303</v>
      </c>
      <c r="D695" s="63">
        <f>11.6476 * CHOOSE(CONTROL!$C$22, $C$13, 100%, $E$13)</f>
        <v>11.647600000000001</v>
      </c>
      <c r="E695" s="64">
        <f>13.572 * CHOOSE(CONTROL!$C$22, $C$13, 100%, $E$13)</f>
        <v>13.571999999999999</v>
      </c>
      <c r="F695" s="64">
        <f>13.572 * CHOOSE(CONTROL!$C$22, $C$13, 100%, $E$13)</f>
        <v>13.571999999999999</v>
      </c>
      <c r="G695" s="64">
        <f>13.5722 * CHOOSE(CONTROL!$C$22, $C$13, 100%, $E$13)</f>
        <v>13.5722</v>
      </c>
      <c r="H695" s="64">
        <f>22.6027* CHOOSE(CONTROL!$C$22, $C$13, 100%, $E$13)</f>
        <v>22.602699999999999</v>
      </c>
      <c r="I695" s="64">
        <f>22.6028 * CHOOSE(CONTROL!$C$22, $C$13, 100%, $E$13)</f>
        <v>22.602799999999998</v>
      </c>
      <c r="J695" s="64">
        <f>13.572 * CHOOSE(CONTROL!$C$22, $C$13, 100%, $E$13)</f>
        <v>13.571999999999999</v>
      </c>
      <c r="K695" s="64">
        <f>13.5722 * CHOOSE(CONTROL!$C$22, $C$13, 100%, $E$13)</f>
        <v>13.5722</v>
      </c>
    </row>
    <row r="696" spans="1:11" ht="15">
      <c r="A696" s="13">
        <v>62824</v>
      </c>
      <c r="B696" s="63">
        <f>11.6636 * CHOOSE(CONTROL!$C$22, $C$13, 100%, $E$13)</f>
        <v>11.663600000000001</v>
      </c>
      <c r="C696" s="63">
        <f>11.6636 * CHOOSE(CONTROL!$C$22, $C$13, 100%, $E$13)</f>
        <v>11.663600000000001</v>
      </c>
      <c r="D696" s="63">
        <f>11.6809 * CHOOSE(CONTROL!$C$22, $C$13, 100%, $E$13)</f>
        <v>11.680899999999999</v>
      </c>
      <c r="E696" s="64">
        <f>13.6655 * CHOOSE(CONTROL!$C$22, $C$13, 100%, $E$13)</f>
        <v>13.6655</v>
      </c>
      <c r="F696" s="64">
        <f>13.6655 * CHOOSE(CONTROL!$C$22, $C$13, 100%, $E$13)</f>
        <v>13.6655</v>
      </c>
      <c r="G696" s="64">
        <f>13.6657 * CHOOSE(CONTROL!$C$22, $C$13, 100%, $E$13)</f>
        <v>13.665699999999999</v>
      </c>
      <c r="H696" s="64">
        <f>22.537* CHOOSE(CONTROL!$C$22, $C$13, 100%, $E$13)</f>
        <v>22.536999999999999</v>
      </c>
      <c r="I696" s="64">
        <f>22.5372 * CHOOSE(CONTROL!$C$22, $C$13, 100%, $E$13)</f>
        <v>22.537199999999999</v>
      </c>
      <c r="J696" s="64">
        <f>13.6655 * CHOOSE(CONTROL!$C$22, $C$13, 100%, $E$13)</f>
        <v>13.6655</v>
      </c>
      <c r="K696" s="64">
        <f>13.6657 * CHOOSE(CONTROL!$C$22, $C$13, 100%, $E$13)</f>
        <v>13.665699999999999</v>
      </c>
    </row>
    <row r="697" spans="1:11" ht="15">
      <c r="A697" s="13">
        <v>62855</v>
      </c>
      <c r="B697" s="63">
        <f>11.6606 * CHOOSE(CONTROL!$C$22, $C$13, 100%, $E$13)</f>
        <v>11.660600000000001</v>
      </c>
      <c r="C697" s="63">
        <f>11.6606 * CHOOSE(CONTROL!$C$22, $C$13, 100%, $E$13)</f>
        <v>11.660600000000001</v>
      </c>
      <c r="D697" s="63">
        <f>11.6779 * CHOOSE(CONTROL!$C$22, $C$13, 100%, $E$13)</f>
        <v>11.677899999999999</v>
      </c>
      <c r="E697" s="64">
        <f>13.5139 * CHOOSE(CONTROL!$C$22, $C$13, 100%, $E$13)</f>
        <v>13.5139</v>
      </c>
      <c r="F697" s="64">
        <f>13.5139 * CHOOSE(CONTROL!$C$22, $C$13, 100%, $E$13)</f>
        <v>13.5139</v>
      </c>
      <c r="G697" s="64">
        <f>13.5141 * CHOOSE(CONTROL!$C$22, $C$13, 100%, $E$13)</f>
        <v>13.514099999999999</v>
      </c>
      <c r="H697" s="64">
        <f>22.584* CHOOSE(CONTROL!$C$22, $C$13, 100%, $E$13)</f>
        <v>22.584</v>
      </c>
      <c r="I697" s="64">
        <f>22.5841 * CHOOSE(CONTROL!$C$22, $C$13, 100%, $E$13)</f>
        <v>22.584099999999999</v>
      </c>
      <c r="J697" s="64">
        <f>13.5139 * CHOOSE(CONTROL!$C$22, $C$13, 100%, $E$13)</f>
        <v>13.5139</v>
      </c>
      <c r="K697" s="64">
        <f>13.5141 * CHOOSE(CONTROL!$C$22, $C$13, 100%, $E$13)</f>
        <v>13.514099999999999</v>
      </c>
    </row>
    <row r="698" spans="1:11" ht="15">
      <c r="A698" s="13">
        <v>62884</v>
      </c>
      <c r="B698" s="63">
        <f>11.6575 * CHOOSE(CONTROL!$C$22, $C$13, 100%, $E$13)</f>
        <v>11.657500000000001</v>
      </c>
      <c r="C698" s="63">
        <f>11.6575 * CHOOSE(CONTROL!$C$22, $C$13, 100%, $E$13)</f>
        <v>11.657500000000001</v>
      </c>
      <c r="D698" s="63">
        <f>11.6749 * CHOOSE(CONTROL!$C$22, $C$13, 100%, $E$13)</f>
        <v>11.674899999999999</v>
      </c>
      <c r="E698" s="64">
        <f>13.6297 * CHOOSE(CONTROL!$C$22, $C$13, 100%, $E$13)</f>
        <v>13.6297</v>
      </c>
      <c r="F698" s="64">
        <f>13.6297 * CHOOSE(CONTROL!$C$22, $C$13, 100%, $E$13)</f>
        <v>13.6297</v>
      </c>
      <c r="G698" s="64">
        <f>13.6298 * CHOOSE(CONTROL!$C$22, $C$13, 100%, $E$13)</f>
        <v>13.629799999999999</v>
      </c>
      <c r="H698" s="64">
        <f>22.631* CHOOSE(CONTROL!$C$22, $C$13, 100%, $E$13)</f>
        <v>22.631</v>
      </c>
      <c r="I698" s="64">
        <f>22.6312 * CHOOSE(CONTROL!$C$22, $C$13, 100%, $E$13)</f>
        <v>22.6312</v>
      </c>
      <c r="J698" s="64">
        <f>13.6297 * CHOOSE(CONTROL!$C$22, $C$13, 100%, $E$13)</f>
        <v>13.6297</v>
      </c>
      <c r="K698" s="64">
        <f>13.6298 * CHOOSE(CONTROL!$C$22, $C$13, 100%, $E$13)</f>
        <v>13.629799999999999</v>
      </c>
    </row>
    <row r="699" spans="1:11" ht="15">
      <c r="A699" s="13">
        <v>62915</v>
      </c>
      <c r="B699" s="63">
        <f>11.6618 * CHOOSE(CONTROL!$C$22, $C$13, 100%, $E$13)</f>
        <v>11.661799999999999</v>
      </c>
      <c r="C699" s="63">
        <f>11.6618 * CHOOSE(CONTROL!$C$22, $C$13, 100%, $E$13)</f>
        <v>11.661799999999999</v>
      </c>
      <c r="D699" s="63">
        <f>11.6791 * CHOOSE(CONTROL!$C$22, $C$13, 100%, $E$13)</f>
        <v>11.6791</v>
      </c>
      <c r="E699" s="64">
        <f>13.752 * CHOOSE(CONTROL!$C$22, $C$13, 100%, $E$13)</f>
        <v>13.752000000000001</v>
      </c>
      <c r="F699" s="64">
        <f>13.752 * CHOOSE(CONTROL!$C$22, $C$13, 100%, $E$13)</f>
        <v>13.752000000000001</v>
      </c>
      <c r="G699" s="64">
        <f>13.7522 * CHOOSE(CONTROL!$C$22, $C$13, 100%, $E$13)</f>
        <v>13.7522</v>
      </c>
      <c r="H699" s="64">
        <f>22.6782* CHOOSE(CONTROL!$C$22, $C$13, 100%, $E$13)</f>
        <v>22.6782</v>
      </c>
      <c r="I699" s="64">
        <f>22.6783 * CHOOSE(CONTROL!$C$22, $C$13, 100%, $E$13)</f>
        <v>22.6783</v>
      </c>
      <c r="J699" s="64">
        <f>13.752 * CHOOSE(CONTROL!$C$22, $C$13, 100%, $E$13)</f>
        <v>13.752000000000001</v>
      </c>
      <c r="K699" s="64">
        <f>13.7522 * CHOOSE(CONTROL!$C$22, $C$13, 100%, $E$13)</f>
        <v>13.7522</v>
      </c>
    </row>
    <row r="700" spans="1:11" ht="15">
      <c r="A700" s="13">
        <v>62945</v>
      </c>
      <c r="B700" s="63">
        <f>11.6618 * CHOOSE(CONTROL!$C$22, $C$13, 100%, $E$13)</f>
        <v>11.661799999999999</v>
      </c>
      <c r="C700" s="63">
        <f>11.6618 * CHOOSE(CONTROL!$C$22, $C$13, 100%, $E$13)</f>
        <v>11.661799999999999</v>
      </c>
      <c r="D700" s="63">
        <f>11.6964 * CHOOSE(CONTROL!$C$22, $C$13, 100%, $E$13)</f>
        <v>11.696400000000001</v>
      </c>
      <c r="E700" s="64">
        <f>13.7995 * CHOOSE(CONTROL!$C$22, $C$13, 100%, $E$13)</f>
        <v>13.7995</v>
      </c>
      <c r="F700" s="64">
        <f>13.7995 * CHOOSE(CONTROL!$C$22, $C$13, 100%, $E$13)</f>
        <v>13.7995</v>
      </c>
      <c r="G700" s="64">
        <f>13.8016 * CHOOSE(CONTROL!$C$22, $C$13, 100%, $E$13)</f>
        <v>13.801600000000001</v>
      </c>
      <c r="H700" s="64">
        <f>22.7254* CHOOSE(CONTROL!$C$22, $C$13, 100%, $E$13)</f>
        <v>22.7254</v>
      </c>
      <c r="I700" s="64">
        <f>22.7275 * CHOOSE(CONTROL!$C$22, $C$13, 100%, $E$13)</f>
        <v>22.727499999999999</v>
      </c>
      <c r="J700" s="64">
        <f>13.7995 * CHOOSE(CONTROL!$C$22, $C$13, 100%, $E$13)</f>
        <v>13.7995</v>
      </c>
      <c r="K700" s="64">
        <f>13.8016 * CHOOSE(CONTROL!$C$22, $C$13, 100%, $E$13)</f>
        <v>13.801600000000001</v>
      </c>
    </row>
    <row r="701" spans="1:11" ht="15">
      <c r="A701" s="13">
        <v>62976</v>
      </c>
      <c r="B701" s="63">
        <f>11.6679 * CHOOSE(CONTROL!$C$22, $C$13, 100%, $E$13)</f>
        <v>11.667899999999999</v>
      </c>
      <c r="C701" s="63">
        <f>11.6679 * CHOOSE(CONTROL!$C$22, $C$13, 100%, $E$13)</f>
        <v>11.667899999999999</v>
      </c>
      <c r="D701" s="63">
        <f>11.7025 * CHOOSE(CONTROL!$C$22, $C$13, 100%, $E$13)</f>
        <v>11.702500000000001</v>
      </c>
      <c r="E701" s="64">
        <f>13.7562 * CHOOSE(CONTROL!$C$22, $C$13, 100%, $E$13)</f>
        <v>13.7562</v>
      </c>
      <c r="F701" s="64">
        <f>13.7562 * CHOOSE(CONTROL!$C$22, $C$13, 100%, $E$13)</f>
        <v>13.7562</v>
      </c>
      <c r="G701" s="64">
        <f>13.7584 * CHOOSE(CONTROL!$C$22, $C$13, 100%, $E$13)</f>
        <v>13.7584</v>
      </c>
      <c r="H701" s="64">
        <f>22.7727* CHOOSE(CONTROL!$C$22, $C$13, 100%, $E$13)</f>
        <v>22.7727</v>
      </c>
      <c r="I701" s="64">
        <f>22.7749 * CHOOSE(CONTROL!$C$22, $C$13, 100%, $E$13)</f>
        <v>22.774899999999999</v>
      </c>
      <c r="J701" s="64">
        <f>13.7562 * CHOOSE(CONTROL!$C$22, $C$13, 100%, $E$13)</f>
        <v>13.7562</v>
      </c>
      <c r="K701" s="64">
        <f>13.7584 * CHOOSE(CONTROL!$C$22, $C$13, 100%, $E$13)</f>
        <v>13.7584</v>
      </c>
    </row>
    <row r="702" spans="1:11" ht="15">
      <c r="A702" s="13">
        <v>63006</v>
      </c>
      <c r="B702" s="63">
        <f>11.8526 * CHOOSE(CONTROL!$C$22, $C$13, 100%, $E$13)</f>
        <v>11.852600000000001</v>
      </c>
      <c r="C702" s="63">
        <f>11.8526 * CHOOSE(CONTROL!$C$22, $C$13, 100%, $E$13)</f>
        <v>11.852600000000001</v>
      </c>
      <c r="D702" s="63">
        <f>11.8873 * CHOOSE(CONTROL!$C$22, $C$13, 100%, $E$13)</f>
        <v>11.8873</v>
      </c>
      <c r="E702" s="64">
        <f>14.02 * CHOOSE(CONTROL!$C$22, $C$13, 100%, $E$13)</f>
        <v>14.02</v>
      </c>
      <c r="F702" s="64">
        <f>14.02 * CHOOSE(CONTROL!$C$22, $C$13, 100%, $E$13)</f>
        <v>14.02</v>
      </c>
      <c r="G702" s="64">
        <f>14.0221 * CHOOSE(CONTROL!$C$22, $C$13, 100%, $E$13)</f>
        <v>14.0221</v>
      </c>
      <c r="H702" s="64">
        <f>22.8202* CHOOSE(CONTROL!$C$22, $C$13, 100%, $E$13)</f>
        <v>22.8202</v>
      </c>
      <c r="I702" s="64">
        <f>22.8223 * CHOOSE(CONTROL!$C$22, $C$13, 100%, $E$13)</f>
        <v>22.822299999999998</v>
      </c>
      <c r="J702" s="64">
        <f>14.02 * CHOOSE(CONTROL!$C$22, $C$13, 100%, $E$13)</f>
        <v>14.02</v>
      </c>
      <c r="K702" s="64">
        <f>14.0221 * CHOOSE(CONTROL!$C$22, $C$13, 100%, $E$13)</f>
        <v>14.0221</v>
      </c>
    </row>
    <row r="703" spans="1:11" ht="15">
      <c r="A703" s="13">
        <v>63037</v>
      </c>
      <c r="B703" s="63">
        <f>11.8593 * CHOOSE(CONTROL!$C$22, $C$13, 100%, $E$13)</f>
        <v>11.859299999999999</v>
      </c>
      <c r="C703" s="63">
        <f>11.8593 * CHOOSE(CONTROL!$C$22, $C$13, 100%, $E$13)</f>
        <v>11.859299999999999</v>
      </c>
      <c r="D703" s="63">
        <f>11.894 * CHOOSE(CONTROL!$C$22, $C$13, 100%, $E$13)</f>
        <v>11.894</v>
      </c>
      <c r="E703" s="64">
        <f>13.8823 * CHOOSE(CONTROL!$C$22, $C$13, 100%, $E$13)</f>
        <v>13.882300000000001</v>
      </c>
      <c r="F703" s="64">
        <f>13.8823 * CHOOSE(CONTROL!$C$22, $C$13, 100%, $E$13)</f>
        <v>13.882300000000001</v>
      </c>
      <c r="G703" s="64">
        <f>13.8844 * CHOOSE(CONTROL!$C$22, $C$13, 100%, $E$13)</f>
        <v>13.884399999999999</v>
      </c>
      <c r="H703" s="64">
        <f>22.8677* CHOOSE(CONTROL!$C$22, $C$13, 100%, $E$13)</f>
        <v>22.867699999999999</v>
      </c>
      <c r="I703" s="64">
        <f>22.8699 * CHOOSE(CONTROL!$C$22, $C$13, 100%, $E$13)</f>
        <v>22.869900000000001</v>
      </c>
      <c r="J703" s="64">
        <f>13.8823 * CHOOSE(CONTROL!$C$22, $C$13, 100%, $E$13)</f>
        <v>13.882300000000001</v>
      </c>
      <c r="K703" s="64">
        <f>13.8844 * CHOOSE(CONTROL!$C$22, $C$13, 100%, $E$13)</f>
        <v>13.884399999999999</v>
      </c>
    </row>
    <row r="704" spans="1:11" ht="15">
      <c r="A704" s="13">
        <v>63068</v>
      </c>
      <c r="B704" s="63">
        <f>11.8563 * CHOOSE(CONTROL!$C$22, $C$13, 100%, $E$13)</f>
        <v>11.856299999999999</v>
      </c>
      <c r="C704" s="63">
        <f>11.8563 * CHOOSE(CONTROL!$C$22, $C$13, 100%, $E$13)</f>
        <v>11.856299999999999</v>
      </c>
      <c r="D704" s="63">
        <f>11.891 * CHOOSE(CONTROL!$C$22, $C$13, 100%, $E$13)</f>
        <v>11.891</v>
      </c>
      <c r="E704" s="64">
        <f>13.8643 * CHOOSE(CONTROL!$C$22, $C$13, 100%, $E$13)</f>
        <v>13.8643</v>
      </c>
      <c r="F704" s="64">
        <f>13.8643 * CHOOSE(CONTROL!$C$22, $C$13, 100%, $E$13)</f>
        <v>13.8643</v>
      </c>
      <c r="G704" s="64">
        <f>13.8665 * CHOOSE(CONTROL!$C$22, $C$13, 100%, $E$13)</f>
        <v>13.8665</v>
      </c>
      <c r="H704" s="64">
        <f>22.9154* CHOOSE(CONTROL!$C$22, $C$13, 100%, $E$13)</f>
        <v>22.915400000000002</v>
      </c>
      <c r="I704" s="64">
        <f>22.9175 * CHOOSE(CONTROL!$C$22, $C$13, 100%, $E$13)</f>
        <v>22.9175</v>
      </c>
      <c r="J704" s="64">
        <f>13.8643 * CHOOSE(CONTROL!$C$22, $C$13, 100%, $E$13)</f>
        <v>13.8643</v>
      </c>
      <c r="K704" s="64">
        <f>13.8665 * CHOOSE(CONTROL!$C$22, $C$13, 100%, $E$13)</f>
        <v>13.8665</v>
      </c>
    </row>
    <row r="705" spans="1:11" ht="15">
      <c r="A705" s="13">
        <v>63098</v>
      </c>
      <c r="B705" s="63">
        <f>11.8773 * CHOOSE(CONTROL!$C$22, $C$13, 100%, $E$13)</f>
        <v>11.8773</v>
      </c>
      <c r="C705" s="63">
        <f>11.8773 * CHOOSE(CONTROL!$C$22, $C$13, 100%, $E$13)</f>
        <v>11.8773</v>
      </c>
      <c r="D705" s="63">
        <f>11.8946 * CHOOSE(CONTROL!$C$22, $C$13, 100%, $E$13)</f>
        <v>11.894600000000001</v>
      </c>
      <c r="E705" s="64">
        <f>13.9142 * CHOOSE(CONTROL!$C$22, $C$13, 100%, $E$13)</f>
        <v>13.914199999999999</v>
      </c>
      <c r="F705" s="64">
        <f>13.9142 * CHOOSE(CONTROL!$C$22, $C$13, 100%, $E$13)</f>
        <v>13.914199999999999</v>
      </c>
      <c r="G705" s="64">
        <f>13.9144 * CHOOSE(CONTROL!$C$22, $C$13, 100%, $E$13)</f>
        <v>13.914400000000001</v>
      </c>
      <c r="H705" s="64">
        <f>22.9631* CHOOSE(CONTROL!$C$22, $C$13, 100%, $E$13)</f>
        <v>22.963100000000001</v>
      </c>
      <c r="I705" s="64">
        <f>22.9633 * CHOOSE(CONTROL!$C$22, $C$13, 100%, $E$13)</f>
        <v>22.9633</v>
      </c>
      <c r="J705" s="64">
        <f>13.9142 * CHOOSE(CONTROL!$C$22, $C$13, 100%, $E$13)</f>
        <v>13.914199999999999</v>
      </c>
      <c r="K705" s="64">
        <f>13.9144 * CHOOSE(CONTROL!$C$22, $C$13, 100%, $E$13)</f>
        <v>13.914400000000001</v>
      </c>
    </row>
    <row r="706" spans="1:11" ht="15">
      <c r="A706" s="13">
        <v>63129</v>
      </c>
      <c r="B706" s="63">
        <f>11.8803 * CHOOSE(CONTROL!$C$22, $C$13, 100%, $E$13)</f>
        <v>11.8803</v>
      </c>
      <c r="C706" s="63">
        <f>11.8803 * CHOOSE(CONTROL!$C$22, $C$13, 100%, $E$13)</f>
        <v>11.8803</v>
      </c>
      <c r="D706" s="63">
        <f>11.8977 * CHOOSE(CONTROL!$C$22, $C$13, 100%, $E$13)</f>
        <v>11.8977</v>
      </c>
      <c r="E706" s="64">
        <f>13.9479 * CHOOSE(CONTROL!$C$22, $C$13, 100%, $E$13)</f>
        <v>13.947900000000001</v>
      </c>
      <c r="F706" s="64">
        <f>13.9479 * CHOOSE(CONTROL!$C$22, $C$13, 100%, $E$13)</f>
        <v>13.947900000000001</v>
      </c>
      <c r="G706" s="64">
        <f>13.9481 * CHOOSE(CONTROL!$C$22, $C$13, 100%, $E$13)</f>
        <v>13.9481</v>
      </c>
      <c r="H706" s="64">
        <f>23.0109* CHOOSE(CONTROL!$C$22, $C$13, 100%, $E$13)</f>
        <v>23.010899999999999</v>
      </c>
      <c r="I706" s="64">
        <f>23.0111 * CHOOSE(CONTROL!$C$22, $C$13, 100%, $E$13)</f>
        <v>23.011099999999999</v>
      </c>
      <c r="J706" s="64">
        <f>13.9479 * CHOOSE(CONTROL!$C$22, $C$13, 100%, $E$13)</f>
        <v>13.947900000000001</v>
      </c>
      <c r="K706" s="64">
        <f>13.9481 * CHOOSE(CONTROL!$C$22, $C$13, 100%, $E$13)</f>
        <v>13.9481</v>
      </c>
    </row>
    <row r="707" spans="1:11" ht="15">
      <c r="A707" s="13">
        <v>63159</v>
      </c>
      <c r="B707" s="63">
        <f>11.8803 * CHOOSE(CONTROL!$C$22, $C$13, 100%, $E$13)</f>
        <v>11.8803</v>
      </c>
      <c r="C707" s="63">
        <f>11.8803 * CHOOSE(CONTROL!$C$22, $C$13, 100%, $E$13)</f>
        <v>11.8803</v>
      </c>
      <c r="D707" s="63">
        <f>11.8977 * CHOOSE(CONTROL!$C$22, $C$13, 100%, $E$13)</f>
        <v>11.8977</v>
      </c>
      <c r="E707" s="64">
        <f>13.8688 * CHOOSE(CONTROL!$C$22, $C$13, 100%, $E$13)</f>
        <v>13.8688</v>
      </c>
      <c r="F707" s="64">
        <f>13.8688 * CHOOSE(CONTROL!$C$22, $C$13, 100%, $E$13)</f>
        <v>13.8688</v>
      </c>
      <c r="G707" s="64">
        <f>13.869 * CHOOSE(CONTROL!$C$22, $C$13, 100%, $E$13)</f>
        <v>13.869</v>
      </c>
      <c r="H707" s="64">
        <f>23.0589* CHOOSE(CONTROL!$C$22, $C$13, 100%, $E$13)</f>
        <v>23.058900000000001</v>
      </c>
      <c r="I707" s="64">
        <f>23.0591 * CHOOSE(CONTROL!$C$22, $C$13, 100%, $E$13)</f>
        <v>23.059100000000001</v>
      </c>
      <c r="J707" s="64">
        <f>13.8688 * CHOOSE(CONTROL!$C$22, $C$13, 100%, $E$13)</f>
        <v>13.8688</v>
      </c>
      <c r="K707" s="64">
        <f>13.869 * CHOOSE(CONTROL!$C$22, $C$13, 100%, $E$13)</f>
        <v>13.869</v>
      </c>
    </row>
    <row r="708" spans="1:11" ht="15">
      <c r="A708" s="13">
        <v>63190</v>
      </c>
      <c r="B708" s="63">
        <f>11.9089 * CHOOSE(CONTROL!$C$22, $C$13, 100%, $E$13)</f>
        <v>11.908899999999999</v>
      </c>
      <c r="C708" s="63">
        <f>11.9089 * CHOOSE(CONTROL!$C$22, $C$13, 100%, $E$13)</f>
        <v>11.908899999999999</v>
      </c>
      <c r="D708" s="63">
        <f>11.9263 * CHOOSE(CONTROL!$C$22, $C$13, 100%, $E$13)</f>
        <v>11.926299999999999</v>
      </c>
      <c r="E708" s="64">
        <f>13.958 * CHOOSE(CONTROL!$C$22, $C$13, 100%, $E$13)</f>
        <v>13.958</v>
      </c>
      <c r="F708" s="64">
        <f>13.958 * CHOOSE(CONTROL!$C$22, $C$13, 100%, $E$13)</f>
        <v>13.958</v>
      </c>
      <c r="G708" s="64">
        <f>13.9581 * CHOOSE(CONTROL!$C$22, $C$13, 100%, $E$13)</f>
        <v>13.9581</v>
      </c>
      <c r="H708" s="64">
        <f>22.9829* CHOOSE(CONTROL!$C$22, $C$13, 100%, $E$13)</f>
        <v>22.982900000000001</v>
      </c>
      <c r="I708" s="64">
        <f>22.9831 * CHOOSE(CONTROL!$C$22, $C$13, 100%, $E$13)</f>
        <v>22.9831</v>
      </c>
      <c r="J708" s="64">
        <f>13.958 * CHOOSE(CONTROL!$C$22, $C$13, 100%, $E$13)</f>
        <v>13.958</v>
      </c>
      <c r="K708" s="64">
        <f>13.9581 * CHOOSE(CONTROL!$C$22, $C$13, 100%, $E$13)</f>
        <v>13.9581</v>
      </c>
    </row>
    <row r="709" spans="1:11" ht="15">
      <c r="A709" s="13">
        <v>63221</v>
      </c>
      <c r="B709" s="63">
        <f>11.9059 * CHOOSE(CONTROL!$C$22, $C$13, 100%, $E$13)</f>
        <v>11.905900000000001</v>
      </c>
      <c r="C709" s="63">
        <f>11.9059 * CHOOSE(CONTROL!$C$22, $C$13, 100%, $E$13)</f>
        <v>11.905900000000001</v>
      </c>
      <c r="D709" s="63">
        <f>11.9232 * CHOOSE(CONTROL!$C$22, $C$13, 100%, $E$13)</f>
        <v>11.9232</v>
      </c>
      <c r="E709" s="64">
        <f>13.8031 * CHOOSE(CONTROL!$C$22, $C$13, 100%, $E$13)</f>
        <v>13.803100000000001</v>
      </c>
      <c r="F709" s="64">
        <f>13.8031 * CHOOSE(CONTROL!$C$22, $C$13, 100%, $E$13)</f>
        <v>13.803100000000001</v>
      </c>
      <c r="G709" s="64">
        <f>13.8033 * CHOOSE(CONTROL!$C$22, $C$13, 100%, $E$13)</f>
        <v>13.8033</v>
      </c>
      <c r="H709" s="64">
        <f>23.0308* CHOOSE(CONTROL!$C$22, $C$13, 100%, $E$13)</f>
        <v>23.030799999999999</v>
      </c>
      <c r="I709" s="64">
        <f>23.031 * CHOOSE(CONTROL!$C$22, $C$13, 100%, $E$13)</f>
        <v>23.030999999999999</v>
      </c>
      <c r="J709" s="64">
        <f>13.8031 * CHOOSE(CONTROL!$C$22, $C$13, 100%, $E$13)</f>
        <v>13.803100000000001</v>
      </c>
      <c r="K709" s="64">
        <f>13.8033 * CHOOSE(CONTROL!$C$22, $C$13, 100%, $E$13)</f>
        <v>13.8033</v>
      </c>
    </row>
    <row r="710" spans="1:11" ht="15">
      <c r="A710" s="13">
        <v>63249</v>
      </c>
      <c r="B710" s="63">
        <f>11.9029 * CHOOSE(CONTROL!$C$22, $C$13, 100%, $E$13)</f>
        <v>11.902900000000001</v>
      </c>
      <c r="C710" s="63">
        <f>11.9029 * CHOOSE(CONTROL!$C$22, $C$13, 100%, $E$13)</f>
        <v>11.902900000000001</v>
      </c>
      <c r="D710" s="63">
        <f>11.9202 * CHOOSE(CONTROL!$C$22, $C$13, 100%, $E$13)</f>
        <v>11.920199999999999</v>
      </c>
      <c r="E710" s="64">
        <f>13.9214 * CHOOSE(CONTROL!$C$22, $C$13, 100%, $E$13)</f>
        <v>13.9214</v>
      </c>
      <c r="F710" s="64">
        <f>13.9214 * CHOOSE(CONTROL!$C$22, $C$13, 100%, $E$13)</f>
        <v>13.9214</v>
      </c>
      <c r="G710" s="64">
        <f>13.9216 * CHOOSE(CONTROL!$C$22, $C$13, 100%, $E$13)</f>
        <v>13.9216</v>
      </c>
      <c r="H710" s="64">
        <f>23.0788* CHOOSE(CONTROL!$C$22, $C$13, 100%, $E$13)</f>
        <v>23.078800000000001</v>
      </c>
      <c r="I710" s="64">
        <f>23.0789 * CHOOSE(CONTROL!$C$22, $C$13, 100%, $E$13)</f>
        <v>23.078900000000001</v>
      </c>
      <c r="J710" s="64">
        <f>13.9214 * CHOOSE(CONTROL!$C$22, $C$13, 100%, $E$13)</f>
        <v>13.9214</v>
      </c>
      <c r="K710" s="64">
        <f>13.9216 * CHOOSE(CONTROL!$C$22, $C$13, 100%, $E$13)</f>
        <v>13.9216</v>
      </c>
    </row>
    <row r="711" spans="1:11" ht="15">
      <c r="A711" s="13">
        <v>63280</v>
      </c>
      <c r="B711" s="63">
        <f>11.9073 * CHOOSE(CONTROL!$C$22, $C$13, 100%, $E$13)</f>
        <v>11.907299999999999</v>
      </c>
      <c r="C711" s="63">
        <f>11.9073 * CHOOSE(CONTROL!$C$22, $C$13, 100%, $E$13)</f>
        <v>11.907299999999999</v>
      </c>
      <c r="D711" s="63">
        <f>11.9246 * CHOOSE(CONTROL!$C$22, $C$13, 100%, $E$13)</f>
        <v>11.9246</v>
      </c>
      <c r="E711" s="64">
        <f>14.0464 * CHOOSE(CONTROL!$C$22, $C$13, 100%, $E$13)</f>
        <v>14.0464</v>
      </c>
      <c r="F711" s="64">
        <f>14.0464 * CHOOSE(CONTROL!$C$22, $C$13, 100%, $E$13)</f>
        <v>14.0464</v>
      </c>
      <c r="G711" s="64">
        <f>14.0466 * CHOOSE(CONTROL!$C$22, $C$13, 100%, $E$13)</f>
        <v>14.0466</v>
      </c>
      <c r="H711" s="64">
        <f>23.1268* CHOOSE(CONTROL!$C$22, $C$13, 100%, $E$13)</f>
        <v>23.126799999999999</v>
      </c>
      <c r="I711" s="64">
        <f>23.127 * CHOOSE(CONTROL!$C$22, $C$13, 100%, $E$13)</f>
        <v>23.126999999999999</v>
      </c>
      <c r="J711" s="64">
        <f>14.0464 * CHOOSE(CONTROL!$C$22, $C$13, 100%, $E$13)</f>
        <v>14.0464</v>
      </c>
      <c r="K711" s="64">
        <f>14.0466 * CHOOSE(CONTROL!$C$22, $C$13, 100%, $E$13)</f>
        <v>14.0466</v>
      </c>
    </row>
    <row r="712" spans="1:11" ht="15">
      <c r="A712" s="13">
        <v>63310</v>
      </c>
      <c r="B712" s="63">
        <f>11.9073 * CHOOSE(CONTROL!$C$22, $C$13, 100%, $E$13)</f>
        <v>11.907299999999999</v>
      </c>
      <c r="C712" s="63">
        <f>11.9073 * CHOOSE(CONTROL!$C$22, $C$13, 100%, $E$13)</f>
        <v>11.907299999999999</v>
      </c>
      <c r="D712" s="63">
        <f>11.942 * CHOOSE(CONTROL!$C$22, $C$13, 100%, $E$13)</f>
        <v>11.942</v>
      </c>
      <c r="E712" s="64">
        <f>14.0949 * CHOOSE(CONTROL!$C$22, $C$13, 100%, $E$13)</f>
        <v>14.094900000000001</v>
      </c>
      <c r="F712" s="64">
        <f>14.0949 * CHOOSE(CONTROL!$C$22, $C$13, 100%, $E$13)</f>
        <v>14.094900000000001</v>
      </c>
      <c r="G712" s="64">
        <f>14.0971 * CHOOSE(CONTROL!$C$22, $C$13, 100%, $E$13)</f>
        <v>14.097099999999999</v>
      </c>
      <c r="H712" s="64">
        <f>23.175* CHOOSE(CONTROL!$C$22, $C$13, 100%, $E$13)</f>
        <v>23.175000000000001</v>
      </c>
      <c r="I712" s="64">
        <f>23.1772 * CHOOSE(CONTROL!$C$22, $C$13, 100%, $E$13)</f>
        <v>23.177199999999999</v>
      </c>
      <c r="J712" s="64">
        <f>14.0949 * CHOOSE(CONTROL!$C$22, $C$13, 100%, $E$13)</f>
        <v>14.094900000000001</v>
      </c>
      <c r="K712" s="64">
        <f>14.0971 * CHOOSE(CONTROL!$C$22, $C$13, 100%, $E$13)</f>
        <v>14.097099999999999</v>
      </c>
    </row>
    <row r="713" spans="1:11" ht="15">
      <c r="A713" s="13">
        <v>63341</v>
      </c>
      <c r="B713" s="63">
        <f>11.9134 * CHOOSE(CONTROL!$C$22, $C$13, 100%, $E$13)</f>
        <v>11.913399999999999</v>
      </c>
      <c r="C713" s="63">
        <f>11.9134 * CHOOSE(CONTROL!$C$22, $C$13, 100%, $E$13)</f>
        <v>11.913399999999999</v>
      </c>
      <c r="D713" s="63">
        <f>11.948 * CHOOSE(CONTROL!$C$22, $C$13, 100%, $E$13)</f>
        <v>11.948</v>
      </c>
      <c r="E713" s="64">
        <f>14.0507 * CHOOSE(CONTROL!$C$22, $C$13, 100%, $E$13)</f>
        <v>14.050700000000001</v>
      </c>
      <c r="F713" s="64">
        <f>14.0507 * CHOOSE(CONTROL!$C$22, $C$13, 100%, $E$13)</f>
        <v>14.050700000000001</v>
      </c>
      <c r="G713" s="64">
        <f>14.0528 * CHOOSE(CONTROL!$C$22, $C$13, 100%, $E$13)</f>
        <v>14.0528</v>
      </c>
      <c r="H713" s="64">
        <f>23.2233* CHOOSE(CONTROL!$C$22, $C$13, 100%, $E$13)</f>
        <v>23.223299999999998</v>
      </c>
      <c r="I713" s="64">
        <f>23.2254 * CHOOSE(CONTROL!$C$22, $C$13, 100%, $E$13)</f>
        <v>23.2254</v>
      </c>
      <c r="J713" s="64">
        <f>14.0507 * CHOOSE(CONTROL!$C$22, $C$13, 100%, $E$13)</f>
        <v>14.050700000000001</v>
      </c>
      <c r="K713" s="64">
        <f>14.0528 * CHOOSE(CONTROL!$C$22, $C$13, 100%, $E$13)</f>
        <v>14.0528</v>
      </c>
    </row>
    <row r="714" spans="1:11" ht="15">
      <c r="A714" s="13">
        <v>63371</v>
      </c>
      <c r="B714" s="63">
        <f>12.1019 * CHOOSE(CONTROL!$C$22, $C$13, 100%, $E$13)</f>
        <v>12.101900000000001</v>
      </c>
      <c r="C714" s="63">
        <f>12.1019 * CHOOSE(CONTROL!$C$22, $C$13, 100%, $E$13)</f>
        <v>12.101900000000001</v>
      </c>
      <c r="D714" s="63">
        <f>12.1365 * CHOOSE(CONTROL!$C$22, $C$13, 100%, $E$13)</f>
        <v>12.1365</v>
      </c>
      <c r="E714" s="64">
        <f>14.3199 * CHOOSE(CONTROL!$C$22, $C$13, 100%, $E$13)</f>
        <v>14.319900000000001</v>
      </c>
      <c r="F714" s="64">
        <f>14.3199 * CHOOSE(CONTROL!$C$22, $C$13, 100%, $E$13)</f>
        <v>14.319900000000001</v>
      </c>
      <c r="G714" s="64">
        <f>14.322 * CHOOSE(CONTROL!$C$22, $C$13, 100%, $E$13)</f>
        <v>14.321999999999999</v>
      </c>
      <c r="H714" s="64">
        <f>23.2717* CHOOSE(CONTROL!$C$22, $C$13, 100%, $E$13)</f>
        <v>23.271699999999999</v>
      </c>
      <c r="I714" s="64">
        <f>23.2738 * CHOOSE(CONTROL!$C$22, $C$13, 100%, $E$13)</f>
        <v>23.273800000000001</v>
      </c>
      <c r="J714" s="64">
        <f>14.3199 * CHOOSE(CONTROL!$C$22, $C$13, 100%, $E$13)</f>
        <v>14.319900000000001</v>
      </c>
      <c r="K714" s="64">
        <f>14.322 * CHOOSE(CONTROL!$C$22, $C$13, 100%, $E$13)</f>
        <v>14.321999999999999</v>
      </c>
    </row>
    <row r="715" spans="1:11" ht="15">
      <c r="A715" s="13">
        <v>63402</v>
      </c>
      <c r="B715" s="63">
        <f>12.1086 * CHOOSE(CONTROL!$C$22, $C$13, 100%, $E$13)</f>
        <v>12.108599999999999</v>
      </c>
      <c r="C715" s="63">
        <f>12.1086 * CHOOSE(CONTROL!$C$22, $C$13, 100%, $E$13)</f>
        <v>12.108599999999999</v>
      </c>
      <c r="D715" s="63">
        <f>12.1432 * CHOOSE(CONTROL!$C$22, $C$13, 100%, $E$13)</f>
        <v>12.1432</v>
      </c>
      <c r="E715" s="64">
        <f>14.1791 * CHOOSE(CONTROL!$C$22, $C$13, 100%, $E$13)</f>
        <v>14.1791</v>
      </c>
      <c r="F715" s="64">
        <f>14.1791 * CHOOSE(CONTROL!$C$22, $C$13, 100%, $E$13)</f>
        <v>14.1791</v>
      </c>
      <c r="G715" s="64">
        <f>14.1812 * CHOOSE(CONTROL!$C$22, $C$13, 100%, $E$13)</f>
        <v>14.1812</v>
      </c>
      <c r="H715" s="64">
        <f>23.3202* CHOOSE(CONTROL!$C$22, $C$13, 100%, $E$13)</f>
        <v>23.3202</v>
      </c>
      <c r="I715" s="64">
        <f>23.3223 * CHOOSE(CONTROL!$C$22, $C$13, 100%, $E$13)</f>
        <v>23.322299999999998</v>
      </c>
      <c r="J715" s="64">
        <f>14.1791 * CHOOSE(CONTROL!$C$22, $C$13, 100%, $E$13)</f>
        <v>14.1791</v>
      </c>
      <c r="K715" s="64">
        <f>14.1812 * CHOOSE(CONTROL!$C$22, $C$13, 100%, $E$13)</f>
        <v>14.1812</v>
      </c>
    </row>
    <row r="716" spans="1:11" ht="15">
      <c r="A716" s="13">
        <v>63433</v>
      </c>
      <c r="B716" s="63">
        <f>12.1055 * CHOOSE(CONTROL!$C$22, $C$13, 100%, $E$13)</f>
        <v>12.105499999999999</v>
      </c>
      <c r="C716" s="63">
        <f>12.1055 * CHOOSE(CONTROL!$C$22, $C$13, 100%, $E$13)</f>
        <v>12.105499999999999</v>
      </c>
      <c r="D716" s="63">
        <f>12.1402 * CHOOSE(CONTROL!$C$22, $C$13, 100%, $E$13)</f>
        <v>12.1402</v>
      </c>
      <c r="E716" s="64">
        <f>14.1608 * CHOOSE(CONTROL!$C$22, $C$13, 100%, $E$13)</f>
        <v>14.1608</v>
      </c>
      <c r="F716" s="64">
        <f>14.1608 * CHOOSE(CONTROL!$C$22, $C$13, 100%, $E$13)</f>
        <v>14.1608</v>
      </c>
      <c r="G716" s="64">
        <f>14.163 * CHOOSE(CONTROL!$C$22, $C$13, 100%, $E$13)</f>
        <v>14.163</v>
      </c>
      <c r="H716" s="64">
        <f>23.3687* CHOOSE(CONTROL!$C$22, $C$13, 100%, $E$13)</f>
        <v>23.3687</v>
      </c>
      <c r="I716" s="64">
        <f>23.3709 * CHOOSE(CONTROL!$C$22, $C$13, 100%, $E$13)</f>
        <v>23.370899999999999</v>
      </c>
      <c r="J716" s="64">
        <f>14.1608 * CHOOSE(CONTROL!$C$22, $C$13, 100%, $E$13)</f>
        <v>14.1608</v>
      </c>
      <c r="K716" s="64">
        <f>14.163 * CHOOSE(CONTROL!$C$22, $C$13, 100%, $E$13)</f>
        <v>14.163</v>
      </c>
    </row>
    <row r="717" spans="1:11" ht="15">
      <c r="A717" s="13">
        <v>63463</v>
      </c>
      <c r="B717" s="63">
        <f>12.1273 * CHOOSE(CONTROL!$C$22, $C$13, 100%, $E$13)</f>
        <v>12.1273</v>
      </c>
      <c r="C717" s="63">
        <f>12.1273 * CHOOSE(CONTROL!$C$22, $C$13, 100%, $E$13)</f>
        <v>12.1273</v>
      </c>
      <c r="D717" s="63">
        <f>12.1446 * CHOOSE(CONTROL!$C$22, $C$13, 100%, $E$13)</f>
        <v>12.144600000000001</v>
      </c>
      <c r="E717" s="64">
        <f>14.212 * CHOOSE(CONTROL!$C$22, $C$13, 100%, $E$13)</f>
        <v>14.212</v>
      </c>
      <c r="F717" s="64">
        <f>14.212 * CHOOSE(CONTROL!$C$22, $C$13, 100%, $E$13)</f>
        <v>14.212</v>
      </c>
      <c r="G717" s="64">
        <f>14.2122 * CHOOSE(CONTROL!$C$22, $C$13, 100%, $E$13)</f>
        <v>14.212199999999999</v>
      </c>
      <c r="H717" s="64">
        <f>23.4174* CHOOSE(CONTROL!$C$22, $C$13, 100%, $E$13)</f>
        <v>23.417400000000001</v>
      </c>
      <c r="I717" s="64">
        <f>23.4176 * CHOOSE(CONTROL!$C$22, $C$13, 100%, $E$13)</f>
        <v>23.4176</v>
      </c>
      <c r="J717" s="64">
        <f>14.212 * CHOOSE(CONTROL!$C$22, $C$13, 100%, $E$13)</f>
        <v>14.212</v>
      </c>
      <c r="K717" s="64">
        <f>14.2122 * CHOOSE(CONTROL!$C$22, $C$13, 100%, $E$13)</f>
        <v>14.212199999999999</v>
      </c>
    </row>
    <row r="718" spans="1:11" ht="15">
      <c r="A718" s="13">
        <v>63494</v>
      </c>
      <c r="B718" s="63">
        <f>12.1304 * CHOOSE(CONTROL!$C$22, $C$13, 100%, $E$13)</f>
        <v>12.1304</v>
      </c>
      <c r="C718" s="63">
        <f>12.1304 * CHOOSE(CONTROL!$C$22, $C$13, 100%, $E$13)</f>
        <v>12.1304</v>
      </c>
      <c r="D718" s="63">
        <f>12.1477 * CHOOSE(CONTROL!$C$22, $C$13, 100%, $E$13)</f>
        <v>12.1477</v>
      </c>
      <c r="E718" s="64">
        <f>14.2465 * CHOOSE(CONTROL!$C$22, $C$13, 100%, $E$13)</f>
        <v>14.246499999999999</v>
      </c>
      <c r="F718" s="64">
        <f>14.2465 * CHOOSE(CONTROL!$C$22, $C$13, 100%, $E$13)</f>
        <v>14.246499999999999</v>
      </c>
      <c r="G718" s="64">
        <f>14.2467 * CHOOSE(CONTROL!$C$22, $C$13, 100%, $E$13)</f>
        <v>14.246700000000001</v>
      </c>
      <c r="H718" s="64">
        <f>23.4662* CHOOSE(CONTROL!$C$22, $C$13, 100%, $E$13)</f>
        <v>23.466200000000001</v>
      </c>
      <c r="I718" s="64">
        <f>23.4664 * CHOOSE(CONTROL!$C$22, $C$13, 100%, $E$13)</f>
        <v>23.4664</v>
      </c>
      <c r="J718" s="64">
        <f>14.2465 * CHOOSE(CONTROL!$C$22, $C$13, 100%, $E$13)</f>
        <v>14.246499999999999</v>
      </c>
      <c r="K718" s="64">
        <f>14.2467 * CHOOSE(CONTROL!$C$22, $C$13, 100%, $E$13)</f>
        <v>14.246700000000001</v>
      </c>
    </row>
    <row r="719" spans="1:11" ht="15">
      <c r="A719" s="13">
        <v>63524</v>
      </c>
      <c r="B719" s="63">
        <f>12.1304 * CHOOSE(CONTROL!$C$22, $C$13, 100%, $E$13)</f>
        <v>12.1304</v>
      </c>
      <c r="C719" s="63">
        <f>12.1304 * CHOOSE(CONTROL!$C$22, $C$13, 100%, $E$13)</f>
        <v>12.1304</v>
      </c>
      <c r="D719" s="63">
        <f>12.1477 * CHOOSE(CONTROL!$C$22, $C$13, 100%, $E$13)</f>
        <v>12.1477</v>
      </c>
      <c r="E719" s="64">
        <f>14.1657 * CHOOSE(CONTROL!$C$22, $C$13, 100%, $E$13)</f>
        <v>14.165699999999999</v>
      </c>
      <c r="F719" s="64">
        <f>14.1657 * CHOOSE(CONTROL!$C$22, $C$13, 100%, $E$13)</f>
        <v>14.165699999999999</v>
      </c>
      <c r="G719" s="64">
        <f>14.1659 * CHOOSE(CONTROL!$C$22, $C$13, 100%, $E$13)</f>
        <v>14.165900000000001</v>
      </c>
      <c r="H719" s="64">
        <f>23.5151* CHOOSE(CONTROL!$C$22, $C$13, 100%, $E$13)</f>
        <v>23.5151</v>
      </c>
      <c r="I719" s="64">
        <f>23.5153 * CHOOSE(CONTROL!$C$22, $C$13, 100%, $E$13)</f>
        <v>23.5153</v>
      </c>
      <c r="J719" s="64">
        <f>14.1657 * CHOOSE(CONTROL!$C$22, $C$13, 100%, $E$13)</f>
        <v>14.165699999999999</v>
      </c>
      <c r="K719" s="64">
        <f>14.1659 * CHOOSE(CONTROL!$C$22, $C$13, 100%, $E$13)</f>
        <v>14.165900000000001</v>
      </c>
    </row>
    <row r="720" spans="1:11" ht="15">
      <c r="A720" s="13">
        <v>63555</v>
      </c>
      <c r="B720" s="63">
        <f>12.1543 * CHOOSE(CONTROL!$C$22, $C$13, 100%, $E$13)</f>
        <v>12.154299999999999</v>
      </c>
      <c r="C720" s="63">
        <f>12.1543 * CHOOSE(CONTROL!$C$22, $C$13, 100%, $E$13)</f>
        <v>12.154299999999999</v>
      </c>
      <c r="D720" s="63">
        <f>12.1716 * CHOOSE(CONTROL!$C$22, $C$13, 100%, $E$13)</f>
        <v>12.1716</v>
      </c>
      <c r="E720" s="64">
        <f>14.2504 * CHOOSE(CONTROL!$C$22, $C$13, 100%, $E$13)</f>
        <v>14.250400000000001</v>
      </c>
      <c r="F720" s="64">
        <f>14.2504 * CHOOSE(CONTROL!$C$22, $C$13, 100%, $E$13)</f>
        <v>14.250400000000001</v>
      </c>
      <c r="G720" s="64">
        <f>14.2505 * CHOOSE(CONTROL!$C$22, $C$13, 100%, $E$13)</f>
        <v>14.250500000000001</v>
      </c>
      <c r="H720" s="64">
        <f>23.4288* CHOOSE(CONTROL!$C$22, $C$13, 100%, $E$13)</f>
        <v>23.428799999999999</v>
      </c>
      <c r="I720" s="64">
        <f>23.429 * CHOOSE(CONTROL!$C$22, $C$13, 100%, $E$13)</f>
        <v>23.428999999999998</v>
      </c>
      <c r="J720" s="64">
        <f>14.2504 * CHOOSE(CONTROL!$C$22, $C$13, 100%, $E$13)</f>
        <v>14.250400000000001</v>
      </c>
      <c r="K720" s="64">
        <f>14.2505 * CHOOSE(CONTROL!$C$22, $C$13, 100%, $E$13)</f>
        <v>14.250500000000001</v>
      </c>
    </row>
    <row r="721" spans="1:11" ht="15">
      <c r="A721" s="13">
        <v>63586</v>
      </c>
      <c r="B721" s="63">
        <f>12.1512 * CHOOSE(CONTROL!$C$22, $C$13, 100%, $E$13)</f>
        <v>12.151199999999999</v>
      </c>
      <c r="C721" s="63">
        <f>12.1512 * CHOOSE(CONTROL!$C$22, $C$13, 100%, $E$13)</f>
        <v>12.151199999999999</v>
      </c>
      <c r="D721" s="63">
        <f>12.1685 * CHOOSE(CONTROL!$C$22, $C$13, 100%, $E$13)</f>
        <v>12.1685</v>
      </c>
      <c r="E721" s="64">
        <f>14.0923 * CHOOSE(CONTROL!$C$22, $C$13, 100%, $E$13)</f>
        <v>14.0923</v>
      </c>
      <c r="F721" s="64">
        <f>14.0923 * CHOOSE(CONTROL!$C$22, $C$13, 100%, $E$13)</f>
        <v>14.0923</v>
      </c>
      <c r="G721" s="64">
        <f>14.0925 * CHOOSE(CONTROL!$C$22, $C$13, 100%, $E$13)</f>
        <v>14.092499999999999</v>
      </c>
      <c r="H721" s="64">
        <f>23.4776* CHOOSE(CONTROL!$C$22, $C$13, 100%, $E$13)</f>
        <v>23.477599999999999</v>
      </c>
      <c r="I721" s="64">
        <f>23.4778 * CHOOSE(CONTROL!$C$22, $C$13, 100%, $E$13)</f>
        <v>23.477799999999998</v>
      </c>
      <c r="J721" s="64">
        <f>14.0923 * CHOOSE(CONTROL!$C$22, $C$13, 100%, $E$13)</f>
        <v>14.0923</v>
      </c>
      <c r="K721" s="64">
        <f>14.0925 * CHOOSE(CONTROL!$C$22, $C$13, 100%, $E$13)</f>
        <v>14.092499999999999</v>
      </c>
    </row>
    <row r="722" spans="1:11" ht="15">
      <c r="A722" s="13">
        <v>63614</v>
      </c>
      <c r="B722" s="63">
        <f>12.1482 * CHOOSE(CONTROL!$C$22, $C$13, 100%, $E$13)</f>
        <v>12.148199999999999</v>
      </c>
      <c r="C722" s="63">
        <f>12.1482 * CHOOSE(CONTROL!$C$22, $C$13, 100%, $E$13)</f>
        <v>12.148199999999999</v>
      </c>
      <c r="D722" s="63">
        <f>12.1655 * CHOOSE(CONTROL!$C$22, $C$13, 100%, $E$13)</f>
        <v>12.1655</v>
      </c>
      <c r="E722" s="64">
        <f>14.2131 * CHOOSE(CONTROL!$C$22, $C$13, 100%, $E$13)</f>
        <v>14.213100000000001</v>
      </c>
      <c r="F722" s="64">
        <f>14.2131 * CHOOSE(CONTROL!$C$22, $C$13, 100%, $E$13)</f>
        <v>14.213100000000001</v>
      </c>
      <c r="G722" s="64">
        <f>14.2133 * CHOOSE(CONTROL!$C$22, $C$13, 100%, $E$13)</f>
        <v>14.2133</v>
      </c>
      <c r="H722" s="64">
        <f>23.5265* CHOOSE(CONTROL!$C$22, $C$13, 100%, $E$13)</f>
        <v>23.526499999999999</v>
      </c>
      <c r="I722" s="64">
        <f>23.5267 * CHOOSE(CONTROL!$C$22, $C$13, 100%, $E$13)</f>
        <v>23.526700000000002</v>
      </c>
      <c r="J722" s="64">
        <f>14.2131 * CHOOSE(CONTROL!$C$22, $C$13, 100%, $E$13)</f>
        <v>14.213100000000001</v>
      </c>
      <c r="K722" s="64">
        <f>14.2133 * CHOOSE(CONTROL!$C$22, $C$13, 100%, $E$13)</f>
        <v>14.2133</v>
      </c>
    </row>
    <row r="723" spans="1:11" ht="15">
      <c r="A723" s="13">
        <v>63645</v>
      </c>
      <c r="B723" s="63">
        <f>12.1528 * CHOOSE(CONTROL!$C$22, $C$13, 100%, $E$13)</f>
        <v>12.152799999999999</v>
      </c>
      <c r="C723" s="63">
        <f>12.1528 * CHOOSE(CONTROL!$C$22, $C$13, 100%, $E$13)</f>
        <v>12.152799999999999</v>
      </c>
      <c r="D723" s="63">
        <f>12.1702 * CHOOSE(CONTROL!$C$22, $C$13, 100%, $E$13)</f>
        <v>12.170199999999999</v>
      </c>
      <c r="E723" s="64">
        <f>14.3409 * CHOOSE(CONTROL!$C$22, $C$13, 100%, $E$13)</f>
        <v>14.3409</v>
      </c>
      <c r="F723" s="64">
        <f>14.3409 * CHOOSE(CONTROL!$C$22, $C$13, 100%, $E$13)</f>
        <v>14.3409</v>
      </c>
      <c r="G723" s="64">
        <f>14.3411 * CHOOSE(CONTROL!$C$22, $C$13, 100%, $E$13)</f>
        <v>14.341100000000001</v>
      </c>
      <c r="H723" s="64">
        <f>23.5755* CHOOSE(CONTROL!$C$22, $C$13, 100%, $E$13)</f>
        <v>23.575500000000002</v>
      </c>
      <c r="I723" s="64">
        <f>23.5757 * CHOOSE(CONTROL!$C$22, $C$13, 100%, $E$13)</f>
        <v>23.575700000000001</v>
      </c>
      <c r="J723" s="64">
        <f>14.3409 * CHOOSE(CONTROL!$C$22, $C$13, 100%, $E$13)</f>
        <v>14.3409</v>
      </c>
      <c r="K723" s="64">
        <f>14.3411 * CHOOSE(CONTROL!$C$22, $C$13, 100%, $E$13)</f>
        <v>14.341100000000001</v>
      </c>
    </row>
    <row r="724" spans="1:11" ht="15">
      <c r="A724" s="13">
        <v>63675</v>
      </c>
      <c r="B724" s="63">
        <f>12.1528 * CHOOSE(CONTROL!$C$22, $C$13, 100%, $E$13)</f>
        <v>12.152799999999999</v>
      </c>
      <c r="C724" s="63">
        <f>12.1528 * CHOOSE(CONTROL!$C$22, $C$13, 100%, $E$13)</f>
        <v>12.152799999999999</v>
      </c>
      <c r="D724" s="63">
        <f>12.1875 * CHOOSE(CONTROL!$C$22, $C$13, 100%, $E$13)</f>
        <v>12.1875</v>
      </c>
      <c r="E724" s="64">
        <f>14.3904 * CHOOSE(CONTROL!$C$22, $C$13, 100%, $E$13)</f>
        <v>14.3904</v>
      </c>
      <c r="F724" s="64">
        <f>14.3904 * CHOOSE(CONTROL!$C$22, $C$13, 100%, $E$13)</f>
        <v>14.3904</v>
      </c>
      <c r="G724" s="64">
        <f>14.3925 * CHOOSE(CONTROL!$C$22, $C$13, 100%, $E$13)</f>
        <v>14.3925</v>
      </c>
      <c r="H724" s="64">
        <f>23.6246* CHOOSE(CONTROL!$C$22, $C$13, 100%, $E$13)</f>
        <v>23.624600000000001</v>
      </c>
      <c r="I724" s="64">
        <f>23.6268 * CHOOSE(CONTROL!$C$22, $C$13, 100%, $E$13)</f>
        <v>23.626799999999999</v>
      </c>
      <c r="J724" s="64">
        <f>14.3904 * CHOOSE(CONTROL!$C$22, $C$13, 100%, $E$13)</f>
        <v>14.3904</v>
      </c>
      <c r="K724" s="64">
        <f>14.3925 * CHOOSE(CONTROL!$C$22, $C$13, 100%, $E$13)</f>
        <v>14.3925</v>
      </c>
    </row>
    <row r="725" spans="1:11" ht="15">
      <c r="A725" s="13">
        <v>63706</v>
      </c>
      <c r="B725" s="63">
        <f>12.1589 * CHOOSE(CONTROL!$C$22, $C$13, 100%, $E$13)</f>
        <v>12.158899999999999</v>
      </c>
      <c r="C725" s="63">
        <f>12.1589 * CHOOSE(CONTROL!$C$22, $C$13, 100%, $E$13)</f>
        <v>12.158899999999999</v>
      </c>
      <c r="D725" s="63">
        <f>12.1936 * CHOOSE(CONTROL!$C$22, $C$13, 100%, $E$13)</f>
        <v>12.1936</v>
      </c>
      <c r="E725" s="64">
        <f>14.3451 * CHOOSE(CONTROL!$C$22, $C$13, 100%, $E$13)</f>
        <v>14.3451</v>
      </c>
      <c r="F725" s="64">
        <f>14.3451 * CHOOSE(CONTROL!$C$22, $C$13, 100%, $E$13)</f>
        <v>14.3451</v>
      </c>
      <c r="G725" s="64">
        <f>14.3473 * CHOOSE(CONTROL!$C$22, $C$13, 100%, $E$13)</f>
        <v>14.347300000000001</v>
      </c>
      <c r="H725" s="64">
        <f>23.6739* CHOOSE(CONTROL!$C$22, $C$13, 100%, $E$13)</f>
        <v>23.6739</v>
      </c>
      <c r="I725" s="64">
        <f>23.676 * CHOOSE(CONTROL!$C$22, $C$13, 100%, $E$13)</f>
        <v>23.675999999999998</v>
      </c>
      <c r="J725" s="64">
        <f>14.3451 * CHOOSE(CONTROL!$C$22, $C$13, 100%, $E$13)</f>
        <v>14.3451</v>
      </c>
      <c r="K725" s="64">
        <f>14.3473 * CHOOSE(CONTROL!$C$22, $C$13, 100%, $E$13)</f>
        <v>14.347300000000001</v>
      </c>
    </row>
    <row r="726" spans="1:11" ht="15">
      <c r="A726" s="13">
        <v>63736</v>
      </c>
      <c r="B726" s="63">
        <f>12.3511 * CHOOSE(CONTROL!$C$22, $C$13, 100%, $E$13)</f>
        <v>12.351100000000001</v>
      </c>
      <c r="C726" s="63">
        <f>12.3511 * CHOOSE(CONTROL!$C$22, $C$13, 100%, $E$13)</f>
        <v>12.351100000000001</v>
      </c>
      <c r="D726" s="63">
        <f>12.3857 * CHOOSE(CONTROL!$C$22, $C$13, 100%, $E$13)</f>
        <v>12.3857</v>
      </c>
      <c r="E726" s="64">
        <f>14.6198 * CHOOSE(CONTROL!$C$22, $C$13, 100%, $E$13)</f>
        <v>14.6198</v>
      </c>
      <c r="F726" s="64">
        <f>14.6198 * CHOOSE(CONTROL!$C$22, $C$13, 100%, $E$13)</f>
        <v>14.6198</v>
      </c>
      <c r="G726" s="64">
        <f>14.6219 * CHOOSE(CONTROL!$C$22, $C$13, 100%, $E$13)</f>
        <v>14.6219</v>
      </c>
      <c r="H726" s="64">
        <f>23.7232* CHOOSE(CONTROL!$C$22, $C$13, 100%, $E$13)</f>
        <v>23.723199999999999</v>
      </c>
      <c r="I726" s="64">
        <f>23.7253 * CHOOSE(CONTROL!$C$22, $C$13, 100%, $E$13)</f>
        <v>23.725300000000001</v>
      </c>
      <c r="J726" s="64">
        <f>14.6198 * CHOOSE(CONTROL!$C$22, $C$13, 100%, $E$13)</f>
        <v>14.6198</v>
      </c>
      <c r="K726" s="64">
        <f>14.6219 * CHOOSE(CONTROL!$C$22, $C$13, 100%, $E$13)</f>
        <v>14.6219</v>
      </c>
    </row>
    <row r="727" spans="1:11" ht="15">
      <c r="A727" s="13">
        <v>63767</v>
      </c>
      <c r="B727" s="63">
        <f>12.3578 * CHOOSE(CONTROL!$C$22, $C$13, 100%, $E$13)</f>
        <v>12.357799999999999</v>
      </c>
      <c r="C727" s="63">
        <f>12.3578 * CHOOSE(CONTROL!$C$22, $C$13, 100%, $E$13)</f>
        <v>12.357799999999999</v>
      </c>
      <c r="D727" s="63">
        <f>12.3924 * CHOOSE(CONTROL!$C$22, $C$13, 100%, $E$13)</f>
        <v>12.3924</v>
      </c>
      <c r="E727" s="64">
        <f>14.4759 * CHOOSE(CONTROL!$C$22, $C$13, 100%, $E$13)</f>
        <v>14.475899999999999</v>
      </c>
      <c r="F727" s="64">
        <f>14.4759 * CHOOSE(CONTROL!$C$22, $C$13, 100%, $E$13)</f>
        <v>14.475899999999999</v>
      </c>
      <c r="G727" s="64">
        <f>14.4781 * CHOOSE(CONTROL!$C$22, $C$13, 100%, $E$13)</f>
        <v>14.4781</v>
      </c>
      <c r="H727" s="64">
        <f>23.7726* CHOOSE(CONTROL!$C$22, $C$13, 100%, $E$13)</f>
        <v>23.772600000000001</v>
      </c>
      <c r="I727" s="64">
        <f>23.7747 * CHOOSE(CONTROL!$C$22, $C$13, 100%, $E$13)</f>
        <v>23.774699999999999</v>
      </c>
      <c r="J727" s="64">
        <f>14.4759 * CHOOSE(CONTROL!$C$22, $C$13, 100%, $E$13)</f>
        <v>14.475899999999999</v>
      </c>
      <c r="K727" s="64">
        <f>14.4781 * CHOOSE(CONTROL!$C$22, $C$13, 100%, $E$13)</f>
        <v>14.4781</v>
      </c>
    </row>
    <row r="728" spans="1:11" ht="15">
      <c r="A728" s="13">
        <v>63798</v>
      </c>
      <c r="B728" s="63">
        <f>12.3547 * CHOOSE(CONTROL!$C$22, $C$13, 100%, $E$13)</f>
        <v>12.354699999999999</v>
      </c>
      <c r="C728" s="63">
        <f>12.3547 * CHOOSE(CONTROL!$C$22, $C$13, 100%, $E$13)</f>
        <v>12.354699999999999</v>
      </c>
      <c r="D728" s="63">
        <f>12.3894 * CHOOSE(CONTROL!$C$22, $C$13, 100%, $E$13)</f>
        <v>12.3894</v>
      </c>
      <c r="E728" s="64">
        <f>14.4573 * CHOOSE(CONTROL!$C$22, $C$13, 100%, $E$13)</f>
        <v>14.4573</v>
      </c>
      <c r="F728" s="64">
        <f>14.4573 * CHOOSE(CONTROL!$C$22, $C$13, 100%, $E$13)</f>
        <v>14.4573</v>
      </c>
      <c r="G728" s="64">
        <f>14.4594 * CHOOSE(CONTROL!$C$22, $C$13, 100%, $E$13)</f>
        <v>14.4594</v>
      </c>
      <c r="H728" s="64">
        <f>23.8221* CHOOSE(CONTROL!$C$22, $C$13, 100%, $E$13)</f>
        <v>23.822099999999999</v>
      </c>
      <c r="I728" s="64">
        <f>23.8243 * CHOOSE(CONTROL!$C$22, $C$13, 100%, $E$13)</f>
        <v>23.824300000000001</v>
      </c>
      <c r="J728" s="64">
        <f>14.4573 * CHOOSE(CONTROL!$C$22, $C$13, 100%, $E$13)</f>
        <v>14.4573</v>
      </c>
      <c r="K728" s="64">
        <f>14.4594 * CHOOSE(CONTROL!$C$22, $C$13, 100%, $E$13)</f>
        <v>14.4594</v>
      </c>
    </row>
    <row r="729" spans="1:11" ht="15">
      <c r="A729" s="13">
        <v>63828</v>
      </c>
      <c r="B729" s="63">
        <f>12.3773 * CHOOSE(CONTROL!$C$22, $C$13, 100%, $E$13)</f>
        <v>12.3773</v>
      </c>
      <c r="C729" s="63">
        <f>12.3773 * CHOOSE(CONTROL!$C$22, $C$13, 100%, $E$13)</f>
        <v>12.3773</v>
      </c>
      <c r="D729" s="63">
        <f>12.3947 * CHOOSE(CONTROL!$C$22, $C$13, 100%, $E$13)</f>
        <v>12.3947</v>
      </c>
      <c r="E729" s="64">
        <f>14.5099 * CHOOSE(CONTROL!$C$22, $C$13, 100%, $E$13)</f>
        <v>14.5099</v>
      </c>
      <c r="F729" s="64">
        <f>14.5099 * CHOOSE(CONTROL!$C$22, $C$13, 100%, $E$13)</f>
        <v>14.5099</v>
      </c>
      <c r="G729" s="64">
        <f>14.5101 * CHOOSE(CONTROL!$C$22, $C$13, 100%, $E$13)</f>
        <v>14.5101</v>
      </c>
      <c r="H729" s="64">
        <f>23.8718* CHOOSE(CONTROL!$C$22, $C$13, 100%, $E$13)</f>
        <v>23.8718</v>
      </c>
      <c r="I729" s="64">
        <f>23.8719 * CHOOSE(CONTROL!$C$22, $C$13, 100%, $E$13)</f>
        <v>23.8719</v>
      </c>
      <c r="J729" s="64">
        <f>14.5099 * CHOOSE(CONTROL!$C$22, $C$13, 100%, $E$13)</f>
        <v>14.5099</v>
      </c>
      <c r="K729" s="64">
        <f>14.5101 * CHOOSE(CONTROL!$C$22, $C$13, 100%, $E$13)</f>
        <v>14.5101</v>
      </c>
    </row>
    <row r="730" spans="1:11" ht="15">
      <c r="A730" s="13">
        <v>63859</v>
      </c>
      <c r="B730" s="63">
        <f>12.3804 * CHOOSE(CONTROL!$C$22, $C$13, 100%, $E$13)</f>
        <v>12.3804</v>
      </c>
      <c r="C730" s="63">
        <f>12.3804 * CHOOSE(CONTROL!$C$22, $C$13, 100%, $E$13)</f>
        <v>12.3804</v>
      </c>
      <c r="D730" s="63">
        <f>12.3977 * CHOOSE(CONTROL!$C$22, $C$13, 100%, $E$13)</f>
        <v>12.3977</v>
      </c>
      <c r="E730" s="64">
        <f>14.545 * CHOOSE(CONTROL!$C$22, $C$13, 100%, $E$13)</f>
        <v>14.545</v>
      </c>
      <c r="F730" s="64">
        <f>14.545 * CHOOSE(CONTROL!$C$22, $C$13, 100%, $E$13)</f>
        <v>14.545</v>
      </c>
      <c r="G730" s="64">
        <f>14.5452 * CHOOSE(CONTROL!$C$22, $C$13, 100%, $E$13)</f>
        <v>14.545199999999999</v>
      </c>
      <c r="H730" s="64">
        <f>23.9215* CHOOSE(CONTROL!$C$22, $C$13, 100%, $E$13)</f>
        <v>23.921500000000002</v>
      </c>
      <c r="I730" s="64">
        <f>23.9217 * CHOOSE(CONTROL!$C$22, $C$13, 100%, $E$13)</f>
        <v>23.921700000000001</v>
      </c>
      <c r="J730" s="64">
        <f>14.545 * CHOOSE(CONTROL!$C$22, $C$13, 100%, $E$13)</f>
        <v>14.545</v>
      </c>
      <c r="K730" s="64">
        <f>14.5452 * CHOOSE(CONTROL!$C$22, $C$13, 100%, $E$13)</f>
        <v>14.545199999999999</v>
      </c>
    </row>
    <row r="731" spans="1:11" ht="15">
      <c r="A731" s="13">
        <v>63889</v>
      </c>
      <c r="B731" s="63">
        <f>12.3804 * CHOOSE(CONTROL!$C$22, $C$13, 100%, $E$13)</f>
        <v>12.3804</v>
      </c>
      <c r="C731" s="63">
        <f>12.3804 * CHOOSE(CONTROL!$C$22, $C$13, 100%, $E$13)</f>
        <v>12.3804</v>
      </c>
      <c r="D731" s="63">
        <f>12.3977 * CHOOSE(CONTROL!$C$22, $C$13, 100%, $E$13)</f>
        <v>12.3977</v>
      </c>
      <c r="E731" s="64">
        <f>14.4625 * CHOOSE(CONTROL!$C$22, $C$13, 100%, $E$13)</f>
        <v>14.4625</v>
      </c>
      <c r="F731" s="64">
        <f>14.4625 * CHOOSE(CONTROL!$C$22, $C$13, 100%, $E$13)</f>
        <v>14.4625</v>
      </c>
      <c r="G731" s="64">
        <f>14.4627 * CHOOSE(CONTROL!$C$22, $C$13, 100%, $E$13)</f>
        <v>14.4627</v>
      </c>
      <c r="H731" s="64">
        <f>23.9713* CHOOSE(CONTROL!$C$22, $C$13, 100%, $E$13)</f>
        <v>23.971299999999999</v>
      </c>
      <c r="I731" s="64">
        <f>23.9715 * CHOOSE(CONTROL!$C$22, $C$13, 100%, $E$13)</f>
        <v>23.971499999999999</v>
      </c>
      <c r="J731" s="64">
        <f>14.4625 * CHOOSE(CONTROL!$C$22, $C$13, 100%, $E$13)</f>
        <v>14.4625</v>
      </c>
      <c r="K731" s="64">
        <f>14.4627 * CHOOSE(CONTROL!$C$22, $C$13, 100%, $E$13)</f>
        <v>14.4627</v>
      </c>
    </row>
    <row r="732" spans="1:11" ht="15">
      <c r="A732" s="13">
        <v>63920</v>
      </c>
      <c r="B732" s="63">
        <f>12.3996 * CHOOSE(CONTROL!$C$22, $C$13, 100%, $E$13)</f>
        <v>12.3996</v>
      </c>
      <c r="C732" s="63">
        <f>12.3996 * CHOOSE(CONTROL!$C$22, $C$13, 100%, $E$13)</f>
        <v>12.3996</v>
      </c>
      <c r="D732" s="63">
        <f>12.4169 * CHOOSE(CONTROL!$C$22, $C$13, 100%, $E$13)</f>
        <v>12.4169</v>
      </c>
      <c r="E732" s="64">
        <f>14.5428 * CHOOSE(CONTROL!$C$22, $C$13, 100%, $E$13)</f>
        <v>14.5428</v>
      </c>
      <c r="F732" s="64">
        <f>14.5428 * CHOOSE(CONTROL!$C$22, $C$13, 100%, $E$13)</f>
        <v>14.5428</v>
      </c>
      <c r="G732" s="64">
        <f>14.543 * CHOOSE(CONTROL!$C$22, $C$13, 100%, $E$13)</f>
        <v>14.542999999999999</v>
      </c>
      <c r="H732" s="64">
        <f>23.8747* CHOOSE(CONTROL!$C$22, $C$13, 100%, $E$13)</f>
        <v>23.874700000000001</v>
      </c>
      <c r="I732" s="64">
        <f>23.8749 * CHOOSE(CONTROL!$C$22, $C$13, 100%, $E$13)</f>
        <v>23.8749</v>
      </c>
      <c r="J732" s="64">
        <f>14.5428 * CHOOSE(CONTROL!$C$22, $C$13, 100%, $E$13)</f>
        <v>14.5428</v>
      </c>
      <c r="K732" s="64">
        <f>14.543 * CHOOSE(CONTROL!$C$22, $C$13, 100%, $E$13)</f>
        <v>14.542999999999999</v>
      </c>
    </row>
    <row r="733" spans="1:11" ht="15">
      <c r="A733" s="13">
        <v>63951</v>
      </c>
      <c r="B733" s="63">
        <f>12.3965 * CHOOSE(CONTROL!$C$22, $C$13, 100%, $E$13)</f>
        <v>12.3965</v>
      </c>
      <c r="C733" s="63">
        <f>12.3965 * CHOOSE(CONTROL!$C$22, $C$13, 100%, $E$13)</f>
        <v>12.3965</v>
      </c>
      <c r="D733" s="63">
        <f>12.4139 * CHOOSE(CONTROL!$C$22, $C$13, 100%, $E$13)</f>
        <v>12.4139</v>
      </c>
      <c r="E733" s="64">
        <f>14.3815 * CHOOSE(CONTROL!$C$22, $C$13, 100%, $E$13)</f>
        <v>14.381500000000001</v>
      </c>
      <c r="F733" s="64">
        <f>14.3815 * CHOOSE(CONTROL!$C$22, $C$13, 100%, $E$13)</f>
        <v>14.381500000000001</v>
      </c>
      <c r="G733" s="64">
        <f>14.3817 * CHOOSE(CONTROL!$C$22, $C$13, 100%, $E$13)</f>
        <v>14.3817</v>
      </c>
      <c r="H733" s="64">
        <f>23.9244* CHOOSE(CONTROL!$C$22, $C$13, 100%, $E$13)</f>
        <v>23.924399999999999</v>
      </c>
      <c r="I733" s="64">
        <f>23.9246 * CHOOSE(CONTROL!$C$22, $C$13, 100%, $E$13)</f>
        <v>23.924600000000002</v>
      </c>
      <c r="J733" s="64">
        <f>14.3815 * CHOOSE(CONTROL!$C$22, $C$13, 100%, $E$13)</f>
        <v>14.381500000000001</v>
      </c>
      <c r="K733" s="64">
        <f>14.3817 * CHOOSE(CONTROL!$C$22, $C$13, 100%, $E$13)</f>
        <v>14.3817</v>
      </c>
    </row>
    <row r="734" spans="1:11" ht="15">
      <c r="A734" s="13">
        <v>63979</v>
      </c>
      <c r="B734" s="63">
        <f>12.3935 * CHOOSE(CONTROL!$C$22, $C$13, 100%, $E$13)</f>
        <v>12.3935</v>
      </c>
      <c r="C734" s="63">
        <f>12.3935 * CHOOSE(CONTROL!$C$22, $C$13, 100%, $E$13)</f>
        <v>12.3935</v>
      </c>
      <c r="D734" s="63">
        <f>12.4108 * CHOOSE(CONTROL!$C$22, $C$13, 100%, $E$13)</f>
        <v>12.4108</v>
      </c>
      <c r="E734" s="64">
        <f>14.5049 * CHOOSE(CONTROL!$C$22, $C$13, 100%, $E$13)</f>
        <v>14.504899999999999</v>
      </c>
      <c r="F734" s="64">
        <f>14.5049 * CHOOSE(CONTROL!$C$22, $C$13, 100%, $E$13)</f>
        <v>14.504899999999999</v>
      </c>
      <c r="G734" s="64">
        <f>14.505 * CHOOSE(CONTROL!$C$22, $C$13, 100%, $E$13)</f>
        <v>14.505000000000001</v>
      </c>
      <c r="H734" s="64">
        <f>23.9743* CHOOSE(CONTROL!$C$22, $C$13, 100%, $E$13)</f>
        <v>23.974299999999999</v>
      </c>
      <c r="I734" s="64">
        <f>23.9744 * CHOOSE(CONTROL!$C$22, $C$13, 100%, $E$13)</f>
        <v>23.974399999999999</v>
      </c>
      <c r="J734" s="64">
        <f>14.5049 * CHOOSE(CONTROL!$C$22, $C$13, 100%, $E$13)</f>
        <v>14.504899999999999</v>
      </c>
      <c r="K734" s="64">
        <f>14.505 * CHOOSE(CONTROL!$C$22, $C$13, 100%, $E$13)</f>
        <v>14.505000000000001</v>
      </c>
    </row>
    <row r="735" spans="1:11" ht="15">
      <c r="A735" s="13">
        <v>64010</v>
      </c>
      <c r="B735" s="63">
        <f>12.3983 * CHOOSE(CONTROL!$C$22, $C$13, 100%, $E$13)</f>
        <v>12.398300000000001</v>
      </c>
      <c r="C735" s="63">
        <f>12.3983 * CHOOSE(CONTROL!$C$22, $C$13, 100%, $E$13)</f>
        <v>12.398300000000001</v>
      </c>
      <c r="D735" s="63">
        <f>12.4157 * CHOOSE(CONTROL!$C$22, $C$13, 100%, $E$13)</f>
        <v>12.415699999999999</v>
      </c>
      <c r="E735" s="64">
        <f>14.6353 * CHOOSE(CONTROL!$C$22, $C$13, 100%, $E$13)</f>
        <v>14.635300000000001</v>
      </c>
      <c r="F735" s="64">
        <f>14.6353 * CHOOSE(CONTROL!$C$22, $C$13, 100%, $E$13)</f>
        <v>14.635300000000001</v>
      </c>
      <c r="G735" s="64">
        <f>14.6355 * CHOOSE(CONTROL!$C$22, $C$13, 100%, $E$13)</f>
        <v>14.6355</v>
      </c>
      <c r="H735" s="64">
        <f>24.0242* CHOOSE(CONTROL!$C$22, $C$13, 100%, $E$13)</f>
        <v>24.0242</v>
      </c>
      <c r="I735" s="64">
        <f>24.0244 * CHOOSE(CONTROL!$C$22, $C$13, 100%, $E$13)</f>
        <v>24.0244</v>
      </c>
      <c r="J735" s="64">
        <f>14.6353 * CHOOSE(CONTROL!$C$22, $C$13, 100%, $E$13)</f>
        <v>14.635300000000001</v>
      </c>
      <c r="K735" s="64">
        <f>14.6355 * CHOOSE(CONTROL!$C$22, $C$13, 100%, $E$13)</f>
        <v>14.6355</v>
      </c>
    </row>
    <row r="736" spans="1:11" ht="15">
      <c r="A736" s="13">
        <v>64040</v>
      </c>
      <c r="B736" s="63">
        <f>12.3983 * CHOOSE(CONTROL!$C$22, $C$13, 100%, $E$13)</f>
        <v>12.398300000000001</v>
      </c>
      <c r="C736" s="63">
        <f>12.3983 * CHOOSE(CONTROL!$C$22, $C$13, 100%, $E$13)</f>
        <v>12.398300000000001</v>
      </c>
      <c r="D736" s="63">
        <f>12.433 * CHOOSE(CONTROL!$C$22, $C$13, 100%, $E$13)</f>
        <v>12.433</v>
      </c>
      <c r="E736" s="64">
        <f>14.6859 * CHOOSE(CONTROL!$C$22, $C$13, 100%, $E$13)</f>
        <v>14.6859</v>
      </c>
      <c r="F736" s="64">
        <f>14.6859 * CHOOSE(CONTROL!$C$22, $C$13, 100%, $E$13)</f>
        <v>14.6859</v>
      </c>
      <c r="G736" s="64">
        <f>14.688 * CHOOSE(CONTROL!$C$22, $C$13, 100%, $E$13)</f>
        <v>14.688000000000001</v>
      </c>
      <c r="H736" s="64">
        <f>24.0743* CHOOSE(CONTROL!$C$22, $C$13, 100%, $E$13)</f>
        <v>24.074300000000001</v>
      </c>
      <c r="I736" s="64">
        <f>24.0764 * CHOOSE(CONTROL!$C$22, $C$13, 100%, $E$13)</f>
        <v>24.0764</v>
      </c>
      <c r="J736" s="64">
        <f>14.6859 * CHOOSE(CONTROL!$C$22, $C$13, 100%, $E$13)</f>
        <v>14.6859</v>
      </c>
      <c r="K736" s="64">
        <f>14.688 * CHOOSE(CONTROL!$C$22, $C$13, 100%, $E$13)</f>
        <v>14.688000000000001</v>
      </c>
    </row>
    <row r="737" spans="1:11" ht="15">
      <c r="A737" s="13">
        <v>64071</v>
      </c>
      <c r="B737" s="63">
        <f>12.4044 * CHOOSE(CONTROL!$C$22, $C$13, 100%, $E$13)</f>
        <v>12.404400000000001</v>
      </c>
      <c r="C737" s="63">
        <f>12.4044 * CHOOSE(CONTROL!$C$22, $C$13, 100%, $E$13)</f>
        <v>12.404400000000001</v>
      </c>
      <c r="D737" s="63">
        <f>12.4391 * CHOOSE(CONTROL!$C$22, $C$13, 100%, $E$13)</f>
        <v>12.4391</v>
      </c>
      <c r="E737" s="64">
        <f>14.6396 * CHOOSE(CONTROL!$C$22, $C$13, 100%, $E$13)</f>
        <v>14.6396</v>
      </c>
      <c r="F737" s="64">
        <f>14.6396 * CHOOSE(CONTROL!$C$22, $C$13, 100%, $E$13)</f>
        <v>14.6396</v>
      </c>
      <c r="G737" s="64">
        <f>14.6417 * CHOOSE(CONTROL!$C$22, $C$13, 100%, $E$13)</f>
        <v>14.6417</v>
      </c>
      <c r="H737" s="64">
        <f>24.1244* CHOOSE(CONTROL!$C$22, $C$13, 100%, $E$13)</f>
        <v>24.124400000000001</v>
      </c>
      <c r="I737" s="64">
        <f>24.1266 * CHOOSE(CONTROL!$C$22, $C$13, 100%, $E$13)</f>
        <v>24.1266</v>
      </c>
      <c r="J737" s="64">
        <f>14.6396 * CHOOSE(CONTROL!$C$22, $C$13, 100%, $E$13)</f>
        <v>14.6396</v>
      </c>
      <c r="K737" s="64">
        <f>14.6417 * CHOOSE(CONTROL!$C$22, $C$13, 100%, $E$13)</f>
        <v>14.6417</v>
      </c>
    </row>
    <row r="738" spans="1:11" ht="15">
      <c r="A738" s="13">
        <v>64101</v>
      </c>
      <c r="B738" s="63">
        <f>12.6003 * CHOOSE(CONTROL!$C$22, $C$13, 100%, $E$13)</f>
        <v>12.600300000000001</v>
      </c>
      <c r="C738" s="63">
        <f>12.6003 * CHOOSE(CONTROL!$C$22, $C$13, 100%, $E$13)</f>
        <v>12.600300000000001</v>
      </c>
      <c r="D738" s="63">
        <f>12.6349 * CHOOSE(CONTROL!$C$22, $C$13, 100%, $E$13)</f>
        <v>12.6349</v>
      </c>
      <c r="E738" s="64">
        <f>14.9196 * CHOOSE(CONTROL!$C$22, $C$13, 100%, $E$13)</f>
        <v>14.919600000000001</v>
      </c>
      <c r="F738" s="64">
        <f>14.9196 * CHOOSE(CONTROL!$C$22, $C$13, 100%, $E$13)</f>
        <v>14.919600000000001</v>
      </c>
      <c r="G738" s="64">
        <f>14.9218 * CHOOSE(CONTROL!$C$22, $C$13, 100%, $E$13)</f>
        <v>14.921799999999999</v>
      </c>
      <c r="H738" s="64">
        <f>24.1747* CHOOSE(CONTROL!$C$22, $C$13, 100%, $E$13)</f>
        <v>24.174700000000001</v>
      </c>
      <c r="I738" s="64">
        <f>24.1768 * CHOOSE(CONTROL!$C$22, $C$13, 100%, $E$13)</f>
        <v>24.1768</v>
      </c>
      <c r="J738" s="64">
        <f>14.9196 * CHOOSE(CONTROL!$C$22, $C$13, 100%, $E$13)</f>
        <v>14.919600000000001</v>
      </c>
      <c r="K738" s="64">
        <f>14.9218 * CHOOSE(CONTROL!$C$22, $C$13, 100%, $E$13)</f>
        <v>14.921799999999999</v>
      </c>
    </row>
    <row r="739" spans="1:11" ht="15">
      <c r="A739" s="13">
        <v>64132</v>
      </c>
      <c r="B739" s="63">
        <f>12.607 * CHOOSE(CONTROL!$C$22, $C$13, 100%, $E$13)</f>
        <v>12.606999999999999</v>
      </c>
      <c r="C739" s="63">
        <f>12.607 * CHOOSE(CONTROL!$C$22, $C$13, 100%, $E$13)</f>
        <v>12.606999999999999</v>
      </c>
      <c r="D739" s="63">
        <f>12.6416 * CHOOSE(CONTROL!$C$22, $C$13, 100%, $E$13)</f>
        <v>12.6416</v>
      </c>
      <c r="E739" s="64">
        <f>14.7728 * CHOOSE(CONTROL!$C$22, $C$13, 100%, $E$13)</f>
        <v>14.7728</v>
      </c>
      <c r="F739" s="64">
        <f>14.7728 * CHOOSE(CONTROL!$C$22, $C$13, 100%, $E$13)</f>
        <v>14.7728</v>
      </c>
      <c r="G739" s="64">
        <f>14.7749 * CHOOSE(CONTROL!$C$22, $C$13, 100%, $E$13)</f>
        <v>14.774900000000001</v>
      </c>
      <c r="H739" s="64">
        <f>24.225* CHOOSE(CONTROL!$C$22, $C$13, 100%, $E$13)</f>
        <v>24.225000000000001</v>
      </c>
      <c r="I739" s="64">
        <f>24.2272 * CHOOSE(CONTROL!$C$22, $C$13, 100%, $E$13)</f>
        <v>24.2272</v>
      </c>
      <c r="J739" s="64">
        <f>14.7728 * CHOOSE(CONTROL!$C$22, $C$13, 100%, $E$13)</f>
        <v>14.7728</v>
      </c>
      <c r="K739" s="64">
        <f>14.7749 * CHOOSE(CONTROL!$C$22, $C$13, 100%, $E$13)</f>
        <v>14.774900000000001</v>
      </c>
    </row>
    <row r="740" spans="1:11" ht="15">
      <c r="A740" s="13">
        <v>64163</v>
      </c>
      <c r="B740" s="63">
        <f>12.6039 * CHOOSE(CONTROL!$C$22, $C$13, 100%, $E$13)</f>
        <v>12.603899999999999</v>
      </c>
      <c r="C740" s="63">
        <f>12.6039 * CHOOSE(CONTROL!$C$22, $C$13, 100%, $E$13)</f>
        <v>12.603899999999999</v>
      </c>
      <c r="D740" s="63">
        <f>12.6386 * CHOOSE(CONTROL!$C$22, $C$13, 100%, $E$13)</f>
        <v>12.6386</v>
      </c>
      <c r="E740" s="64">
        <f>14.7538 * CHOOSE(CONTROL!$C$22, $C$13, 100%, $E$13)</f>
        <v>14.7538</v>
      </c>
      <c r="F740" s="64">
        <f>14.7538 * CHOOSE(CONTROL!$C$22, $C$13, 100%, $E$13)</f>
        <v>14.7538</v>
      </c>
      <c r="G740" s="64">
        <f>14.7559 * CHOOSE(CONTROL!$C$22, $C$13, 100%, $E$13)</f>
        <v>14.7559</v>
      </c>
      <c r="H740" s="64">
        <f>24.2755* CHOOSE(CONTROL!$C$22, $C$13, 100%, $E$13)</f>
        <v>24.275500000000001</v>
      </c>
      <c r="I740" s="64">
        <f>24.2776 * CHOOSE(CONTROL!$C$22, $C$13, 100%, $E$13)</f>
        <v>24.2776</v>
      </c>
      <c r="J740" s="64">
        <f>14.7538 * CHOOSE(CONTROL!$C$22, $C$13, 100%, $E$13)</f>
        <v>14.7538</v>
      </c>
      <c r="K740" s="64">
        <f>14.7559 * CHOOSE(CONTROL!$C$22, $C$13, 100%, $E$13)</f>
        <v>14.7559</v>
      </c>
    </row>
    <row r="741" spans="1:11" ht="15">
      <c r="A741" s="13">
        <v>64193</v>
      </c>
      <c r="B741" s="63">
        <f>12.6274 * CHOOSE(CONTROL!$C$22, $C$13, 100%, $E$13)</f>
        <v>12.6274</v>
      </c>
      <c r="C741" s="63">
        <f>12.6274 * CHOOSE(CONTROL!$C$22, $C$13, 100%, $E$13)</f>
        <v>12.6274</v>
      </c>
      <c r="D741" s="63">
        <f>12.6447 * CHOOSE(CONTROL!$C$22, $C$13, 100%, $E$13)</f>
        <v>12.6447</v>
      </c>
      <c r="E741" s="64">
        <f>14.8077 * CHOOSE(CONTROL!$C$22, $C$13, 100%, $E$13)</f>
        <v>14.807700000000001</v>
      </c>
      <c r="F741" s="64">
        <f>14.8077 * CHOOSE(CONTROL!$C$22, $C$13, 100%, $E$13)</f>
        <v>14.807700000000001</v>
      </c>
      <c r="G741" s="64">
        <f>14.8079 * CHOOSE(CONTROL!$C$22, $C$13, 100%, $E$13)</f>
        <v>14.8079</v>
      </c>
      <c r="H741" s="64">
        <f>24.3261* CHOOSE(CONTROL!$C$22, $C$13, 100%, $E$13)</f>
        <v>24.3261</v>
      </c>
      <c r="I741" s="64">
        <f>24.3263 * CHOOSE(CONTROL!$C$22, $C$13, 100%, $E$13)</f>
        <v>24.3263</v>
      </c>
      <c r="J741" s="64">
        <f>14.8077 * CHOOSE(CONTROL!$C$22, $C$13, 100%, $E$13)</f>
        <v>14.807700000000001</v>
      </c>
      <c r="K741" s="64">
        <f>14.8079 * CHOOSE(CONTROL!$C$22, $C$13, 100%, $E$13)</f>
        <v>14.8079</v>
      </c>
    </row>
    <row r="742" spans="1:11" ht="15">
      <c r="A742" s="13">
        <v>64224</v>
      </c>
      <c r="B742" s="63">
        <f>12.6304 * CHOOSE(CONTROL!$C$22, $C$13, 100%, $E$13)</f>
        <v>12.6304</v>
      </c>
      <c r="C742" s="63">
        <f>12.6304 * CHOOSE(CONTROL!$C$22, $C$13, 100%, $E$13)</f>
        <v>12.6304</v>
      </c>
      <c r="D742" s="63">
        <f>12.6477 * CHOOSE(CONTROL!$C$22, $C$13, 100%, $E$13)</f>
        <v>12.6477</v>
      </c>
      <c r="E742" s="64">
        <f>14.8435 * CHOOSE(CONTROL!$C$22, $C$13, 100%, $E$13)</f>
        <v>14.843500000000001</v>
      </c>
      <c r="F742" s="64">
        <f>14.8435 * CHOOSE(CONTROL!$C$22, $C$13, 100%, $E$13)</f>
        <v>14.843500000000001</v>
      </c>
      <c r="G742" s="64">
        <f>14.8437 * CHOOSE(CONTROL!$C$22, $C$13, 100%, $E$13)</f>
        <v>14.8437</v>
      </c>
      <c r="H742" s="64">
        <f>24.3768* CHOOSE(CONTROL!$C$22, $C$13, 100%, $E$13)</f>
        <v>24.376799999999999</v>
      </c>
      <c r="I742" s="64">
        <f>24.3769 * CHOOSE(CONTROL!$C$22, $C$13, 100%, $E$13)</f>
        <v>24.376899999999999</v>
      </c>
      <c r="J742" s="64">
        <f>14.8435 * CHOOSE(CONTROL!$C$22, $C$13, 100%, $E$13)</f>
        <v>14.843500000000001</v>
      </c>
      <c r="K742" s="64">
        <f>14.8437 * CHOOSE(CONTROL!$C$22, $C$13, 100%, $E$13)</f>
        <v>14.8437</v>
      </c>
    </row>
    <row r="743" spans="1:11" ht="15">
      <c r="A743" s="13">
        <v>64254</v>
      </c>
      <c r="B743" s="63">
        <f>12.6304 * CHOOSE(CONTROL!$C$22, $C$13, 100%, $E$13)</f>
        <v>12.6304</v>
      </c>
      <c r="C743" s="63">
        <f>12.6304 * CHOOSE(CONTROL!$C$22, $C$13, 100%, $E$13)</f>
        <v>12.6304</v>
      </c>
      <c r="D743" s="63">
        <f>12.6477 * CHOOSE(CONTROL!$C$22, $C$13, 100%, $E$13)</f>
        <v>12.6477</v>
      </c>
      <c r="E743" s="64">
        <f>14.7593 * CHOOSE(CONTROL!$C$22, $C$13, 100%, $E$13)</f>
        <v>14.7593</v>
      </c>
      <c r="F743" s="64">
        <f>14.7593 * CHOOSE(CONTROL!$C$22, $C$13, 100%, $E$13)</f>
        <v>14.7593</v>
      </c>
      <c r="G743" s="64">
        <f>14.7595 * CHOOSE(CONTROL!$C$22, $C$13, 100%, $E$13)</f>
        <v>14.759499999999999</v>
      </c>
      <c r="H743" s="64">
        <f>24.4275* CHOOSE(CONTROL!$C$22, $C$13, 100%, $E$13)</f>
        <v>24.427499999999998</v>
      </c>
      <c r="I743" s="64">
        <f>24.4277 * CHOOSE(CONTROL!$C$22, $C$13, 100%, $E$13)</f>
        <v>24.427700000000002</v>
      </c>
      <c r="J743" s="64">
        <f>14.7593 * CHOOSE(CONTROL!$C$22, $C$13, 100%, $E$13)</f>
        <v>14.7593</v>
      </c>
      <c r="K743" s="64">
        <f>14.7595 * CHOOSE(CONTROL!$C$22, $C$13, 100%, $E$13)</f>
        <v>14.759499999999999</v>
      </c>
    </row>
    <row r="744" spans="1:11" ht="15">
      <c r="A744" s="13">
        <v>64285</v>
      </c>
      <c r="B744" s="63">
        <f>12.6449 * CHOOSE(CONTROL!$C$22, $C$13, 100%, $E$13)</f>
        <v>12.6449</v>
      </c>
      <c r="C744" s="63">
        <f>12.6449 * CHOOSE(CONTROL!$C$22, $C$13, 100%, $E$13)</f>
        <v>12.6449</v>
      </c>
      <c r="D744" s="63">
        <f>12.6622 * CHOOSE(CONTROL!$C$22, $C$13, 100%, $E$13)</f>
        <v>12.6622</v>
      </c>
      <c r="E744" s="64">
        <f>14.8352 * CHOOSE(CONTROL!$C$22, $C$13, 100%, $E$13)</f>
        <v>14.8352</v>
      </c>
      <c r="F744" s="64">
        <f>14.8352 * CHOOSE(CONTROL!$C$22, $C$13, 100%, $E$13)</f>
        <v>14.8352</v>
      </c>
      <c r="G744" s="64">
        <f>14.8354 * CHOOSE(CONTROL!$C$22, $C$13, 100%, $E$13)</f>
        <v>14.8354</v>
      </c>
      <c r="H744" s="64">
        <f>24.3206* CHOOSE(CONTROL!$C$22, $C$13, 100%, $E$13)</f>
        <v>24.320599999999999</v>
      </c>
      <c r="I744" s="64">
        <f>24.3207 * CHOOSE(CONTROL!$C$22, $C$13, 100%, $E$13)</f>
        <v>24.320699999999999</v>
      </c>
      <c r="J744" s="64">
        <f>14.8352 * CHOOSE(CONTROL!$C$22, $C$13, 100%, $E$13)</f>
        <v>14.8352</v>
      </c>
      <c r="K744" s="64">
        <f>14.8354 * CHOOSE(CONTROL!$C$22, $C$13, 100%, $E$13)</f>
        <v>14.8354</v>
      </c>
    </row>
    <row r="745" spans="1:11" ht="15">
      <c r="A745" s="13">
        <v>64316</v>
      </c>
      <c r="B745" s="63">
        <f>12.6419 * CHOOSE(CONTROL!$C$22, $C$13, 100%, $E$13)</f>
        <v>12.6419</v>
      </c>
      <c r="C745" s="63">
        <f>12.6419 * CHOOSE(CONTROL!$C$22, $C$13, 100%, $E$13)</f>
        <v>12.6419</v>
      </c>
      <c r="D745" s="63">
        <f>12.6592 * CHOOSE(CONTROL!$C$22, $C$13, 100%, $E$13)</f>
        <v>12.6592</v>
      </c>
      <c r="E745" s="64">
        <f>14.6708 * CHOOSE(CONTROL!$C$22, $C$13, 100%, $E$13)</f>
        <v>14.6708</v>
      </c>
      <c r="F745" s="64">
        <f>14.6708 * CHOOSE(CONTROL!$C$22, $C$13, 100%, $E$13)</f>
        <v>14.6708</v>
      </c>
      <c r="G745" s="64">
        <f>14.6709 * CHOOSE(CONTROL!$C$22, $C$13, 100%, $E$13)</f>
        <v>14.6709</v>
      </c>
      <c r="H745" s="64">
        <f>24.3712* CHOOSE(CONTROL!$C$22, $C$13, 100%, $E$13)</f>
        <v>24.371200000000002</v>
      </c>
      <c r="I745" s="64">
        <f>24.3714 * CHOOSE(CONTROL!$C$22, $C$13, 100%, $E$13)</f>
        <v>24.371400000000001</v>
      </c>
      <c r="J745" s="64">
        <f>14.6708 * CHOOSE(CONTROL!$C$22, $C$13, 100%, $E$13)</f>
        <v>14.6708</v>
      </c>
      <c r="K745" s="64">
        <f>14.6709 * CHOOSE(CONTROL!$C$22, $C$13, 100%, $E$13)</f>
        <v>14.6709</v>
      </c>
    </row>
    <row r="746" spans="1:11" ht="15">
      <c r="A746" s="13">
        <v>64345</v>
      </c>
      <c r="B746" s="63">
        <f>12.6388 * CHOOSE(CONTROL!$C$22, $C$13, 100%, $E$13)</f>
        <v>12.6388</v>
      </c>
      <c r="C746" s="63">
        <f>12.6388 * CHOOSE(CONTROL!$C$22, $C$13, 100%, $E$13)</f>
        <v>12.6388</v>
      </c>
      <c r="D746" s="63">
        <f>12.6561 * CHOOSE(CONTROL!$C$22, $C$13, 100%, $E$13)</f>
        <v>12.6561</v>
      </c>
      <c r="E746" s="64">
        <f>14.7966 * CHOOSE(CONTROL!$C$22, $C$13, 100%, $E$13)</f>
        <v>14.7966</v>
      </c>
      <c r="F746" s="64">
        <f>14.7966 * CHOOSE(CONTROL!$C$22, $C$13, 100%, $E$13)</f>
        <v>14.7966</v>
      </c>
      <c r="G746" s="64">
        <f>14.7968 * CHOOSE(CONTROL!$C$22, $C$13, 100%, $E$13)</f>
        <v>14.796799999999999</v>
      </c>
      <c r="H746" s="64">
        <f>24.422* CHOOSE(CONTROL!$C$22, $C$13, 100%, $E$13)</f>
        <v>24.422000000000001</v>
      </c>
      <c r="I746" s="64">
        <f>24.4222 * CHOOSE(CONTROL!$C$22, $C$13, 100%, $E$13)</f>
        <v>24.4222</v>
      </c>
      <c r="J746" s="64">
        <f>14.7966 * CHOOSE(CONTROL!$C$22, $C$13, 100%, $E$13)</f>
        <v>14.7966</v>
      </c>
      <c r="K746" s="64">
        <f>14.7968 * CHOOSE(CONTROL!$C$22, $C$13, 100%, $E$13)</f>
        <v>14.796799999999999</v>
      </c>
    </row>
    <row r="747" spans="1:11" ht="15">
      <c r="A747" s="13">
        <v>64376</v>
      </c>
      <c r="B747" s="63">
        <f>12.6439 * CHOOSE(CONTROL!$C$22, $C$13, 100%, $E$13)</f>
        <v>12.6439</v>
      </c>
      <c r="C747" s="63">
        <f>12.6439 * CHOOSE(CONTROL!$C$22, $C$13, 100%, $E$13)</f>
        <v>12.6439</v>
      </c>
      <c r="D747" s="63">
        <f>12.6612 * CHOOSE(CONTROL!$C$22, $C$13, 100%, $E$13)</f>
        <v>12.661199999999999</v>
      </c>
      <c r="E747" s="64">
        <f>14.9298 * CHOOSE(CONTROL!$C$22, $C$13, 100%, $E$13)</f>
        <v>14.9298</v>
      </c>
      <c r="F747" s="64">
        <f>14.9298 * CHOOSE(CONTROL!$C$22, $C$13, 100%, $E$13)</f>
        <v>14.9298</v>
      </c>
      <c r="G747" s="64">
        <f>14.93 * CHOOSE(CONTROL!$C$22, $C$13, 100%, $E$13)</f>
        <v>14.93</v>
      </c>
      <c r="H747" s="64">
        <f>24.4729* CHOOSE(CONTROL!$C$22, $C$13, 100%, $E$13)</f>
        <v>24.472899999999999</v>
      </c>
      <c r="I747" s="64">
        <f>24.4731 * CHOOSE(CONTROL!$C$22, $C$13, 100%, $E$13)</f>
        <v>24.473099999999999</v>
      </c>
      <c r="J747" s="64">
        <f>14.9298 * CHOOSE(CONTROL!$C$22, $C$13, 100%, $E$13)</f>
        <v>14.9298</v>
      </c>
      <c r="K747" s="64">
        <f>14.93 * CHOOSE(CONTROL!$C$22, $C$13, 100%, $E$13)</f>
        <v>14.93</v>
      </c>
    </row>
    <row r="748" spans="1:11" ht="15">
      <c r="A748" s="13">
        <v>64406</v>
      </c>
      <c r="B748" s="63">
        <f>12.6439 * CHOOSE(CONTROL!$C$22, $C$13, 100%, $E$13)</f>
        <v>12.6439</v>
      </c>
      <c r="C748" s="63">
        <f>12.6439 * CHOOSE(CONTROL!$C$22, $C$13, 100%, $E$13)</f>
        <v>12.6439</v>
      </c>
      <c r="D748" s="63">
        <f>12.6785 * CHOOSE(CONTROL!$C$22, $C$13, 100%, $E$13)</f>
        <v>12.6785</v>
      </c>
      <c r="E748" s="64">
        <f>14.9813 * CHOOSE(CONTROL!$C$22, $C$13, 100%, $E$13)</f>
        <v>14.981299999999999</v>
      </c>
      <c r="F748" s="64">
        <f>14.9813 * CHOOSE(CONTROL!$C$22, $C$13, 100%, $E$13)</f>
        <v>14.981299999999999</v>
      </c>
      <c r="G748" s="64">
        <f>14.9835 * CHOOSE(CONTROL!$C$22, $C$13, 100%, $E$13)</f>
        <v>14.983499999999999</v>
      </c>
      <c r="H748" s="64">
        <f>24.5239* CHOOSE(CONTROL!$C$22, $C$13, 100%, $E$13)</f>
        <v>24.523900000000001</v>
      </c>
      <c r="I748" s="64">
        <f>24.526 * CHOOSE(CONTROL!$C$22, $C$13, 100%, $E$13)</f>
        <v>24.526</v>
      </c>
      <c r="J748" s="64">
        <f>14.9813 * CHOOSE(CONTROL!$C$22, $C$13, 100%, $E$13)</f>
        <v>14.981299999999999</v>
      </c>
      <c r="K748" s="64">
        <f>14.9835 * CHOOSE(CONTROL!$C$22, $C$13, 100%, $E$13)</f>
        <v>14.983499999999999</v>
      </c>
    </row>
    <row r="749" spans="1:11" ht="15">
      <c r="A749" s="13">
        <v>64437</v>
      </c>
      <c r="B749" s="63">
        <f>12.65 * CHOOSE(CONTROL!$C$22, $C$13, 100%, $E$13)</f>
        <v>12.65</v>
      </c>
      <c r="C749" s="63">
        <f>12.65 * CHOOSE(CONTROL!$C$22, $C$13, 100%, $E$13)</f>
        <v>12.65</v>
      </c>
      <c r="D749" s="63">
        <f>12.6846 * CHOOSE(CONTROL!$C$22, $C$13, 100%, $E$13)</f>
        <v>12.6846</v>
      </c>
      <c r="E749" s="64">
        <f>14.934 * CHOOSE(CONTROL!$C$22, $C$13, 100%, $E$13)</f>
        <v>14.933999999999999</v>
      </c>
      <c r="F749" s="64">
        <f>14.934 * CHOOSE(CONTROL!$C$22, $C$13, 100%, $E$13)</f>
        <v>14.933999999999999</v>
      </c>
      <c r="G749" s="64">
        <f>14.9362 * CHOOSE(CONTROL!$C$22, $C$13, 100%, $E$13)</f>
        <v>14.936199999999999</v>
      </c>
      <c r="H749" s="64">
        <f>24.575* CHOOSE(CONTROL!$C$22, $C$13, 100%, $E$13)</f>
        <v>24.574999999999999</v>
      </c>
      <c r="I749" s="64">
        <f>24.5771 * CHOOSE(CONTROL!$C$22, $C$13, 100%, $E$13)</f>
        <v>24.577100000000002</v>
      </c>
      <c r="J749" s="64">
        <f>14.934 * CHOOSE(CONTROL!$C$22, $C$13, 100%, $E$13)</f>
        <v>14.933999999999999</v>
      </c>
      <c r="K749" s="64">
        <f>14.9362 * CHOOSE(CONTROL!$C$22, $C$13, 100%, $E$13)</f>
        <v>14.936199999999999</v>
      </c>
    </row>
    <row r="750" spans="1:11" ht="15">
      <c r="A750" s="13">
        <v>64467</v>
      </c>
      <c r="B750" s="63">
        <f>12.8495 * CHOOSE(CONTROL!$C$22, $C$13, 100%, $E$13)</f>
        <v>12.849500000000001</v>
      </c>
      <c r="C750" s="63">
        <f>12.8495 * CHOOSE(CONTROL!$C$22, $C$13, 100%, $E$13)</f>
        <v>12.849500000000001</v>
      </c>
      <c r="D750" s="63">
        <f>12.8842 * CHOOSE(CONTROL!$C$22, $C$13, 100%, $E$13)</f>
        <v>12.8842</v>
      </c>
      <c r="E750" s="64">
        <f>15.2195 * CHOOSE(CONTROL!$C$22, $C$13, 100%, $E$13)</f>
        <v>15.2195</v>
      </c>
      <c r="F750" s="64">
        <f>15.2195 * CHOOSE(CONTROL!$C$22, $C$13, 100%, $E$13)</f>
        <v>15.2195</v>
      </c>
      <c r="G750" s="64">
        <f>15.2217 * CHOOSE(CONTROL!$C$22, $C$13, 100%, $E$13)</f>
        <v>15.2217</v>
      </c>
      <c r="H750" s="64">
        <f>24.6262* CHOOSE(CONTROL!$C$22, $C$13, 100%, $E$13)</f>
        <v>24.626200000000001</v>
      </c>
      <c r="I750" s="64">
        <f>24.6283 * CHOOSE(CONTROL!$C$22, $C$13, 100%, $E$13)</f>
        <v>24.628299999999999</v>
      </c>
      <c r="J750" s="64">
        <f>15.2195 * CHOOSE(CONTROL!$C$22, $C$13, 100%, $E$13)</f>
        <v>15.2195</v>
      </c>
      <c r="K750" s="64">
        <f>15.2217 * CHOOSE(CONTROL!$C$22, $C$13, 100%, $E$13)</f>
        <v>15.2217</v>
      </c>
    </row>
    <row r="751" spans="1:11" ht="15">
      <c r="A751" s="13">
        <v>64498</v>
      </c>
      <c r="B751" s="63">
        <f>12.8562 * CHOOSE(CONTROL!$C$22, $C$13, 100%, $E$13)</f>
        <v>12.856199999999999</v>
      </c>
      <c r="C751" s="63">
        <f>12.8562 * CHOOSE(CONTROL!$C$22, $C$13, 100%, $E$13)</f>
        <v>12.856199999999999</v>
      </c>
      <c r="D751" s="63">
        <f>12.8909 * CHOOSE(CONTROL!$C$22, $C$13, 100%, $E$13)</f>
        <v>12.8909</v>
      </c>
      <c r="E751" s="64">
        <f>15.0696 * CHOOSE(CONTROL!$C$22, $C$13, 100%, $E$13)</f>
        <v>15.069599999999999</v>
      </c>
      <c r="F751" s="64">
        <f>15.0696 * CHOOSE(CONTROL!$C$22, $C$13, 100%, $E$13)</f>
        <v>15.069599999999999</v>
      </c>
      <c r="G751" s="64">
        <f>15.0717 * CHOOSE(CONTROL!$C$22, $C$13, 100%, $E$13)</f>
        <v>15.0717</v>
      </c>
      <c r="H751" s="64">
        <f>24.6775* CHOOSE(CONTROL!$C$22, $C$13, 100%, $E$13)</f>
        <v>24.677499999999998</v>
      </c>
      <c r="I751" s="64">
        <f>24.6796 * CHOOSE(CONTROL!$C$22, $C$13, 100%, $E$13)</f>
        <v>24.679600000000001</v>
      </c>
      <c r="J751" s="64">
        <f>15.0696 * CHOOSE(CONTROL!$C$22, $C$13, 100%, $E$13)</f>
        <v>15.069599999999999</v>
      </c>
      <c r="K751" s="64">
        <f>15.0717 * CHOOSE(CONTROL!$C$22, $C$13, 100%, $E$13)</f>
        <v>15.0717</v>
      </c>
    </row>
    <row r="752" spans="1:11" ht="15">
      <c r="A752" s="13">
        <v>64529</v>
      </c>
      <c r="B752" s="63">
        <f>12.8532 * CHOOSE(CONTROL!$C$22, $C$13, 100%, $E$13)</f>
        <v>12.853199999999999</v>
      </c>
      <c r="C752" s="63">
        <f>12.8532 * CHOOSE(CONTROL!$C$22, $C$13, 100%, $E$13)</f>
        <v>12.853199999999999</v>
      </c>
      <c r="D752" s="63">
        <f>12.8878 * CHOOSE(CONTROL!$C$22, $C$13, 100%, $E$13)</f>
        <v>12.8878</v>
      </c>
      <c r="E752" s="64">
        <f>15.0503 * CHOOSE(CONTROL!$C$22, $C$13, 100%, $E$13)</f>
        <v>15.0503</v>
      </c>
      <c r="F752" s="64">
        <f>15.0503 * CHOOSE(CONTROL!$C$22, $C$13, 100%, $E$13)</f>
        <v>15.0503</v>
      </c>
      <c r="G752" s="64">
        <f>15.0524 * CHOOSE(CONTROL!$C$22, $C$13, 100%, $E$13)</f>
        <v>15.0524</v>
      </c>
      <c r="H752" s="64">
        <f>24.7289* CHOOSE(CONTROL!$C$22, $C$13, 100%, $E$13)</f>
        <v>24.728899999999999</v>
      </c>
      <c r="I752" s="64">
        <f>24.731 * CHOOSE(CONTROL!$C$22, $C$13, 100%, $E$13)</f>
        <v>24.731000000000002</v>
      </c>
      <c r="J752" s="64">
        <f>15.0503 * CHOOSE(CONTROL!$C$22, $C$13, 100%, $E$13)</f>
        <v>15.0503</v>
      </c>
      <c r="K752" s="64">
        <f>15.0524 * CHOOSE(CONTROL!$C$22, $C$13, 100%, $E$13)</f>
        <v>15.0524</v>
      </c>
    </row>
    <row r="753" spans="1:11" ht="15">
      <c r="A753" s="13">
        <v>64559</v>
      </c>
      <c r="B753" s="63">
        <f>12.8774 * CHOOSE(CONTROL!$C$22, $C$13, 100%, $E$13)</f>
        <v>12.8774</v>
      </c>
      <c r="C753" s="63">
        <f>12.8774 * CHOOSE(CONTROL!$C$22, $C$13, 100%, $E$13)</f>
        <v>12.8774</v>
      </c>
      <c r="D753" s="63">
        <f>12.8947 * CHOOSE(CONTROL!$C$22, $C$13, 100%, $E$13)</f>
        <v>12.8947</v>
      </c>
      <c r="E753" s="64">
        <f>15.1056 * CHOOSE(CONTROL!$C$22, $C$13, 100%, $E$13)</f>
        <v>15.105600000000001</v>
      </c>
      <c r="F753" s="64">
        <f>15.1056 * CHOOSE(CONTROL!$C$22, $C$13, 100%, $E$13)</f>
        <v>15.105600000000001</v>
      </c>
      <c r="G753" s="64">
        <f>15.1058 * CHOOSE(CONTROL!$C$22, $C$13, 100%, $E$13)</f>
        <v>15.1058</v>
      </c>
      <c r="H753" s="64">
        <f>24.7804* CHOOSE(CONTROL!$C$22, $C$13, 100%, $E$13)</f>
        <v>24.7804</v>
      </c>
      <c r="I753" s="64">
        <f>24.7806 * CHOOSE(CONTROL!$C$22, $C$13, 100%, $E$13)</f>
        <v>24.7806</v>
      </c>
      <c r="J753" s="64">
        <f>15.1056 * CHOOSE(CONTROL!$C$22, $C$13, 100%, $E$13)</f>
        <v>15.105600000000001</v>
      </c>
      <c r="K753" s="64">
        <f>15.1058 * CHOOSE(CONTROL!$C$22, $C$13, 100%, $E$13)</f>
        <v>15.1058</v>
      </c>
    </row>
    <row r="754" spans="1:11" ht="15">
      <c r="A754" s="13">
        <v>64590</v>
      </c>
      <c r="B754" s="63">
        <f>12.8804 * CHOOSE(CONTROL!$C$22, $C$13, 100%, $E$13)</f>
        <v>12.8804</v>
      </c>
      <c r="C754" s="63">
        <f>12.8804 * CHOOSE(CONTROL!$C$22, $C$13, 100%, $E$13)</f>
        <v>12.8804</v>
      </c>
      <c r="D754" s="63">
        <f>12.8977 * CHOOSE(CONTROL!$C$22, $C$13, 100%, $E$13)</f>
        <v>12.8977</v>
      </c>
      <c r="E754" s="64">
        <f>15.1421 * CHOOSE(CONTROL!$C$22, $C$13, 100%, $E$13)</f>
        <v>15.142099999999999</v>
      </c>
      <c r="F754" s="64">
        <f>15.1421 * CHOOSE(CONTROL!$C$22, $C$13, 100%, $E$13)</f>
        <v>15.142099999999999</v>
      </c>
      <c r="G754" s="64">
        <f>15.1422 * CHOOSE(CONTROL!$C$22, $C$13, 100%, $E$13)</f>
        <v>15.142200000000001</v>
      </c>
      <c r="H754" s="64">
        <f>24.832* CHOOSE(CONTROL!$C$22, $C$13, 100%, $E$13)</f>
        <v>24.832000000000001</v>
      </c>
      <c r="I754" s="64">
        <f>24.8322 * CHOOSE(CONTROL!$C$22, $C$13, 100%, $E$13)</f>
        <v>24.8322</v>
      </c>
      <c r="J754" s="64">
        <f>15.1421 * CHOOSE(CONTROL!$C$22, $C$13, 100%, $E$13)</f>
        <v>15.142099999999999</v>
      </c>
      <c r="K754" s="64">
        <f>15.1422 * CHOOSE(CONTROL!$C$22, $C$13, 100%, $E$13)</f>
        <v>15.142200000000001</v>
      </c>
    </row>
    <row r="755" spans="1:11" ht="15">
      <c r="A755" s="13">
        <v>64620</v>
      </c>
      <c r="B755" s="63">
        <f>12.8804 * CHOOSE(CONTROL!$C$22, $C$13, 100%, $E$13)</f>
        <v>12.8804</v>
      </c>
      <c r="C755" s="63">
        <f>12.8804 * CHOOSE(CONTROL!$C$22, $C$13, 100%, $E$13)</f>
        <v>12.8804</v>
      </c>
      <c r="D755" s="63">
        <f>12.8977 * CHOOSE(CONTROL!$C$22, $C$13, 100%, $E$13)</f>
        <v>12.8977</v>
      </c>
      <c r="E755" s="64">
        <f>15.0562 * CHOOSE(CONTROL!$C$22, $C$13, 100%, $E$13)</f>
        <v>15.0562</v>
      </c>
      <c r="F755" s="64">
        <f>15.0562 * CHOOSE(CONTROL!$C$22, $C$13, 100%, $E$13)</f>
        <v>15.0562</v>
      </c>
      <c r="G755" s="64">
        <f>15.0563 * CHOOSE(CONTROL!$C$22, $C$13, 100%, $E$13)</f>
        <v>15.0563</v>
      </c>
      <c r="H755" s="64">
        <f>24.8838* CHOOSE(CONTROL!$C$22, $C$13, 100%, $E$13)</f>
        <v>24.883800000000001</v>
      </c>
      <c r="I755" s="64">
        <f>24.8839 * CHOOSE(CONTROL!$C$22, $C$13, 100%, $E$13)</f>
        <v>24.883900000000001</v>
      </c>
      <c r="J755" s="64">
        <f>15.0562 * CHOOSE(CONTROL!$C$22, $C$13, 100%, $E$13)</f>
        <v>15.0562</v>
      </c>
      <c r="K755" s="64">
        <f>15.0563 * CHOOSE(CONTROL!$C$22, $C$13, 100%, $E$13)</f>
        <v>15.0563</v>
      </c>
    </row>
    <row r="756" spans="1:11" ht="15">
      <c r="A756" s="13">
        <v>64651</v>
      </c>
      <c r="B756" s="63">
        <f>12.8902 * CHOOSE(CONTROL!$C$22, $C$13, 100%, $E$13)</f>
        <v>12.8902</v>
      </c>
      <c r="C756" s="63">
        <f>12.8902 * CHOOSE(CONTROL!$C$22, $C$13, 100%, $E$13)</f>
        <v>12.8902</v>
      </c>
      <c r="D756" s="63">
        <f>12.9075 * CHOOSE(CONTROL!$C$22, $C$13, 100%, $E$13)</f>
        <v>12.907500000000001</v>
      </c>
      <c r="E756" s="64">
        <f>15.1276 * CHOOSE(CONTROL!$C$22, $C$13, 100%, $E$13)</f>
        <v>15.127599999999999</v>
      </c>
      <c r="F756" s="64">
        <f>15.1276 * CHOOSE(CONTROL!$C$22, $C$13, 100%, $E$13)</f>
        <v>15.127599999999999</v>
      </c>
      <c r="G756" s="64">
        <f>15.1278 * CHOOSE(CONTROL!$C$22, $C$13, 100%, $E$13)</f>
        <v>15.127800000000001</v>
      </c>
      <c r="H756" s="64">
        <f>24.7665* CHOOSE(CONTROL!$C$22, $C$13, 100%, $E$13)</f>
        <v>24.766500000000001</v>
      </c>
      <c r="I756" s="64">
        <f>24.7666 * CHOOSE(CONTROL!$C$22, $C$13, 100%, $E$13)</f>
        <v>24.7666</v>
      </c>
      <c r="J756" s="64">
        <f>15.1276 * CHOOSE(CONTROL!$C$22, $C$13, 100%, $E$13)</f>
        <v>15.127599999999999</v>
      </c>
      <c r="K756" s="64">
        <f>15.1278 * CHOOSE(CONTROL!$C$22, $C$13, 100%, $E$13)</f>
        <v>15.127800000000001</v>
      </c>
    </row>
    <row r="757" spans="1:11" ht="15">
      <c r="A757" s="13">
        <v>64682</v>
      </c>
      <c r="B757" s="63">
        <f>12.8872 * CHOOSE(CONTROL!$C$22, $C$13, 100%, $E$13)</f>
        <v>12.8872</v>
      </c>
      <c r="C757" s="63">
        <f>12.8872 * CHOOSE(CONTROL!$C$22, $C$13, 100%, $E$13)</f>
        <v>12.8872</v>
      </c>
      <c r="D757" s="63">
        <f>12.9045 * CHOOSE(CONTROL!$C$22, $C$13, 100%, $E$13)</f>
        <v>12.904500000000001</v>
      </c>
      <c r="E757" s="64">
        <f>14.96 * CHOOSE(CONTROL!$C$22, $C$13, 100%, $E$13)</f>
        <v>14.96</v>
      </c>
      <c r="F757" s="64">
        <f>14.96 * CHOOSE(CONTROL!$C$22, $C$13, 100%, $E$13)</f>
        <v>14.96</v>
      </c>
      <c r="G757" s="64">
        <f>14.9601 * CHOOSE(CONTROL!$C$22, $C$13, 100%, $E$13)</f>
        <v>14.960100000000001</v>
      </c>
      <c r="H757" s="64">
        <f>24.8181* CHOOSE(CONTROL!$C$22, $C$13, 100%, $E$13)</f>
        <v>24.818100000000001</v>
      </c>
      <c r="I757" s="64">
        <f>24.8182 * CHOOSE(CONTROL!$C$22, $C$13, 100%, $E$13)</f>
        <v>24.818200000000001</v>
      </c>
      <c r="J757" s="64">
        <f>14.96 * CHOOSE(CONTROL!$C$22, $C$13, 100%, $E$13)</f>
        <v>14.96</v>
      </c>
      <c r="K757" s="64">
        <f>14.9601 * CHOOSE(CONTROL!$C$22, $C$13, 100%, $E$13)</f>
        <v>14.960100000000001</v>
      </c>
    </row>
    <row r="758" spans="1:11" ht="15">
      <c r="A758" s="13">
        <v>64710</v>
      </c>
      <c r="B758" s="63">
        <f>12.8841 * CHOOSE(CONTROL!$C$22, $C$13, 100%, $E$13)</f>
        <v>12.8841</v>
      </c>
      <c r="C758" s="63">
        <f>12.8841 * CHOOSE(CONTROL!$C$22, $C$13, 100%, $E$13)</f>
        <v>12.8841</v>
      </c>
      <c r="D758" s="63">
        <f>12.9015 * CHOOSE(CONTROL!$C$22, $C$13, 100%, $E$13)</f>
        <v>12.9015</v>
      </c>
      <c r="E758" s="64">
        <f>15.0883 * CHOOSE(CONTROL!$C$22, $C$13, 100%, $E$13)</f>
        <v>15.0883</v>
      </c>
      <c r="F758" s="64">
        <f>15.0883 * CHOOSE(CONTROL!$C$22, $C$13, 100%, $E$13)</f>
        <v>15.0883</v>
      </c>
      <c r="G758" s="64">
        <f>15.0885 * CHOOSE(CONTROL!$C$22, $C$13, 100%, $E$13)</f>
        <v>15.0885</v>
      </c>
      <c r="H758" s="64">
        <f>24.8698* CHOOSE(CONTROL!$C$22, $C$13, 100%, $E$13)</f>
        <v>24.869800000000001</v>
      </c>
      <c r="I758" s="64">
        <f>24.8699 * CHOOSE(CONTROL!$C$22, $C$13, 100%, $E$13)</f>
        <v>24.869900000000001</v>
      </c>
      <c r="J758" s="64">
        <f>15.0883 * CHOOSE(CONTROL!$C$22, $C$13, 100%, $E$13)</f>
        <v>15.0883</v>
      </c>
      <c r="K758" s="64">
        <f>15.0885 * CHOOSE(CONTROL!$C$22, $C$13, 100%, $E$13)</f>
        <v>15.0885</v>
      </c>
    </row>
    <row r="759" spans="1:11" ht="15">
      <c r="A759" s="13">
        <v>64741</v>
      </c>
      <c r="B759" s="63">
        <f>12.8894 * CHOOSE(CONTROL!$C$22, $C$13, 100%, $E$13)</f>
        <v>12.8894</v>
      </c>
      <c r="C759" s="63">
        <f>12.8894 * CHOOSE(CONTROL!$C$22, $C$13, 100%, $E$13)</f>
        <v>12.8894</v>
      </c>
      <c r="D759" s="63">
        <f>12.9067 * CHOOSE(CONTROL!$C$22, $C$13, 100%, $E$13)</f>
        <v>12.906700000000001</v>
      </c>
      <c r="E759" s="64">
        <f>15.2242 * CHOOSE(CONTROL!$C$22, $C$13, 100%, $E$13)</f>
        <v>15.2242</v>
      </c>
      <c r="F759" s="64">
        <f>15.2242 * CHOOSE(CONTROL!$C$22, $C$13, 100%, $E$13)</f>
        <v>15.2242</v>
      </c>
      <c r="G759" s="64">
        <f>15.2244 * CHOOSE(CONTROL!$C$22, $C$13, 100%, $E$13)</f>
        <v>15.224399999999999</v>
      </c>
      <c r="H759" s="64">
        <f>24.9216* CHOOSE(CONTROL!$C$22, $C$13, 100%, $E$13)</f>
        <v>24.921600000000002</v>
      </c>
      <c r="I759" s="64">
        <f>24.9217 * CHOOSE(CONTROL!$C$22, $C$13, 100%, $E$13)</f>
        <v>24.921700000000001</v>
      </c>
      <c r="J759" s="64">
        <f>15.2242 * CHOOSE(CONTROL!$C$22, $C$13, 100%, $E$13)</f>
        <v>15.2242</v>
      </c>
      <c r="K759" s="64">
        <f>15.2244 * CHOOSE(CONTROL!$C$22, $C$13, 100%, $E$13)</f>
        <v>15.224399999999999</v>
      </c>
    </row>
    <row r="760" spans="1:11" ht="15">
      <c r="A760" s="13">
        <v>64771</v>
      </c>
      <c r="B760" s="63">
        <f>12.8894 * CHOOSE(CONTROL!$C$22, $C$13, 100%, $E$13)</f>
        <v>12.8894</v>
      </c>
      <c r="C760" s="63">
        <f>12.8894 * CHOOSE(CONTROL!$C$22, $C$13, 100%, $E$13)</f>
        <v>12.8894</v>
      </c>
      <c r="D760" s="63">
        <f>12.9241 * CHOOSE(CONTROL!$C$22, $C$13, 100%, $E$13)</f>
        <v>12.924099999999999</v>
      </c>
      <c r="E760" s="64">
        <f>15.2768 * CHOOSE(CONTROL!$C$22, $C$13, 100%, $E$13)</f>
        <v>15.2768</v>
      </c>
      <c r="F760" s="64">
        <f>15.2768 * CHOOSE(CONTROL!$C$22, $C$13, 100%, $E$13)</f>
        <v>15.2768</v>
      </c>
      <c r="G760" s="64">
        <f>15.2789 * CHOOSE(CONTROL!$C$22, $C$13, 100%, $E$13)</f>
        <v>15.2789</v>
      </c>
      <c r="H760" s="64">
        <f>24.9735* CHOOSE(CONTROL!$C$22, $C$13, 100%, $E$13)</f>
        <v>24.973500000000001</v>
      </c>
      <c r="I760" s="64">
        <f>24.9756 * CHOOSE(CONTROL!$C$22, $C$13, 100%, $E$13)</f>
        <v>24.9756</v>
      </c>
      <c r="J760" s="64">
        <f>15.2768 * CHOOSE(CONTROL!$C$22, $C$13, 100%, $E$13)</f>
        <v>15.2768</v>
      </c>
      <c r="K760" s="64">
        <f>15.2789 * CHOOSE(CONTROL!$C$22, $C$13, 100%, $E$13)</f>
        <v>15.2789</v>
      </c>
    </row>
    <row r="761" spans="1:11" ht="15">
      <c r="A761" s="13">
        <v>64802</v>
      </c>
      <c r="B761" s="63">
        <f>12.8955 * CHOOSE(CONTROL!$C$22, $C$13, 100%, $E$13)</f>
        <v>12.8955</v>
      </c>
      <c r="C761" s="63">
        <f>12.8955 * CHOOSE(CONTROL!$C$22, $C$13, 100%, $E$13)</f>
        <v>12.8955</v>
      </c>
      <c r="D761" s="63">
        <f>12.9301 * CHOOSE(CONTROL!$C$22, $C$13, 100%, $E$13)</f>
        <v>12.930099999999999</v>
      </c>
      <c r="E761" s="64">
        <f>15.2285 * CHOOSE(CONTROL!$C$22, $C$13, 100%, $E$13)</f>
        <v>15.2285</v>
      </c>
      <c r="F761" s="64">
        <f>15.2285 * CHOOSE(CONTROL!$C$22, $C$13, 100%, $E$13)</f>
        <v>15.2285</v>
      </c>
      <c r="G761" s="64">
        <f>15.2306 * CHOOSE(CONTROL!$C$22, $C$13, 100%, $E$13)</f>
        <v>15.230600000000001</v>
      </c>
      <c r="H761" s="64">
        <f>25.0255* CHOOSE(CONTROL!$C$22, $C$13, 100%, $E$13)</f>
        <v>25.025500000000001</v>
      </c>
      <c r="I761" s="64">
        <f>25.0277 * CHOOSE(CONTROL!$C$22, $C$13, 100%, $E$13)</f>
        <v>25.027699999999999</v>
      </c>
      <c r="J761" s="64">
        <f>15.2285 * CHOOSE(CONTROL!$C$22, $C$13, 100%, $E$13)</f>
        <v>15.2285</v>
      </c>
      <c r="K761" s="64">
        <f>15.2306 * CHOOSE(CONTROL!$C$22, $C$13, 100%, $E$13)</f>
        <v>15.230600000000001</v>
      </c>
    </row>
    <row r="762" spans="1:11" ht="15">
      <c r="A762" s="13">
        <v>64832</v>
      </c>
      <c r="B762" s="63">
        <f>13.0987 * CHOOSE(CONTROL!$C$22, $C$13, 100%, $E$13)</f>
        <v>13.098699999999999</v>
      </c>
      <c r="C762" s="63">
        <f>13.0987 * CHOOSE(CONTROL!$C$22, $C$13, 100%, $E$13)</f>
        <v>13.098699999999999</v>
      </c>
      <c r="D762" s="63">
        <f>13.1334 * CHOOSE(CONTROL!$C$22, $C$13, 100%, $E$13)</f>
        <v>13.1334</v>
      </c>
      <c r="E762" s="64">
        <f>15.5194 * CHOOSE(CONTROL!$C$22, $C$13, 100%, $E$13)</f>
        <v>15.519399999999999</v>
      </c>
      <c r="F762" s="64">
        <f>15.5194 * CHOOSE(CONTROL!$C$22, $C$13, 100%, $E$13)</f>
        <v>15.519399999999999</v>
      </c>
      <c r="G762" s="64">
        <f>15.5216 * CHOOSE(CONTROL!$C$22, $C$13, 100%, $E$13)</f>
        <v>15.521599999999999</v>
      </c>
      <c r="H762" s="64">
        <f>25.0777* CHOOSE(CONTROL!$C$22, $C$13, 100%, $E$13)</f>
        <v>25.0777</v>
      </c>
      <c r="I762" s="64">
        <f>25.0798 * CHOOSE(CONTROL!$C$22, $C$13, 100%, $E$13)</f>
        <v>25.079799999999999</v>
      </c>
      <c r="J762" s="64">
        <f>15.5194 * CHOOSE(CONTROL!$C$22, $C$13, 100%, $E$13)</f>
        <v>15.519399999999999</v>
      </c>
      <c r="K762" s="64">
        <f>15.5216 * CHOOSE(CONTROL!$C$22, $C$13, 100%, $E$13)</f>
        <v>15.521599999999999</v>
      </c>
    </row>
    <row r="763" spans="1:11" ht="15">
      <c r="A763" s="13">
        <v>64863</v>
      </c>
      <c r="B763" s="63">
        <f>13.1054 * CHOOSE(CONTROL!$C$22, $C$13, 100%, $E$13)</f>
        <v>13.105399999999999</v>
      </c>
      <c r="C763" s="63">
        <f>13.1054 * CHOOSE(CONTROL!$C$22, $C$13, 100%, $E$13)</f>
        <v>13.105399999999999</v>
      </c>
      <c r="D763" s="63">
        <f>13.1401 * CHOOSE(CONTROL!$C$22, $C$13, 100%, $E$13)</f>
        <v>13.1401</v>
      </c>
      <c r="E763" s="64">
        <f>15.3664 * CHOOSE(CONTROL!$C$22, $C$13, 100%, $E$13)</f>
        <v>15.366400000000001</v>
      </c>
      <c r="F763" s="64">
        <f>15.3664 * CHOOSE(CONTROL!$C$22, $C$13, 100%, $E$13)</f>
        <v>15.366400000000001</v>
      </c>
      <c r="G763" s="64">
        <f>15.3686 * CHOOSE(CONTROL!$C$22, $C$13, 100%, $E$13)</f>
        <v>15.368600000000001</v>
      </c>
      <c r="H763" s="64">
        <f>25.1299* CHOOSE(CONTROL!$C$22, $C$13, 100%, $E$13)</f>
        <v>25.129899999999999</v>
      </c>
      <c r="I763" s="64">
        <f>25.132 * CHOOSE(CONTROL!$C$22, $C$13, 100%, $E$13)</f>
        <v>25.132000000000001</v>
      </c>
      <c r="J763" s="64">
        <f>15.3664 * CHOOSE(CONTROL!$C$22, $C$13, 100%, $E$13)</f>
        <v>15.366400000000001</v>
      </c>
      <c r="K763" s="64">
        <f>15.3686 * CHOOSE(CONTROL!$C$22, $C$13, 100%, $E$13)</f>
        <v>15.368600000000001</v>
      </c>
    </row>
    <row r="764" spans="1:11" ht="15">
      <c r="A764" s="13">
        <v>64894</v>
      </c>
      <c r="B764" s="63">
        <f>13.1024 * CHOOSE(CONTROL!$C$22, $C$13, 100%, $E$13)</f>
        <v>13.102399999999999</v>
      </c>
      <c r="C764" s="63">
        <f>13.1024 * CHOOSE(CONTROL!$C$22, $C$13, 100%, $E$13)</f>
        <v>13.102399999999999</v>
      </c>
      <c r="D764" s="63">
        <f>13.137 * CHOOSE(CONTROL!$C$22, $C$13, 100%, $E$13)</f>
        <v>13.137</v>
      </c>
      <c r="E764" s="64">
        <f>15.3468 * CHOOSE(CONTROL!$C$22, $C$13, 100%, $E$13)</f>
        <v>15.3468</v>
      </c>
      <c r="F764" s="64">
        <f>15.3468 * CHOOSE(CONTROL!$C$22, $C$13, 100%, $E$13)</f>
        <v>15.3468</v>
      </c>
      <c r="G764" s="64">
        <f>15.3489 * CHOOSE(CONTROL!$C$22, $C$13, 100%, $E$13)</f>
        <v>15.3489</v>
      </c>
      <c r="H764" s="64">
        <f>25.1823* CHOOSE(CONTROL!$C$22, $C$13, 100%, $E$13)</f>
        <v>25.182300000000001</v>
      </c>
      <c r="I764" s="64">
        <f>25.1844 * CHOOSE(CONTROL!$C$22, $C$13, 100%, $E$13)</f>
        <v>25.1844</v>
      </c>
      <c r="J764" s="64">
        <f>15.3468 * CHOOSE(CONTROL!$C$22, $C$13, 100%, $E$13)</f>
        <v>15.3468</v>
      </c>
      <c r="K764" s="64">
        <f>15.3489 * CHOOSE(CONTROL!$C$22, $C$13, 100%, $E$13)</f>
        <v>15.3489</v>
      </c>
    </row>
    <row r="765" spans="1:11" ht="15">
      <c r="A765" s="13">
        <v>64924</v>
      </c>
      <c r="B765" s="63">
        <f>13.1274 * CHOOSE(CONTROL!$C$22, $C$13, 100%, $E$13)</f>
        <v>13.1274</v>
      </c>
      <c r="C765" s="63">
        <f>13.1274 * CHOOSE(CONTROL!$C$22, $C$13, 100%, $E$13)</f>
        <v>13.1274</v>
      </c>
      <c r="D765" s="63">
        <f>13.1447 * CHOOSE(CONTROL!$C$22, $C$13, 100%, $E$13)</f>
        <v>13.1447</v>
      </c>
      <c r="E765" s="64">
        <f>15.4034 * CHOOSE(CONTROL!$C$22, $C$13, 100%, $E$13)</f>
        <v>15.4034</v>
      </c>
      <c r="F765" s="64">
        <f>15.4034 * CHOOSE(CONTROL!$C$22, $C$13, 100%, $E$13)</f>
        <v>15.4034</v>
      </c>
      <c r="G765" s="64">
        <f>15.4036 * CHOOSE(CONTROL!$C$22, $C$13, 100%, $E$13)</f>
        <v>15.403600000000001</v>
      </c>
      <c r="H765" s="64">
        <f>25.2347* CHOOSE(CONTROL!$C$22, $C$13, 100%, $E$13)</f>
        <v>25.2347</v>
      </c>
      <c r="I765" s="64">
        <f>25.2349 * CHOOSE(CONTROL!$C$22, $C$13, 100%, $E$13)</f>
        <v>25.2349</v>
      </c>
      <c r="J765" s="64">
        <f>15.4034 * CHOOSE(CONTROL!$C$22, $C$13, 100%, $E$13)</f>
        <v>15.4034</v>
      </c>
      <c r="K765" s="64">
        <f>15.4036 * CHOOSE(CONTROL!$C$22, $C$13, 100%, $E$13)</f>
        <v>15.403600000000001</v>
      </c>
    </row>
    <row r="766" spans="1:11" ht="15">
      <c r="A766" s="13">
        <v>64955</v>
      </c>
      <c r="B766" s="63">
        <f>13.1304 * CHOOSE(CONTROL!$C$22, $C$13, 100%, $E$13)</f>
        <v>13.1304</v>
      </c>
      <c r="C766" s="63">
        <f>13.1304 * CHOOSE(CONTROL!$C$22, $C$13, 100%, $E$13)</f>
        <v>13.1304</v>
      </c>
      <c r="D766" s="63">
        <f>13.1478 * CHOOSE(CONTROL!$C$22, $C$13, 100%, $E$13)</f>
        <v>13.1478</v>
      </c>
      <c r="E766" s="64">
        <f>15.4406 * CHOOSE(CONTROL!$C$22, $C$13, 100%, $E$13)</f>
        <v>15.4406</v>
      </c>
      <c r="F766" s="64">
        <f>15.4406 * CHOOSE(CONTROL!$C$22, $C$13, 100%, $E$13)</f>
        <v>15.4406</v>
      </c>
      <c r="G766" s="64">
        <f>15.4408 * CHOOSE(CONTROL!$C$22, $C$13, 100%, $E$13)</f>
        <v>15.440799999999999</v>
      </c>
      <c r="H766" s="64">
        <f>25.2873* CHOOSE(CONTROL!$C$22, $C$13, 100%, $E$13)</f>
        <v>25.287299999999998</v>
      </c>
      <c r="I766" s="64">
        <f>25.2875 * CHOOSE(CONTROL!$C$22, $C$13, 100%, $E$13)</f>
        <v>25.287500000000001</v>
      </c>
      <c r="J766" s="64">
        <f>15.4406 * CHOOSE(CONTROL!$C$22, $C$13, 100%, $E$13)</f>
        <v>15.4406</v>
      </c>
      <c r="K766" s="64">
        <f>15.4408 * CHOOSE(CONTROL!$C$22, $C$13, 100%, $E$13)</f>
        <v>15.440799999999999</v>
      </c>
    </row>
    <row r="767" spans="1:11" ht="15">
      <c r="A767" s="13">
        <v>64985</v>
      </c>
      <c r="B767" s="63">
        <f>13.1304 * CHOOSE(CONTROL!$C$22, $C$13, 100%, $E$13)</f>
        <v>13.1304</v>
      </c>
      <c r="C767" s="63">
        <f>13.1304 * CHOOSE(CONTROL!$C$22, $C$13, 100%, $E$13)</f>
        <v>13.1304</v>
      </c>
      <c r="D767" s="63">
        <f>13.1478 * CHOOSE(CONTROL!$C$22, $C$13, 100%, $E$13)</f>
        <v>13.1478</v>
      </c>
      <c r="E767" s="64">
        <f>15.353 * CHOOSE(CONTROL!$C$22, $C$13, 100%, $E$13)</f>
        <v>15.353</v>
      </c>
      <c r="F767" s="64">
        <f>15.353 * CHOOSE(CONTROL!$C$22, $C$13, 100%, $E$13)</f>
        <v>15.353</v>
      </c>
      <c r="G767" s="64">
        <f>15.3532 * CHOOSE(CONTROL!$C$22, $C$13, 100%, $E$13)</f>
        <v>15.353199999999999</v>
      </c>
      <c r="H767" s="64">
        <f>25.34* CHOOSE(CONTROL!$C$22, $C$13, 100%, $E$13)</f>
        <v>25.34</v>
      </c>
      <c r="I767" s="64">
        <f>25.3401 * CHOOSE(CONTROL!$C$22, $C$13, 100%, $E$13)</f>
        <v>25.3401</v>
      </c>
      <c r="J767" s="64">
        <f>15.353 * CHOOSE(CONTROL!$C$22, $C$13, 100%, $E$13)</f>
        <v>15.353</v>
      </c>
      <c r="K767" s="64">
        <f>15.3532 * CHOOSE(CONTROL!$C$22, $C$13, 100%, $E$13)</f>
        <v>15.353199999999999</v>
      </c>
    </row>
    <row r="768" spans="1:11" ht="15">
      <c r="A768" s="13">
        <v>65016</v>
      </c>
      <c r="B768" s="63">
        <f>13.1355 * CHOOSE(CONTROL!$C$22, $C$13, 100%, $E$13)</f>
        <v>13.1355</v>
      </c>
      <c r="C768" s="63">
        <f>13.1355 * CHOOSE(CONTROL!$C$22, $C$13, 100%, $E$13)</f>
        <v>13.1355</v>
      </c>
      <c r="D768" s="63">
        <f>13.1529 * CHOOSE(CONTROL!$C$22, $C$13, 100%, $E$13)</f>
        <v>13.152900000000001</v>
      </c>
      <c r="E768" s="64">
        <f>15.42 * CHOOSE(CONTROL!$C$22, $C$13, 100%, $E$13)</f>
        <v>15.42</v>
      </c>
      <c r="F768" s="64">
        <f>15.42 * CHOOSE(CONTROL!$C$22, $C$13, 100%, $E$13)</f>
        <v>15.42</v>
      </c>
      <c r="G768" s="64">
        <f>15.4202 * CHOOSE(CONTROL!$C$22, $C$13, 100%, $E$13)</f>
        <v>15.420199999999999</v>
      </c>
      <c r="H768" s="64">
        <f>25.2123* CHOOSE(CONTROL!$C$22, $C$13, 100%, $E$13)</f>
        <v>25.212299999999999</v>
      </c>
      <c r="I768" s="64">
        <f>25.2125 * CHOOSE(CONTROL!$C$22, $C$13, 100%, $E$13)</f>
        <v>25.212499999999999</v>
      </c>
      <c r="J768" s="64">
        <f>15.42 * CHOOSE(CONTROL!$C$22, $C$13, 100%, $E$13)</f>
        <v>15.42</v>
      </c>
      <c r="K768" s="64">
        <f>15.4202 * CHOOSE(CONTROL!$C$22, $C$13, 100%, $E$13)</f>
        <v>15.420199999999999</v>
      </c>
    </row>
    <row r="769" spans="1:11" ht="15">
      <c r="A769" s="13">
        <v>65047</v>
      </c>
      <c r="B769" s="63">
        <f>13.1325 * CHOOSE(CONTROL!$C$22, $C$13, 100%, $E$13)</f>
        <v>13.1325</v>
      </c>
      <c r="C769" s="63">
        <f>13.1325 * CHOOSE(CONTROL!$C$22, $C$13, 100%, $E$13)</f>
        <v>13.1325</v>
      </c>
      <c r="D769" s="63">
        <f>13.1498 * CHOOSE(CONTROL!$C$22, $C$13, 100%, $E$13)</f>
        <v>13.149800000000001</v>
      </c>
      <c r="E769" s="64">
        <f>15.2492 * CHOOSE(CONTROL!$C$22, $C$13, 100%, $E$13)</f>
        <v>15.2492</v>
      </c>
      <c r="F769" s="64">
        <f>15.2492 * CHOOSE(CONTROL!$C$22, $C$13, 100%, $E$13)</f>
        <v>15.2492</v>
      </c>
      <c r="G769" s="64">
        <f>15.2493 * CHOOSE(CONTROL!$C$22, $C$13, 100%, $E$13)</f>
        <v>15.2493</v>
      </c>
      <c r="H769" s="64">
        <f>25.2649* CHOOSE(CONTROL!$C$22, $C$13, 100%, $E$13)</f>
        <v>25.264900000000001</v>
      </c>
      <c r="I769" s="64">
        <f>25.2651 * CHOOSE(CONTROL!$C$22, $C$13, 100%, $E$13)</f>
        <v>25.2651</v>
      </c>
      <c r="J769" s="64">
        <f>15.2492 * CHOOSE(CONTROL!$C$22, $C$13, 100%, $E$13)</f>
        <v>15.2492</v>
      </c>
      <c r="K769" s="64">
        <f>15.2493 * CHOOSE(CONTROL!$C$22, $C$13, 100%, $E$13)</f>
        <v>15.2493</v>
      </c>
    </row>
    <row r="770" spans="1:11" ht="15">
      <c r="A770" s="13">
        <v>65075</v>
      </c>
      <c r="B770" s="63">
        <f>13.1295 * CHOOSE(CONTROL!$C$22, $C$13, 100%, $E$13)</f>
        <v>13.1295</v>
      </c>
      <c r="C770" s="63">
        <f>13.1295 * CHOOSE(CONTROL!$C$22, $C$13, 100%, $E$13)</f>
        <v>13.1295</v>
      </c>
      <c r="D770" s="63">
        <f>13.1468 * CHOOSE(CONTROL!$C$22, $C$13, 100%, $E$13)</f>
        <v>13.146800000000001</v>
      </c>
      <c r="E770" s="64">
        <f>15.3801 * CHOOSE(CONTROL!$C$22, $C$13, 100%, $E$13)</f>
        <v>15.380100000000001</v>
      </c>
      <c r="F770" s="64">
        <f>15.3801 * CHOOSE(CONTROL!$C$22, $C$13, 100%, $E$13)</f>
        <v>15.380100000000001</v>
      </c>
      <c r="G770" s="64">
        <f>15.3802 * CHOOSE(CONTROL!$C$22, $C$13, 100%, $E$13)</f>
        <v>15.3802</v>
      </c>
      <c r="H770" s="64">
        <f>25.3175* CHOOSE(CONTROL!$C$22, $C$13, 100%, $E$13)</f>
        <v>25.317499999999999</v>
      </c>
      <c r="I770" s="64">
        <f>25.3177 * CHOOSE(CONTROL!$C$22, $C$13, 100%, $E$13)</f>
        <v>25.317699999999999</v>
      </c>
      <c r="J770" s="64">
        <f>15.3801 * CHOOSE(CONTROL!$C$22, $C$13, 100%, $E$13)</f>
        <v>15.380100000000001</v>
      </c>
      <c r="K770" s="64">
        <f>15.3802 * CHOOSE(CONTROL!$C$22, $C$13, 100%, $E$13)</f>
        <v>15.3802</v>
      </c>
    </row>
    <row r="771" spans="1:11" ht="15">
      <c r="A771" s="13">
        <v>65106</v>
      </c>
      <c r="B771" s="63">
        <f>13.1349 * CHOOSE(CONTROL!$C$22, $C$13, 100%, $E$13)</f>
        <v>13.1349</v>
      </c>
      <c r="C771" s="63">
        <f>13.1349 * CHOOSE(CONTROL!$C$22, $C$13, 100%, $E$13)</f>
        <v>13.1349</v>
      </c>
      <c r="D771" s="63">
        <f>13.1523 * CHOOSE(CONTROL!$C$22, $C$13, 100%, $E$13)</f>
        <v>13.1523</v>
      </c>
      <c r="E771" s="64">
        <f>15.5187 * CHOOSE(CONTROL!$C$22, $C$13, 100%, $E$13)</f>
        <v>15.518700000000001</v>
      </c>
      <c r="F771" s="64">
        <f>15.5187 * CHOOSE(CONTROL!$C$22, $C$13, 100%, $E$13)</f>
        <v>15.518700000000001</v>
      </c>
      <c r="G771" s="64">
        <f>15.5189 * CHOOSE(CONTROL!$C$22, $C$13, 100%, $E$13)</f>
        <v>15.5189</v>
      </c>
      <c r="H771" s="64">
        <f>25.3703* CHOOSE(CONTROL!$C$22, $C$13, 100%, $E$13)</f>
        <v>25.3703</v>
      </c>
      <c r="I771" s="64">
        <f>25.3704 * CHOOSE(CONTROL!$C$22, $C$13, 100%, $E$13)</f>
        <v>25.3704</v>
      </c>
      <c r="J771" s="64">
        <f>15.5187 * CHOOSE(CONTROL!$C$22, $C$13, 100%, $E$13)</f>
        <v>15.518700000000001</v>
      </c>
      <c r="K771" s="64">
        <f>15.5189 * CHOOSE(CONTROL!$C$22, $C$13, 100%, $E$13)</f>
        <v>15.5189</v>
      </c>
    </row>
    <row r="772" spans="1:11" ht="15">
      <c r="A772" s="13">
        <v>65136</v>
      </c>
      <c r="B772" s="63">
        <f>13.1349 * CHOOSE(CONTROL!$C$22, $C$13, 100%, $E$13)</f>
        <v>13.1349</v>
      </c>
      <c r="C772" s="63">
        <f>13.1349 * CHOOSE(CONTROL!$C$22, $C$13, 100%, $E$13)</f>
        <v>13.1349</v>
      </c>
      <c r="D772" s="63">
        <f>13.1696 * CHOOSE(CONTROL!$C$22, $C$13, 100%, $E$13)</f>
        <v>13.169600000000001</v>
      </c>
      <c r="E772" s="64">
        <f>15.5722 * CHOOSE(CONTROL!$C$22, $C$13, 100%, $E$13)</f>
        <v>15.5722</v>
      </c>
      <c r="F772" s="64">
        <f>15.5722 * CHOOSE(CONTROL!$C$22, $C$13, 100%, $E$13)</f>
        <v>15.5722</v>
      </c>
      <c r="G772" s="64">
        <f>15.5744 * CHOOSE(CONTROL!$C$22, $C$13, 100%, $E$13)</f>
        <v>15.574400000000001</v>
      </c>
      <c r="H772" s="64">
        <f>25.4231* CHOOSE(CONTROL!$C$22, $C$13, 100%, $E$13)</f>
        <v>25.423100000000002</v>
      </c>
      <c r="I772" s="64">
        <f>25.4253 * CHOOSE(CONTROL!$C$22, $C$13, 100%, $E$13)</f>
        <v>25.4253</v>
      </c>
      <c r="J772" s="64">
        <f>15.5722 * CHOOSE(CONTROL!$C$22, $C$13, 100%, $E$13)</f>
        <v>15.5722</v>
      </c>
      <c r="K772" s="64">
        <f>15.5744 * CHOOSE(CONTROL!$C$22, $C$13, 100%, $E$13)</f>
        <v>15.574400000000001</v>
      </c>
    </row>
    <row r="773" spans="1:11" ht="15">
      <c r="A773" s="13">
        <v>65167</v>
      </c>
      <c r="B773" s="63">
        <f>13.141 * CHOOSE(CONTROL!$C$22, $C$13, 100%, $E$13)</f>
        <v>13.141</v>
      </c>
      <c r="C773" s="63">
        <f>13.141 * CHOOSE(CONTROL!$C$22, $C$13, 100%, $E$13)</f>
        <v>13.141</v>
      </c>
      <c r="D773" s="63">
        <f>13.1757 * CHOOSE(CONTROL!$C$22, $C$13, 100%, $E$13)</f>
        <v>13.175700000000001</v>
      </c>
      <c r="E773" s="64">
        <f>15.5229 * CHOOSE(CONTROL!$C$22, $C$13, 100%, $E$13)</f>
        <v>15.5229</v>
      </c>
      <c r="F773" s="64">
        <f>15.5229 * CHOOSE(CONTROL!$C$22, $C$13, 100%, $E$13)</f>
        <v>15.5229</v>
      </c>
      <c r="G773" s="64">
        <f>15.5251 * CHOOSE(CONTROL!$C$22, $C$13, 100%, $E$13)</f>
        <v>15.5251</v>
      </c>
      <c r="H773" s="64">
        <f>25.4761* CHOOSE(CONTROL!$C$22, $C$13, 100%, $E$13)</f>
        <v>25.476099999999999</v>
      </c>
      <c r="I773" s="64">
        <f>25.4782 * CHOOSE(CONTROL!$C$22, $C$13, 100%, $E$13)</f>
        <v>25.478200000000001</v>
      </c>
      <c r="J773" s="64">
        <f>15.5229 * CHOOSE(CONTROL!$C$22, $C$13, 100%, $E$13)</f>
        <v>15.5229</v>
      </c>
      <c r="K773" s="64">
        <f>15.5251 * CHOOSE(CONTROL!$C$22, $C$13, 100%, $E$13)</f>
        <v>15.5251</v>
      </c>
    </row>
    <row r="774" spans="1:11" ht="15">
      <c r="A774" s="13">
        <v>65197</v>
      </c>
      <c r="B774" s="63">
        <f>13.3479 * CHOOSE(CONTROL!$C$22, $C$13, 100%, $E$13)</f>
        <v>13.347899999999999</v>
      </c>
      <c r="C774" s="63">
        <f>13.3479 * CHOOSE(CONTROL!$C$22, $C$13, 100%, $E$13)</f>
        <v>13.347899999999999</v>
      </c>
      <c r="D774" s="63">
        <f>13.3826 * CHOOSE(CONTROL!$C$22, $C$13, 100%, $E$13)</f>
        <v>13.3826</v>
      </c>
      <c r="E774" s="64">
        <f>15.8193 * CHOOSE(CONTROL!$C$22, $C$13, 100%, $E$13)</f>
        <v>15.8193</v>
      </c>
      <c r="F774" s="64">
        <f>15.8193 * CHOOSE(CONTROL!$C$22, $C$13, 100%, $E$13)</f>
        <v>15.8193</v>
      </c>
      <c r="G774" s="64">
        <f>15.8214 * CHOOSE(CONTROL!$C$22, $C$13, 100%, $E$13)</f>
        <v>15.821400000000001</v>
      </c>
      <c r="H774" s="64">
        <f>25.5291* CHOOSE(CONTROL!$C$22, $C$13, 100%, $E$13)</f>
        <v>25.5291</v>
      </c>
      <c r="I774" s="64">
        <f>25.5313 * CHOOSE(CONTROL!$C$22, $C$13, 100%, $E$13)</f>
        <v>25.531300000000002</v>
      </c>
      <c r="J774" s="64">
        <f>15.8193 * CHOOSE(CONTROL!$C$22, $C$13, 100%, $E$13)</f>
        <v>15.8193</v>
      </c>
      <c r="K774" s="64">
        <f>15.8214 * CHOOSE(CONTROL!$C$22, $C$13, 100%, $E$13)</f>
        <v>15.821400000000001</v>
      </c>
    </row>
    <row r="775" spans="1:11" ht="15">
      <c r="A775" s="13">
        <v>65228</v>
      </c>
      <c r="B775" s="63">
        <f>13.3546 * CHOOSE(CONTROL!$C$22, $C$13, 100%, $E$13)</f>
        <v>13.3546</v>
      </c>
      <c r="C775" s="63">
        <f>13.3546 * CHOOSE(CONTROL!$C$22, $C$13, 100%, $E$13)</f>
        <v>13.3546</v>
      </c>
      <c r="D775" s="63">
        <f>13.3893 * CHOOSE(CONTROL!$C$22, $C$13, 100%, $E$13)</f>
        <v>13.3893</v>
      </c>
      <c r="E775" s="64">
        <f>15.6632 * CHOOSE(CONTROL!$C$22, $C$13, 100%, $E$13)</f>
        <v>15.6632</v>
      </c>
      <c r="F775" s="64">
        <f>15.6632 * CHOOSE(CONTROL!$C$22, $C$13, 100%, $E$13)</f>
        <v>15.6632</v>
      </c>
      <c r="G775" s="64">
        <f>15.6654 * CHOOSE(CONTROL!$C$22, $C$13, 100%, $E$13)</f>
        <v>15.6654</v>
      </c>
      <c r="H775" s="64">
        <f>25.5823* CHOOSE(CONTROL!$C$22, $C$13, 100%, $E$13)</f>
        <v>25.5823</v>
      </c>
      <c r="I775" s="64">
        <f>25.5845 * CHOOSE(CONTROL!$C$22, $C$13, 100%, $E$13)</f>
        <v>25.584499999999998</v>
      </c>
      <c r="J775" s="64">
        <f>15.6632 * CHOOSE(CONTROL!$C$22, $C$13, 100%, $E$13)</f>
        <v>15.6632</v>
      </c>
      <c r="K775" s="64">
        <f>15.6654 * CHOOSE(CONTROL!$C$22, $C$13, 100%, $E$13)</f>
        <v>15.6654</v>
      </c>
    </row>
    <row r="776" spans="1:11" ht="15">
      <c r="A776" s="13">
        <v>65259</v>
      </c>
      <c r="B776" s="63">
        <f>13.3516 * CHOOSE(CONTROL!$C$22, $C$13, 100%, $E$13)</f>
        <v>13.351599999999999</v>
      </c>
      <c r="C776" s="63">
        <f>13.3516 * CHOOSE(CONTROL!$C$22, $C$13, 100%, $E$13)</f>
        <v>13.351599999999999</v>
      </c>
      <c r="D776" s="63">
        <f>13.3862 * CHOOSE(CONTROL!$C$22, $C$13, 100%, $E$13)</f>
        <v>13.386200000000001</v>
      </c>
      <c r="E776" s="64">
        <f>15.6433 * CHOOSE(CONTROL!$C$22, $C$13, 100%, $E$13)</f>
        <v>15.6433</v>
      </c>
      <c r="F776" s="64">
        <f>15.6433 * CHOOSE(CONTROL!$C$22, $C$13, 100%, $E$13)</f>
        <v>15.6433</v>
      </c>
      <c r="G776" s="64">
        <f>15.6454 * CHOOSE(CONTROL!$C$22, $C$13, 100%, $E$13)</f>
        <v>15.6454</v>
      </c>
      <c r="H776" s="64">
        <f>25.6356* CHOOSE(CONTROL!$C$22, $C$13, 100%, $E$13)</f>
        <v>25.6356</v>
      </c>
      <c r="I776" s="64">
        <f>25.6378 * CHOOSE(CONTROL!$C$22, $C$13, 100%, $E$13)</f>
        <v>25.637799999999999</v>
      </c>
      <c r="J776" s="64">
        <f>15.6433 * CHOOSE(CONTROL!$C$22, $C$13, 100%, $E$13)</f>
        <v>15.6433</v>
      </c>
      <c r="K776" s="64">
        <f>15.6454 * CHOOSE(CONTROL!$C$22, $C$13, 100%, $E$13)</f>
        <v>15.6454</v>
      </c>
    </row>
    <row r="777" spans="1:11" ht="15">
      <c r="A777" s="13">
        <v>65289</v>
      </c>
      <c r="B777" s="63">
        <f>13.3774 * CHOOSE(CONTROL!$C$22, $C$13, 100%, $E$13)</f>
        <v>13.3774</v>
      </c>
      <c r="C777" s="63">
        <f>13.3774 * CHOOSE(CONTROL!$C$22, $C$13, 100%, $E$13)</f>
        <v>13.3774</v>
      </c>
      <c r="D777" s="63">
        <f>13.3947 * CHOOSE(CONTROL!$C$22, $C$13, 100%, $E$13)</f>
        <v>13.3947</v>
      </c>
      <c r="E777" s="64">
        <f>15.7013 * CHOOSE(CONTROL!$C$22, $C$13, 100%, $E$13)</f>
        <v>15.7013</v>
      </c>
      <c r="F777" s="64">
        <f>15.7013 * CHOOSE(CONTROL!$C$22, $C$13, 100%, $E$13)</f>
        <v>15.7013</v>
      </c>
      <c r="G777" s="64">
        <f>15.7015 * CHOOSE(CONTROL!$C$22, $C$13, 100%, $E$13)</f>
        <v>15.701499999999999</v>
      </c>
      <c r="H777" s="64">
        <f>25.689* CHOOSE(CONTROL!$C$22, $C$13, 100%, $E$13)</f>
        <v>25.689</v>
      </c>
      <c r="I777" s="64">
        <f>25.6892 * CHOOSE(CONTROL!$C$22, $C$13, 100%, $E$13)</f>
        <v>25.6892</v>
      </c>
      <c r="J777" s="64">
        <f>15.7013 * CHOOSE(CONTROL!$C$22, $C$13, 100%, $E$13)</f>
        <v>15.7013</v>
      </c>
      <c r="K777" s="64">
        <f>15.7015 * CHOOSE(CONTROL!$C$22, $C$13, 100%, $E$13)</f>
        <v>15.701499999999999</v>
      </c>
    </row>
    <row r="778" spans="1:11" ht="15">
      <c r="A778" s="13">
        <v>65320</v>
      </c>
      <c r="B778" s="63">
        <f>13.3804 * CHOOSE(CONTROL!$C$22, $C$13, 100%, $E$13)</f>
        <v>13.3804</v>
      </c>
      <c r="C778" s="63">
        <f>13.3804 * CHOOSE(CONTROL!$C$22, $C$13, 100%, $E$13)</f>
        <v>13.3804</v>
      </c>
      <c r="D778" s="63">
        <f>13.3978 * CHOOSE(CONTROL!$C$22, $C$13, 100%, $E$13)</f>
        <v>13.3978</v>
      </c>
      <c r="E778" s="64">
        <f>15.7391 * CHOOSE(CONTROL!$C$22, $C$13, 100%, $E$13)</f>
        <v>15.739100000000001</v>
      </c>
      <c r="F778" s="64">
        <f>15.7391 * CHOOSE(CONTROL!$C$22, $C$13, 100%, $E$13)</f>
        <v>15.739100000000001</v>
      </c>
      <c r="G778" s="64">
        <f>15.7393 * CHOOSE(CONTROL!$C$22, $C$13, 100%, $E$13)</f>
        <v>15.7393</v>
      </c>
      <c r="H778" s="64">
        <f>25.7426* CHOOSE(CONTROL!$C$22, $C$13, 100%, $E$13)</f>
        <v>25.742599999999999</v>
      </c>
      <c r="I778" s="64">
        <f>25.7427 * CHOOSE(CONTROL!$C$22, $C$13, 100%, $E$13)</f>
        <v>25.742699999999999</v>
      </c>
      <c r="J778" s="64">
        <f>15.7391 * CHOOSE(CONTROL!$C$22, $C$13, 100%, $E$13)</f>
        <v>15.739100000000001</v>
      </c>
      <c r="K778" s="64">
        <f>15.7393 * CHOOSE(CONTROL!$C$22, $C$13, 100%, $E$13)</f>
        <v>15.7393</v>
      </c>
    </row>
    <row r="779" spans="1:11" ht="15">
      <c r="A779" s="13">
        <v>65350</v>
      </c>
      <c r="B779" s="63">
        <f>13.3804 * CHOOSE(CONTROL!$C$22, $C$13, 100%, $E$13)</f>
        <v>13.3804</v>
      </c>
      <c r="C779" s="63">
        <f>13.3804 * CHOOSE(CONTROL!$C$22, $C$13, 100%, $E$13)</f>
        <v>13.3804</v>
      </c>
      <c r="D779" s="63">
        <f>13.3978 * CHOOSE(CONTROL!$C$22, $C$13, 100%, $E$13)</f>
        <v>13.3978</v>
      </c>
      <c r="E779" s="64">
        <f>15.6498 * CHOOSE(CONTROL!$C$22, $C$13, 100%, $E$13)</f>
        <v>15.649800000000001</v>
      </c>
      <c r="F779" s="64">
        <f>15.6498 * CHOOSE(CONTROL!$C$22, $C$13, 100%, $E$13)</f>
        <v>15.649800000000001</v>
      </c>
      <c r="G779" s="64">
        <f>15.65 * CHOOSE(CONTROL!$C$22, $C$13, 100%, $E$13)</f>
        <v>15.65</v>
      </c>
      <c r="H779" s="64">
        <f>25.7962* CHOOSE(CONTROL!$C$22, $C$13, 100%, $E$13)</f>
        <v>25.796199999999999</v>
      </c>
      <c r="I779" s="64">
        <f>25.7964 * CHOOSE(CONTROL!$C$22, $C$13, 100%, $E$13)</f>
        <v>25.796399999999998</v>
      </c>
      <c r="J779" s="64">
        <f>15.6498 * CHOOSE(CONTROL!$C$22, $C$13, 100%, $E$13)</f>
        <v>15.649800000000001</v>
      </c>
      <c r="K779" s="64">
        <f>15.65 * CHOOSE(CONTROL!$C$22, $C$13, 100%, $E$13)</f>
        <v>15.65</v>
      </c>
    </row>
    <row r="780" spans="1:11" ht="15">
      <c r="A780" s="13">
        <v>65381</v>
      </c>
      <c r="B780" s="63">
        <f>13.3809 * CHOOSE(CONTROL!$C$22, $C$13, 100%, $E$13)</f>
        <v>13.3809</v>
      </c>
      <c r="C780" s="63">
        <f>13.3809 * CHOOSE(CONTROL!$C$22, $C$13, 100%, $E$13)</f>
        <v>13.3809</v>
      </c>
      <c r="D780" s="63">
        <f>13.3982 * CHOOSE(CONTROL!$C$22, $C$13, 100%, $E$13)</f>
        <v>13.398199999999999</v>
      </c>
      <c r="E780" s="64">
        <f>15.7124 * CHOOSE(CONTROL!$C$22, $C$13, 100%, $E$13)</f>
        <v>15.712400000000001</v>
      </c>
      <c r="F780" s="64">
        <f>15.7124 * CHOOSE(CONTROL!$C$22, $C$13, 100%, $E$13)</f>
        <v>15.712400000000001</v>
      </c>
      <c r="G780" s="64">
        <f>15.7126 * CHOOSE(CONTROL!$C$22, $C$13, 100%, $E$13)</f>
        <v>15.7126</v>
      </c>
      <c r="H780" s="64">
        <f>25.6582* CHOOSE(CONTROL!$C$22, $C$13, 100%, $E$13)</f>
        <v>25.658200000000001</v>
      </c>
      <c r="I780" s="64">
        <f>25.6584 * CHOOSE(CONTROL!$C$22, $C$13, 100%, $E$13)</f>
        <v>25.6584</v>
      </c>
      <c r="J780" s="64">
        <f>15.7124 * CHOOSE(CONTROL!$C$22, $C$13, 100%, $E$13)</f>
        <v>15.712400000000001</v>
      </c>
      <c r="K780" s="64">
        <f>15.7126 * CHOOSE(CONTROL!$C$22, $C$13, 100%, $E$13)</f>
        <v>15.7126</v>
      </c>
    </row>
    <row r="781" spans="1:11" ht="15">
      <c r="A781" s="13">
        <v>65412</v>
      </c>
      <c r="B781" s="63">
        <f>13.3778 * CHOOSE(CONTROL!$C$22, $C$13, 100%, $E$13)</f>
        <v>13.377800000000001</v>
      </c>
      <c r="C781" s="63">
        <f>13.3778 * CHOOSE(CONTROL!$C$22, $C$13, 100%, $E$13)</f>
        <v>13.377800000000001</v>
      </c>
      <c r="D781" s="63">
        <f>13.3951 * CHOOSE(CONTROL!$C$22, $C$13, 100%, $E$13)</f>
        <v>13.395099999999999</v>
      </c>
      <c r="E781" s="64">
        <f>15.5384 * CHOOSE(CONTROL!$C$22, $C$13, 100%, $E$13)</f>
        <v>15.538399999999999</v>
      </c>
      <c r="F781" s="64">
        <f>15.5384 * CHOOSE(CONTROL!$C$22, $C$13, 100%, $E$13)</f>
        <v>15.538399999999999</v>
      </c>
      <c r="G781" s="64">
        <f>15.5385 * CHOOSE(CONTROL!$C$22, $C$13, 100%, $E$13)</f>
        <v>15.538500000000001</v>
      </c>
      <c r="H781" s="64">
        <f>25.7117* CHOOSE(CONTROL!$C$22, $C$13, 100%, $E$13)</f>
        <v>25.7117</v>
      </c>
      <c r="I781" s="64">
        <f>25.7119 * CHOOSE(CONTROL!$C$22, $C$13, 100%, $E$13)</f>
        <v>25.7119</v>
      </c>
      <c r="J781" s="64">
        <f>15.5384 * CHOOSE(CONTROL!$C$22, $C$13, 100%, $E$13)</f>
        <v>15.538399999999999</v>
      </c>
      <c r="K781" s="64">
        <f>15.5385 * CHOOSE(CONTROL!$C$22, $C$13, 100%, $E$13)</f>
        <v>15.538500000000001</v>
      </c>
    </row>
    <row r="782" spans="1:11" ht="15">
      <c r="A782" s="13">
        <v>65440</v>
      </c>
      <c r="B782" s="63">
        <f>13.3748 * CHOOSE(CONTROL!$C$22, $C$13, 100%, $E$13)</f>
        <v>13.3748</v>
      </c>
      <c r="C782" s="63">
        <f>13.3748 * CHOOSE(CONTROL!$C$22, $C$13, 100%, $E$13)</f>
        <v>13.3748</v>
      </c>
      <c r="D782" s="63">
        <f>13.3921 * CHOOSE(CONTROL!$C$22, $C$13, 100%, $E$13)</f>
        <v>13.392099999999999</v>
      </c>
      <c r="E782" s="64">
        <f>15.6718 * CHOOSE(CONTROL!$C$22, $C$13, 100%, $E$13)</f>
        <v>15.671799999999999</v>
      </c>
      <c r="F782" s="64">
        <f>15.6718 * CHOOSE(CONTROL!$C$22, $C$13, 100%, $E$13)</f>
        <v>15.671799999999999</v>
      </c>
      <c r="G782" s="64">
        <f>15.672 * CHOOSE(CONTROL!$C$22, $C$13, 100%, $E$13)</f>
        <v>15.672000000000001</v>
      </c>
      <c r="H782" s="64">
        <f>25.7653* CHOOSE(CONTROL!$C$22, $C$13, 100%, $E$13)</f>
        <v>25.7653</v>
      </c>
      <c r="I782" s="64">
        <f>25.7654 * CHOOSE(CONTROL!$C$22, $C$13, 100%, $E$13)</f>
        <v>25.7654</v>
      </c>
      <c r="J782" s="64">
        <f>15.6718 * CHOOSE(CONTROL!$C$22, $C$13, 100%, $E$13)</f>
        <v>15.671799999999999</v>
      </c>
      <c r="K782" s="64">
        <f>15.672 * CHOOSE(CONTROL!$C$22, $C$13, 100%, $E$13)</f>
        <v>15.672000000000001</v>
      </c>
    </row>
    <row r="783" spans="1:11" ht="15">
      <c r="A783" s="13">
        <v>65471</v>
      </c>
      <c r="B783" s="63">
        <f>13.3804 * CHOOSE(CONTROL!$C$22, $C$13, 100%, $E$13)</f>
        <v>13.3804</v>
      </c>
      <c r="C783" s="63">
        <f>13.3804 * CHOOSE(CONTROL!$C$22, $C$13, 100%, $E$13)</f>
        <v>13.3804</v>
      </c>
      <c r="D783" s="63">
        <f>13.3978 * CHOOSE(CONTROL!$C$22, $C$13, 100%, $E$13)</f>
        <v>13.3978</v>
      </c>
      <c r="E783" s="64">
        <f>15.8131 * CHOOSE(CONTROL!$C$22, $C$13, 100%, $E$13)</f>
        <v>15.8131</v>
      </c>
      <c r="F783" s="64">
        <f>15.8131 * CHOOSE(CONTROL!$C$22, $C$13, 100%, $E$13)</f>
        <v>15.8131</v>
      </c>
      <c r="G783" s="64">
        <f>15.8133 * CHOOSE(CONTROL!$C$22, $C$13, 100%, $E$13)</f>
        <v>15.8133</v>
      </c>
      <c r="H783" s="64">
        <f>25.8189* CHOOSE(CONTROL!$C$22, $C$13, 100%, $E$13)</f>
        <v>25.818899999999999</v>
      </c>
      <c r="I783" s="64">
        <f>25.8191 * CHOOSE(CONTROL!$C$22, $C$13, 100%, $E$13)</f>
        <v>25.819099999999999</v>
      </c>
      <c r="J783" s="64">
        <f>15.8131 * CHOOSE(CONTROL!$C$22, $C$13, 100%, $E$13)</f>
        <v>15.8131</v>
      </c>
      <c r="K783" s="64">
        <f>15.8133 * CHOOSE(CONTROL!$C$22, $C$13, 100%, $E$13)</f>
        <v>15.8133</v>
      </c>
    </row>
    <row r="784" spans="1:11" ht="15">
      <c r="A784" s="13">
        <v>65501</v>
      </c>
      <c r="B784" s="63">
        <f>13.3804 * CHOOSE(CONTROL!$C$22, $C$13, 100%, $E$13)</f>
        <v>13.3804</v>
      </c>
      <c r="C784" s="63">
        <f>13.3804 * CHOOSE(CONTROL!$C$22, $C$13, 100%, $E$13)</f>
        <v>13.3804</v>
      </c>
      <c r="D784" s="63">
        <f>13.4151 * CHOOSE(CONTROL!$C$22, $C$13, 100%, $E$13)</f>
        <v>13.415100000000001</v>
      </c>
      <c r="E784" s="64">
        <f>15.8677 * CHOOSE(CONTROL!$C$22, $C$13, 100%, $E$13)</f>
        <v>15.867699999999999</v>
      </c>
      <c r="F784" s="64">
        <f>15.8677 * CHOOSE(CONTROL!$C$22, $C$13, 100%, $E$13)</f>
        <v>15.867699999999999</v>
      </c>
      <c r="G784" s="64">
        <f>15.8699 * CHOOSE(CONTROL!$C$22, $C$13, 100%, $E$13)</f>
        <v>15.869899999999999</v>
      </c>
      <c r="H784" s="64">
        <f>25.8727* CHOOSE(CONTROL!$C$22, $C$13, 100%, $E$13)</f>
        <v>25.872699999999998</v>
      </c>
      <c r="I784" s="64">
        <f>25.8749 * CHOOSE(CONTROL!$C$22, $C$13, 100%, $E$13)</f>
        <v>25.8749</v>
      </c>
      <c r="J784" s="64">
        <f>15.8677 * CHOOSE(CONTROL!$C$22, $C$13, 100%, $E$13)</f>
        <v>15.867699999999999</v>
      </c>
      <c r="K784" s="64">
        <f>15.8699 * CHOOSE(CONTROL!$C$22, $C$13, 100%, $E$13)</f>
        <v>15.869899999999999</v>
      </c>
    </row>
    <row r="785" spans="1:11" ht="15">
      <c r="A785" s="13">
        <v>65532</v>
      </c>
      <c r="B785" s="63">
        <f>13.3865 * CHOOSE(CONTROL!$C$22, $C$13, 100%, $E$13)</f>
        <v>13.3865</v>
      </c>
      <c r="C785" s="63">
        <f>13.3865 * CHOOSE(CONTROL!$C$22, $C$13, 100%, $E$13)</f>
        <v>13.3865</v>
      </c>
      <c r="D785" s="63">
        <f>13.4212 * CHOOSE(CONTROL!$C$22, $C$13, 100%, $E$13)</f>
        <v>13.421200000000001</v>
      </c>
      <c r="E785" s="64">
        <f>15.8174 * CHOOSE(CONTROL!$C$22, $C$13, 100%, $E$13)</f>
        <v>15.817399999999999</v>
      </c>
      <c r="F785" s="64">
        <f>15.8174 * CHOOSE(CONTROL!$C$22, $C$13, 100%, $E$13)</f>
        <v>15.817399999999999</v>
      </c>
      <c r="G785" s="64">
        <f>15.8195 * CHOOSE(CONTROL!$C$22, $C$13, 100%, $E$13)</f>
        <v>15.8195</v>
      </c>
      <c r="H785" s="64">
        <f>25.9266* CHOOSE(CONTROL!$C$22, $C$13, 100%, $E$13)</f>
        <v>25.926600000000001</v>
      </c>
      <c r="I785" s="64">
        <f>25.9288 * CHOOSE(CONTROL!$C$22, $C$13, 100%, $E$13)</f>
        <v>25.928799999999999</v>
      </c>
      <c r="J785" s="64">
        <f>15.8174 * CHOOSE(CONTROL!$C$22, $C$13, 100%, $E$13)</f>
        <v>15.817399999999999</v>
      </c>
      <c r="K785" s="64">
        <f>15.8195 * CHOOSE(CONTROL!$C$22, $C$13, 100%, $E$13)</f>
        <v>15.8195</v>
      </c>
    </row>
    <row r="786" spans="1:11" ht="15">
      <c r="A786" s="13">
        <v>65562</v>
      </c>
      <c r="B786" s="63">
        <f>13.5972 * CHOOSE(CONTROL!$C$22, $C$13, 100%, $E$13)</f>
        <v>13.597200000000001</v>
      </c>
      <c r="C786" s="63">
        <f>13.5972 * CHOOSE(CONTROL!$C$22, $C$13, 100%, $E$13)</f>
        <v>13.597200000000001</v>
      </c>
      <c r="D786" s="63">
        <f>13.6318 * CHOOSE(CONTROL!$C$22, $C$13, 100%, $E$13)</f>
        <v>13.6318</v>
      </c>
      <c r="E786" s="64">
        <f>16.1192 * CHOOSE(CONTROL!$C$22, $C$13, 100%, $E$13)</f>
        <v>16.119199999999999</v>
      </c>
      <c r="F786" s="64">
        <f>16.1192 * CHOOSE(CONTROL!$C$22, $C$13, 100%, $E$13)</f>
        <v>16.119199999999999</v>
      </c>
      <c r="G786" s="64">
        <f>16.1213 * CHOOSE(CONTROL!$C$22, $C$13, 100%, $E$13)</f>
        <v>16.121300000000002</v>
      </c>
      <c r="H786" s="64">
        <f>25.9806* CHOOSE(CONTROL!$C$22, $C$13, 100%, $E$13)</f>
        <v>25.980599999999999</v>
      </c>
      <c r="I786" s="64">
        <f>25.9828 * CHOOSE(CONTROL!$C$22, $C$13, 100%, $E$13)</f>
        <v>25.982800000000001</v>
      </c>
      <c r="J786" s="64">
        <f>16.1192 * CHOOSE(CONTROL!$C$22, $C$13, 100%, $E$13)</f>
        <v>16.119199999999999</v>
      </c>
      <c r="K786" s="64">
        <f>16.1213 * CHOOSE(CONTROL!$C$22, $C$13, 100%, $E$13)</f>
        <v>16.121300000000002</v>
      </c>
    </row>
    <row r="787" spans="1:11" ht="15">
      <c r="A787" s="13">
        <v>65593</v>
      </c>
      <c r="B787" s="63">
        <f>13.6038 * CHOOSE(CONTROL!$C$22, $C$13, 100%, $E$13)</f>
        <v>13.6038</v>
      </c>
      <c r="C787" s="63">
        <f>13.6038 * CHOOSE(CONTROL!$C$22, $C$13, 100%, $E$13)</f>
        <v>13.6038</v>
      </c>
      <c r="D787" s="63">
        <f>13.6385 * CHOOSE(CONTROL!$C$22, $C$13, 100%, $E$13)</f>
        <v>13.638500000000001</v>
      </c>
      <c r="E787" s="64">
        <f>15.9601 * CHOOSE(CONTROL!$C$22, $C$13, 100%, $E$13)</f>
        <v>15.960100000000001</v>
      </c>
      <c r="F787" s="64">
        <f>15.9601 * CHOOSE(CONTROL!$C$22, $C$13, 100%, $E$13)</f>
        <v>15.960100000000001</v>
      </c>
      <c r="G787" s="64">
        <f>15.9622 * CHOOSE(CONTROL!$C$22, $C$13, 100%, $E$13)</f>
        <v>15.962199999999999</v>
      </c>
      <c r="H787" s="64">
        <f>26.0348* CHOOSE(CONTROL!$C$22, $C$13, 100%, $E$13)</f>
        <v>26.034800000000001</v>
      </c>
      <c r="I787" s="64">
        <f>26.0369 * CHOOSE(CONTROL!$C$22, $C$13, 100%, $E$13)</f>
        <v>26.036899999999999</v>
      </c>
      <c r="J787" s="64">
        <f>15.9601 * CHOOSE(CONTROL!$C$22, $C$13, 100%, $E$13)</f>
        <v>15.960100000000001</v>
      </c>
      <c r="K787" s="64">
        <f>15.9622 * CHOOSE(CONTROL!$C$22, $C$13, 100%, $E$13)</f>
        <v>15.962199999999999</v>
      </c>
    </row>
    <row r="788" spans="1:11" ht="15">
      <c r="A788" s="13">
        <v>65624</v>
      </c>
      <c r="B788" s="63">
        <f>13.6008 * CHOOSE(CONTROL!$C$22, $C$13, 100%, $E$13)</f>
        <v>13.6008</v>
      </c>
      <c r="C788" s="63">
        <f>13.6008 * CHOOSE(CONTROL!$C$22, $C$13, 100%, $E$13)</f>
        <v>13.6008</v>
      </c>
      <c r="D788" s="63">
        <f>13.6355 * CHOOSE(CONTROL!$C$22, $C$13, 100%, $E$13)</f>
        <v>13.6355</v>
      </c>
      <c r="E788" s="64">
        <f>15.9398 * CHOOSE(CONTROL!$C$22, $C$13, 100%, $E$13)</f>
        <v>15.9398</v>
      </c>
      <c r="F788" s="64">
        <f>15.9398 * CHOOSE(CONTROL!$C$22, $C$13, 100%, $E$13)</f>
        <v>15.9398</v>
      </c>
      <c r="G788" s="64">
        <f>15.9419 * CHOOSE(CONTROL!$C$22, $C$13, 100%, $E$13)</f>
        <v>15.9419</v>
      </c>
      <c r="H788" s="64">
        <f>26.089* CHOOSE(CONTROL!$C$22, $C$13, 100%, $E$13)</f>
        <v>26.088999999999999</v>
      </c>
      <c r="I788" s="64">
        <f>26.0912 * CHOOSE(CONTROL!$C$22, $C$13, 100%, $E$13)</f>
        <v>26.091200000000001</v>
      </c>
      <c r="J788" s="64">
        <f>15.9398 * CHOOSE(CONTROL!$C$22, $C$13, 100%, $E$13)</f>
        <v>15.9398</v>
      </c>
      <c r="K788" s="64">
        <f>15.9419 * CHOOSE(CONTROL!$C$22, $C$13, 100%, $E$13)</f>
        <v>15.9419</v>
      </c>
    </row>
    <row r="789" spans="1:11" ht="15">
      <c r="A789" s="13">
        <v>65654</v>
      </c>
      <c r="B789" s="63">
        <f>13.6274 * CHOOSE(CONTROL!$C$22, $C$13, 100%, $E$13)</f>
        <v>13.6274</v>
      </c>
      <c r="C789" s="63">
        <f>13.6274 * CHOOSE(CONTROL!$C$22, $C$13, 100%, $E$13)</f>
        <v>13.6274</v>
      </c>
      <c r="D789" s="63">
        <f>13.6448 * CHOOSE(CONTROL!$C$22, $C$13, 100%, $E$13)</f>
        <v>13.6448</v>
      </c>
      <c r="E789" s="64">
        <f>15.9991 * CHOOSE(CONTROL!$C$22, $C$13, 100%, $E$13)</f>
        <v>15.9991</v>
      </c>
      <c r="F789" s="64">
        <f>15.9991 * CHOOSE(CONTROL!$C$22, $C$13, 100%, $E$13)</f>
        <v>15.9991</v>
      </c>
      <c r="G789" s="64">
        <f>15.9993 * CHOOSE(CONTROL!$C$22, $C$13, 100%, $E$13)</f>
        <v>15.9993</v>
      </c>
      <c r="H789" s="64">
        <f>26.1434* CHOOSE(CONTROL!$C$22, $C$13, 100%, $E$13)</f>
        <v>26.1434</v>
      </c>
      <c r="I789" s="64">
        <f>26.1435 * CHOOSE(CONTROL!$C$22, $C$13, 100%, $E$13)</f>
        <v>26.1435</v>
      </c>
      <c r="J789" s="64">
        <f>15.9991 * CHOOSE(CONTROL!$C$22, $C$13, 100%, $E$13)</f>
        <v>15.9991</v>
      </c>
      <c r="K789" s="64">
        <f>15.9993 * CHOOSE(CONTROL!$C$22, $C$13, 100%, $E$13)</f>
        <v>15.9993</v>
      </c>
    </row>
    <row r="790" spans="1:11" ht="15">
      <c r="A790" s="13">
        <v>65685</v>
      </c>
      <c r="B790" s="63">
        <f>13.6305 * CHOOSE(CONTROL!$C$22, $C$13, 100%, $E$13)</f>
        <v>13.6305</v>
      </c>
      <c r="C790" s="63">
        <f>13.6305 * CHOOSE(CONTROL!$C$22, $C$13, 100%, $E$13)</f>
        <v>13.6305</v>
      </c>
      <c r="D790" s="63">
        <f>13.6478 * CHOOSE(CONTROL!$C$22, $C$13, 100%, $E$13)</f>
        <v>13.6478</v>
      </c>
      <c r="E790" s="64">
        <f>16.0376 * CHOOSE(CONTROL!$C$22, $C$13, 100%, $E$13)</f>
        <v>16.037600000000001</v>
      </c>
      <c r="F790" s="64">
        <f>16.0376 * CHOOSE(CONTROL!$C$22, $C$13, 100%, $E$13)</f>
        <v>16.037600000000001</v>
      </c>
      <c r="G790" s="64">
        <f>16.0378 * CHOOSE(CONTROL!$C$22, $C$13, 100%, $E$13)</f>
        <v>16.037800000000001</v>
      </c>
      <c r="H790" s="64">
        <f>26.1978* CHOOSE(CONTROL!$C$22, $C$13, 100%, $E$13)</f>
        <v>26.197800000000001</v>
      </c>
      <c r="I790" s="64">
        <f>26.198 * CHOOSE(CONTROL!$C$22, $C$13, 100%, $E$13)</f>
        <v>26.198</v>
      </c>
      <c r="J790" s="64">
        <f>16.0376 * CHOOSE(CONTROL!$C$22, $C$13, 100%, $E$13)</f>
        <v>16.037600000000001</v>
      </c>
      <c r="K790" s="64">
        <f>16.0378 * CHOOSE(CONTROL!$C$22, $C$13, 100%, $E$13)</f>
        <v>16.037800000000001</v>
      </c>
    </row>
    <row r="791" spans="1:11" ht="15">
      <c r="A791" s="13">
        <v>65715</v>
      </c>
      <c r="B791" s="63">
        <f>13.6305 * CHOOSE(CONTROL!$C$22, $C$13, 100%, $E$13)</f>
        <v>13.6305</v>
      </c>
      <c r="C791" s="63">
        <f>13.6305 * CHOOSE(CONTROL!$C$22, $C$13, 100%, $E$13)</f>
        <v>13.6305</v>
      </c>
      <c r="D791" s="63">
        <f>13.6478 * CHOOSE(CONTROL!$C$22, $C$13, 100%, $E$13)</f>
        <v>13.6478</v>
      </c>
      <c r="E791" s="64">
        <f>15.9467 * CHOOSE(CONTROL!$C$22, $C$13, 100%, $E$13)</f>
        <v>15.9467</v>
      </c>
      <c r="F791" s="64">
        <f>15.9467 * CHOOSE(CONTROL!$C$22, $C$13, 100%, $E$13)</f>
        <v>15.9467</v>
      </c>
      <c r="G791" s="64">
        <f>15.9468 * CHOOSE(CONTROL!$C$22, $C$13, 100%, $E$13)</f>
        <v>15.9468</v>
      </c>
      <c r="H791" s="64">
        <f>26.2524* CHOOSE(CONTROL!$C$22, $C$13, 100%, $E$13)</f>
        <v>26.252400000000002</v>
      </c>
      <c r="I791" s="64">
        <f>26.2526 * CHOOSE(CONTROL!$C$22, $C$13, 100%, $E$13)</f>
        <v>26.252600000000001</v>
      </c>
      <c r="J791" s="64">
        <f>15.9467 * CHOOSE(CONTROL!$C$22, $C$13, 100%, $E$13)</f>
        <v>15.9467</v>
      </c>
      <c r="K791" s="64">
        <f>15.9468 * CHOOSE(CONTROL!$C$22, $C$13, 100%, $E$13)</f>
        <v>15.9468</v>
      </c>
    </row>
    <row r="792" spans="1:11" ht="15">
      <c r="A792" s="13">
        <v>65746</v>
      </c>
      <c r="B792" s="63">
        <f>13.6262 * CHOOSE(CONTROL!$C$22, $C$13, 100%, $E$13)</f>
        <v>13.626200000000001</v>
      </c>
      <c r="C792" s="63">
        <f>13.6262 * CHOOSE(CONTROL!$C$22, $C$13, 100%, $E$13)</f>
        <v>13.626200000000001</v>
      </c>
      <c r="D792" s="63">
        <f>13.6435 * CHOOSE(CONTROL!$C$22, $C$13, 100%, $E$13)</f>
        <v>13.6435</v>
      </c>
      <c r="E792" s="64">
        <f>16.0048 * CHOOSE(CONTROL!$C$22, $C$13, 100%, $E$13)</f>
        <v>16.004799999999999</v>
      </c>
      <c r="F792" s="64">
        <f>16.0048 * CHOOSE(CONTROL!$C$22, $C$13, 100%, $E$13)</f>
        <v>16.004799999999999</v>
      </c>
      <c r="G792" s="64">
        <f>16.005 * CHOOSE(CONTROL!$C$22, $C$13, 100%, $E$13)</f>
        <v>16.004999999999999</v>
      </c>
      <c r="H792" s="64">
        <f>26.1041* CHOOSE(CONTROL!$C$22, $C$13, 100%, $E$13)</f>
        <v>26.104099999999999</v>
      </c>
      <c r="I792" s="64">
        <f>26.1043 * CHOOSE(CONTROL!$C$22, $C$13, 100%, $E$13)</f>
        <v>26.104299999999999</v>
      </c>
      <c r="J792" s="64">
        <f>16.0048 * CHOOSE(CONTROL!$C$22, $C$13, 100%, $E$13)</f>
        <v>16.004799999999999</v>
      </c>
      <c r="K792" s="64">
        <f>16.005 * CHOOSE(CONTROL!$C$22, $C$13, 100%, $E$13)</f>
        <v>16.004999999999999</v>
      </c>
    </row>
    <row r="793" spans="1:11" ht="15">
      <c r="A793" s="13">
        <v>65777</v>
      </c>
      <c r="B793" s="63">
        <f>13.6231 * CHOOSE(CONTROL!$C$22, $C$13, 100%, $E$13)</f>
        <v>13.623100000000001</v>
      </c>
      <c r="C793" s="63">
        <f>13.6231 * CHOOSE(CONTROL!$C$22, $C$13, 100%, $E$13)</f>
        <v>13.623100000000001</v>
      </c>
      <c r="D793" s="63">
        <f>13.6405 * CHOOSE(CONTROL!$C$22, $C$13, 100%, $E$13)</f>
        <v>13.640499999999999</v>
      </c>
      <c r="E793" s="64">
        <f>15.8276 * CHOOSE(CONTROL!$C$22, $C$13, 100%, $E$13)</f>
        <v>15.8276</v>
      </c>
      <c r="F793" s="64">
        <f>15.8276 * CHOOSE(CONTROL!$C$22, $C$13, 100%, $E$13)</f>
        <v>15.8276</v>
      </c>
      <c r="G793" s="64">
        <f>15.8278 * CHOOSE(CONTROL!$C$22, $C$13, 100%, $E$13)</f>
        <v>15.8278</v>
      </c>
      <c r="H793" s="64">
        <f>26.1585* CHOOSE(CONTROL!$C$22, $C$13, 100%, $E$13)</f>
        <v>26.1585</v>
      </c>
      <c r="I793" s="64">
        <f>26.1587 * CHOOSE(CONTROL!$C$22, $C$13, 100%, $E$13)</f>
        <v>26.1587</v>
      </c>
      <c r="J793" s="64">
        <f>15.8276 * CHOOSE(CONTROL!$C$22, $C$13, 100%, $E$13)</f>
        <v>15.8276</v>
      </c>
      <c r="K793" s="64">
        <f>15.8278 * CHOOSE(CONTROL!$C$22, $C$13, 100%, $E$13)</f>
        <v>15.8278</v>
      </c>
    </row>
    <row r="794" spans="1:11" ht="15">
      <c r="A794" s="13">
        <v>65806</v>
      </c>
      <c r="B794" s="63">
        <f>13.6201 * CHOOSE(CONTROL!$C$22, $C$13, 100%, $E$13)</f>
        <v>13.620100000000001</v>
      </c>
      <c r="C794" s="63">
        <f>13.6201 * CHOOSE(CONTROL!$C$22, $C$13, 100%, $E$13)</f>
        <v>13.620100000000001</v>
      </c>
      <c r="D794" s="63">
        <f>13.6374 * CHOOSE(CONTROL!$C$22, $C$13, 100%, $E$13)</f>
        <v>13.6374</v>
      </c>
      <c r="E794" s="64">
        <f>15.9635 * CHOOSE(CONTROL!$C$22, $C$13, 100%, $E$13)</f>
        <v>15.9635</v>
      </c>
      <c r="F794" s="64">
        <f>15.9635 * CHOOSE(CONTROL!$C$22, $C$13, 100%, $E$13)</f>
        <v>15.9635</v>
      </c>
      <c r="G794" s="64">
        <f>15.9637 * CHOOSE(CONTROL!$C$22, $C$13, 100%, $E$13)</f>
        <v>15.963699999999999</v>
      </c>
      <c r="H794" s="64">
        <f>26.213* CHOOSE(CONTROL!$C$22, $C$13, 100%, $E$13)</f>
        <v>26.213000000000001</v>
      </c>
      <c r="I794" s="64">
        <f>26.2132 * CHOOSE(CONTROL!$C$22, $C$13, 100%, $E$13)</f>
        <v>26.213200000000001</v>
      </c>
      <c r="J794" s="64">
        <f>15.9635 * CHOOSE(CONTROL!$C$22, $C$13, 100%, $E$13)</f>
        <v>15.9635</v>
      </c>
      <c r="K794" s="64">
        <f>15.9637 * CHOOSE(CONTROL!$C$22, $C$13, 100%, $E$13)</f>
        <v>15.963699999999999</v>
      </c>
    </row>
    <row r="795" spans="1:11" ht="15">
      <c r="A795" s="13">
        <v>65837</v>
      </c>
      <c r="B795" s="63">
        <f>13.626 * CHOOSE(CONTROL!$C$22, $C$13, 100%, $E$13)</f>
        <v>13.625999999999999</v>
      </c>
      <c r="C795" s="63">
        <f>13.626 * CHOOSE(CONTROL!$C$22, $C$13, 100%, $E$13)</f>
        <v>13.625999999999999</v>
      </c>
      <c r="D795" s="63">
        <f>13.6433 * CHOOSE(CONTROL!$C$22, $C$13, 100%, $E$13)</f>
        <v>13.6433</v>
      </c>
      <c r="E795" s="64">
        <f>16.1076 * CHOOSE(CONTROL!$C$22, $C$13, 100%, $E$13)</f>
        <v>16.107600000000001</v>
      </c>
      <c r="F795" s="64">
        <f>16.1076 * CHOOSE(CONTROL!$C$22, $C$13, 100%, $E$13)</f>
        <v>16.107600000000001</v>
      </c>
      <c r="G795" s="64">
        <f>16.1077 * CHOOSE(CONTROL!$C$22, $C$13, 100%, $E$13)</f>
        <v>16.107700000000001</v>
      </c>
      <c r="H795" s="64">
        <f>26.2676* CHOOSE(CONTROL!$C$22, $C$13, 100%, $E$13)</f>
        <v>26.267600000000002</v>
      </c>
      <c r="I795" s="64">
        <f>26.2678 * CHOOSE(CONTROL!$C$22, $C$13, 100%, $E$13)</f>
        <v>26.267800000000001</v>
      </c>
      <c r="J795" s="64">
        <f>16.1076 * CHOOSE(CONTROL!$C$22, $C$13, 100%, $E$13)</f>
        <v>16.107600000000001</v>
      </c>
      <c r="K795" s="64">
        <f>16.1077 * CHOOSE(CONTROL!$C$22, $C$13, 100%, $E$13)</f>
        <v>16.107700000000001</v>
      </c>
    </row>
    <row r="796" spans="1:11" ht="15">
      <c r="A796" s="13">
        <v>65867</v>
      </c>
      <c r="B796" s="63">
        <f>13.626 * CHOOSE(CONTROL!$C$22, $C$13, 100%, $E$13)</f>
        <v>13.625999999999999</v>
      </c>
      <c r="C796" s="63">
        <f>13.626 * CHOOSE(CONTROL!$C$22, $C$13, 100%, $E$13)</f>
        <v>13.625999999999999</v>
      </c>
      <c r="D796" s="63">
        <f>13.6606 * CHOOSE(CONTROL!$C$22, $C$13, 100%, $E$13)</f>
        <v>13.660600000000001</v>
      </c>
      <c r="E796" s="64">
        <f>16.1632 * CHOOSE(CONTROL!$C$22, $C$13, 100%, $E$13)</f>
        <v>16.1632</v>
      </c>
      <c r="F796" s="64">
        <f>16.1632 * CHOOSE(CONTROL!$C$22, $C$13, 100%, $E$13)</f>
        <v>16.1632</v>
      </c>
      <c r="G796" s="64">
        <f>16.1653 * CHOOSE(CONTROL!$C$22, $C$13, 100%, $E$13)</f>
        <v>16.165299999999998</v>
      </c>
      <c r="H796" s="64">
        <f>26.3223* CHOOSE(CONTROL!$C$22, $C$13, 100%, $E$13)</f>
        <v>26.322299999999998</v>
      </c>
      <c r="I796" s="64">
        <f>26.3245 * CHOOSE(CONTROL!$C$22, $C$13, 100%, $E$13)</f>
        <v>26.3245</v>
      </c>
      <c r="J796" s="64">
        <f>16.1632 * CHOOSE(CONTROL!$C$22, $C$13, 100%, $E$13)</f>
        <v>16.1632</v>
      </c>
      <c r="K796" s="64">
        <f>16.1653 * CHOOSE(CONTROL!$C$22, $C$13, 100%, $E$13)</f>
        <v>16.165299999999998</v>
      </c>
    </row>
    <row r="797" spans="1:11" ht="15">
      <c r="A797" s="13">
        <v>65898</v>
      </c>
      <c r="B797" s="63">
        <f>13.6321 * CHOOSE(CONTROL!$C$22, $C$13, 100%, $E$13)</f>
        <v>13.632099999999999</v>
      </c>
      <c r="C797" s="63">
        <f>13.6321 * CHOOSE(CONTROL!$C$22, $C$13, 100%, $E$13)</f>
        <v>13.632099999999999</v>
      </c>
      <c r="D797" s="63">
        <f>13.6667 * CHOOSE(CONTROL!$C$22, $C$13, 100%, $E$13)</f>
        <v>13.666700000000001</v>
      </c>
      <c r="E797" s="64">
        <f>16.1118 * CHOOSE(CONTROL!$C$22, $C$13, 100%, $E$13)</f>
        <v>16.111799999999999</v>
      </c>
      <c r="F797" s="64">
        <f>16.1118 * CHOOSE(CONTROL!$C$22, $C$13, 100%, $E$13)</f>
        <v>16.111799999999999</v>
      </c>
      <c r="G797" s="64">
        <f>16.114 * CHOOSE(CONTROL!$C$22, $C$13, 100%, $E$13)</f>
        <v>16.114000000000001</v>
      </c>
      <c r="H797" s="64">
        <f>26.3772* CHOOSE(CONTROL!$C$22, $C$13, 100%, $E$13)</f>
        <v>26.377199999999998</v>
      </c>
      <c r="I797" s="64">
        <f>26.3793 * CHOOSE(CONTROL!$C$22, $C$13, 100%, $E$13)</f>
        <v>26.379300000000001</v>
      </c>
      <c r="J797" s="64">
        <f>16.1118 * CHOOSE(CONTROL!$C$22, $C$13, 100%, $E$13)</f>
        <v>16.111799999999999</v>
      </c>
      <c r="K797" s="64">
        <f>16.114 * CHOOSE(CONTROL!$C$22, $C$13, 100%, $E$13)</f>
        <v>16.114000000000001</v>
      </c>
    </row>
    <row r="798" spans="1:11" ht="15">
      <c r="A798" s="13">
        <v>65928</v>
      </c>
      <c r="B798" s="63">
        <f>13.8464 * CHOOSE(CONTROL!$C$22, $C$13, 100%, $E$13)</f>
        <v>13.846399999999999</v>
      </c>
      <c r="C798" s="63">
        <f>13.8464 * CHOOSE(CONTROL!$C$22, $C$13, 100%, $E$13)</f>
        <v>13.846399999999999</v>
      </c>
      <c r="D798" s="63">
        <f>13.881 * CHOOSE(CONTROL!$C$22, $C$13, 100%, $E$13)</f>
        <v>13.881</v>
      </c>
      <c r="E798" s="64">
        <f>16.4191 * CHOOSE(CONTROL!$C$22, $C$13, 100%, $E$13)</f>
        <v>16.4191</v>
      </c>
      <c r="F798" s="64">
        <f>16.4191 * CHOOSE(CONTROL!$C$22, $C$13, 100%, $E$13)</f>
        <v>16.4191</v>
      </c>
      <c r="G798" s="64">
        <f>16.4212 * CHOOSE(CONTROL!$C$22, $C$13, 100%, $E$13)</f>
        <v>16.421199999999999</v>
      </c>
      <c r="H798" s="64">
        <f>26.4321* CHOOSE(CONTROL!$C$22, $C$13, 100%, $E$13)</f>
        <v>26.432099999999998</v>
      </c>
      <c r="I798" s="64">
        <f>26.4343 * CHOOSE(CONTROL!$C$22, $C$13, 100%, $E$13)</f>
        <v>26.4343</v>
      </c>
      <c r="J798" s="64">
        <f>16.4191 * CHOOSE(CONTROL!$C$22, $C$13, 100%, $E$13)</f>
        <v>16.4191</v>
      </c>
      <c r="K798" s="64">
        <f>16.4212 * CHOOSE(CONTROL!$C$22, $C$13, 100%, $E$13)</f>
        <v>16.421199999999999</v>
      </c>
    </row>
    <row r="799" spans="1:11" ht="15">
      <c r="A799" s="13">
        <v>65959</v>
      </c>
      <c r="B799" s="63">
        <f>13.8531 * CHOOSE(CONTROL!$C$22, $C$13, 100%, $E$13)</f>
        <v>13.8531</v>
      </c>
      <c r="C799" s="63">
        <f>13.8531 * CHOOSE(CONTROL!$C$22, $C$13, 100%, $E$13)</f>
        <v>13.8531</v>
      </c>
      <c r="D799" s="63">
        <f>13.8877 * CHOOSE(CONTROL!$C$22, $C$13, 100%, $E$13)</f>
        <v>13.887700000000001</v>
      </c>
      <c r="E799" s="64">
        <f>16.2569 * CHOOSE(CONTROL!$C$22, $C$13, 100%, $E$13)</f>
        <v>16.256900000000002</v>
      </c>
      <c r="F799" s="64">
        <f>16.2569 * CHOOSE(CONTROL!$C$22, $C$13, 100%, $E$13)</f>
        <v>16.256900000000002</v>
      </c>
      <c r="G799" s="64">
        <f>16.259 * CHOOSE(CONTROL!$C$22, $C$13, 100%, $E$13)</f>
        <v>16.259</v>
      </c>
      <c r="H799" s="64">
        <f>26.4872* CHOOSE(CONTROL!$C$22, $C$13, 100%, $E$13)</f>
        <v>26.487200000000001</v>
      </c>
      <c r="I799" s="64">
        <f>26.4893 * CHOOSE(CONTROL!$C$22, $C$13, 100%, $E$13)</f>
        <v>26.4893</v>
      </c>
      <c r="J799" s="64">
        <f>16.2569 * CHOOSE(CONTROL!$C$22, $C$13, 100%, $E$13)</f>
        <v>16.256900000000002</v>
      </c>
      <c r="K799" s="64">
        <f>16.259 * CHOOSE(CONTROL!$C$22, $C$13, 100%, $E$13)</f>
        <v>16.259</v>
      </c>
    </row>
    <row r="800" spans="1:11" ht="15">
      <c r="A800" s="13">
        <v>65990</v>
      </c>
      <c r="B800" s="63">
        <f>13.85 * CHOOSE(CONTROL!$C$22, $C$13, 100%, $E$13)</f>
        <v>13.85</v>
      </c>
      <c r="C800" s="63">
        <f>13.85 * CHOOSE(CONTROL!$C$22, $C$13, 100%, $E$13)</f>
        <v>13.85</v>
      </c>
      <c r="D800" s="63">
        <f>13.8847 * CHOOSE(CONTROL!$C$22, $C$13, 100%, $E$13)</f>
        <v>13.8847</v>
      </c>
      <c r="E800" s="64">
        <f>16.2362 * CHOOSE(CONTROL!$C$22, $C$13, 100%, $E$13)</f>
        <v>16.2362</v>
      </c>
      <c r="F800" s="64">
        <f>16.2362 * CHOOSE(CONTROL!$C$22, $C$13, 100%, $E$13)</f>
        <v>16.2362</v>
      </c>
      <c r="G800" s="64">
        <f>16.2384 * CHOOSE(CONTROL!$C$22, $C$13, 100%, $E$13)</f>
        <v>16.238399999999999</v>
      </c>
      <c r="H800" s="64">
        <f>26.5424* CHOOSE(CONTROL!$C$22, $C$13, 100%, $E$13)</f>
        <v>26.542400000000001</v>
      </c>
      <c r="I800" s="64">
        <f>26.5445 * CHOOSE(CONTROL!$C$22, $C$13, 100%, $E$13)</f>
        <v>26.544499999999999</v>
      </c>
      <c r="J800" s="64">
        <f>16.2362 * CHOOSE(CONTROL!$C$22, $C$13, 100%, $E$13)</f>
        <v>16.2362</v>
      </c>
      <c r="K800" s="64">
        <f>16.2384 * CHOOSE(CONTROL!$C$22, $C$13, 100%, $E$13)</f>
        <v>16.238399999999999</v>
      </c>
    </row>
    <row r="801" spans="1:11" ht="15">
      <c r="A801" s="13">
        <v>66020</v>
      </c>
      <c r="B801" s="63">
        <f>13.8774 * CHOOSE(CONTROL!$C$22, $C$13, 100%, $E$13)</f>
        <v>13.8774</v>
      </c>
      <c r="C801" s="63">
        <f>13.8774 * CHOOSE(CONTROL!$C$22, $C$13, 100%, $E$13)</f>
        <v>13.8774</v>
      </c>
      <c r="D801" s="63">
        <f>13.8948 * CHOOSE(CONTROL!$C$22, $C$13, 100%, $E$13)</f>
        <v>13.8948</v>
      </c>
      <c r="E801" s="64">
        <f>16.297 * CHOOSE(CONTROL!$C$22, $C$13, 100%, $E$13)</f>
        <v>16.297000000000001</v>
      </c>
      <c r="F801" s="64">
        <f>16.297 * CHOOSE(CONTROL!$C$22, $C$13, 100%, $E$13)</f>
        <v>16.297000000000001</v>
      </c>
      <c r="G801" s="64">
        <f>16.2971 * CHOOSE(CONTROL!$C$22, $C$13, 100%, $E$13)</f>
        <v>16.2971</v>
      </c>
      <c r="H801" s="64">
        <f>26.5977* CHOOSE(CONTROL!$C$22, $C$13, 100%, $E$13)</f>
        <v>26.5977</v>
      </c>
      <c r="I801" s="64">
        <f>26.5979 * CHOOSE(CONTROL!$C$22, $C$13, 100%, $E$13)</f>
        <v>26.597899999999999</v>
      </c>
      <c r="J801" s="64">
        <f>16.297 * CHOOSE(CONTROL!$C$22, $C$13, 100%, $E$13)</f>
        <v>16.297000000000001</v>
      </c>
      <c r="K801" s="64">
        <f>16.2971 * CHOOSE(CONTROL!$C$22, $C$13, 100%, $E$13)</f>
        <v>16.2971</v>
      </c>
    </row>
    <row r="802" spans="1:11" ht="15">
      <c r="A802" s="13">
        <v>66051</v>
      </c>
      <c r="B802" s="63">
        <f>13.8805 * CHOOSE(CONTROL!$C$22, $C$13, 100%, $E$13)</f>
        <v>13.8805</v>
      </c>
      <c r="C802" s="63">
        <f>13.8805 * CHOOSE(CONTROL!$C$22, $C$13, 100%, $E$13)</f>
        <v>13.8805</v>
      </c>
      <c r="D802" s="63">
        <f>13.8978 * CHOOSE(CONTROL!$C$22, $C$13, 100%, $E$13)</f>
        <v>13.8978</v>
      </c>
      <c r="E802" s="64">
        <f>16.3362 * CHOOSE(CONTROL!$C$22, $C$13, 100%, $E$13)</f>
        <v>16.336200000000002</v>
      </c>
      <c r="F802" s="64">
        <f>16.3362 * CHOOSE(CONTROL!$C$22, $C$13, 100%, $E$13)</f>
        <v>16.336200000000002</v>
      </c>
      <c r="G802" s="64">
        <f>16.3363 * CHOOSE(CONTROL!$C$22, $C$13, 100%, $E$13)</f>
        <v>16.336300000000001</v>
      </c>
      <c r="H802" s="64">
        <f>26.6531* CHOOSE(CONTROL!$C$22, $C$13, 100%, $E$13)</f>
        <v>26.653099999999998</v>
      </c>
      <c r="I802" s="64">
        <f>26.6533 * CHOOSE(CONTROL!$C$22, $C$13, 100%, $E$13)</f>
        <v>26.653300000000002</v>
      </c>
      <c r="J802" s="64">
        <f>16.3362 * CHOOSE(CONTROL!$C$22, $C$13, 100%, $E$13)</f>
        <v>16.336200000000002</v>
      </c>
      <c r="K802" s="64">
        <f>16.3363 * CHOOSE(CONTROL!$C$22, $C$13, 100%, $E$13)</f>
        <v>16.336300000000001</v>
      </c>
    </row>
    <row r="803" spans="1:11" ht="15">
      <c r="A803" s="13">
        <v>66081</v>
      </c>
      <c r="B803" s="63">
        <f>13.8805 * CHOOSE(CONTROL!$C$22, $C$13, 100%, $E$13)</f>
        <v>13.8805</v>
      </c>
      <c r="C803" s="63">
        <f>13.8805 * CHOOSE(CONTROL!$C$22, $C$13, 100%, $E$13)</f>
        <v>13.8805</v>
      </c>
      <c r="D803" s="63">
        <f>13.8978 * CHOOSE(CONTROL!$C$22, $C$13, 100%, $E$13)</f>
        <v>13.8978</v>
      </c>
      <c r="E803" s="64">
        <f>16.2435 * CHOOSE(CONTROL!$C$22, $C$13, 100%, $E$13)</f>
        <v>16.243500000000001</v>
      </c>
      <c r="F803" s="64">
        <f>16.2435 * CHOOSE(CONTROL!$C$22, $C$13, 100%, $E$13)</f>
        <v>16.243500000000001</v>
      </c>
      <c r="G803" s="64">
        <f>16.2437 * CHOOSE(CONTROL!$C$22, $C$13, 100%, $E$13)</f>
        <v>16.2437</v>
      </c>
      <c r="H803" s="64">
        <f>26.7086* CHOOSE(CONTROL!$C$22, $C$13, 100%, $E$13)</f>
        <v>26.708600000000001</v>
      </c>
      <c r="I803" s="64">
        <f>26.7088 * CHOOSE(CONTROL!$C$22, $C$13, 100%, $E$13)</f>
        <v>26.7088</v>
      </c>
      <c r="J803" s="64">
        <f>16.2435 * CHOOSE(CONTROL!$C$22, $C$13, 100%, $E$13)</f>
        <v>16.243500000000001</v>
      </c>
      <c r="K803" s="64">
        <f>16.2437 * CHOOSE(CONTROL!$C$22, $C$13, 100%, $E$13)</f>
        <v>16.2437</v>
      </c>
    </row>
    <row r="804" spans="1:11" ht="15">
      <c r="A804" s="13">
        <v>66112</v>
      </c>
      <c r="B804" s="63">
        <f>13.8715 * CHOOSE(CONTROL!$C$22, $C$13, 100%, $E$13)</f>
        <v>13.871499999999999</v>
      </c>
      <c r="C804" s="63">
        <f>13.8715 * CHOOSE(CONTROL!$C$22, $C$13, 100%, $E$13)</f>
        <v>13.871499999999999</v>
      </c>
      <c r="D804" s="63">
        <f>13.8888 * CHOOSE(CONTROL!$C$22, $C$13, 100%, $E$13)</f>
        <v>13.8888</v>
      </c>
      <c r="E804" s="64">
        <f>16.2972 * CHOOSE(CONTROL!$C$22, $C$13, 100%, $E$13)</f>
        <v>16.2972</v>
      </c>
      <c r="F804" s="64">
        <f>16.2972 * CHOOSE(CONTROL!$C$22, $C$13, 100%, $E$13)</f>
        <v>16.2972</v>
      </c>
      <c r="G804" s="64">
        <f>16.2974 * CHOOSE(CONTROL!$C$22, $C$13, 100%, $E$13)</f>
        <v>16.2974</v>
      </c>
      <c r="H804" s="64">
        <f>26.55* CHOOSE(CONTROL!$C$22, $C$13, 100%, $E$13)</f>
        <v>26.55</v>
      </c>
      <c r="I804" s="64">
        <f>26.5502 * CHOOSE(CONTROL!$C$22, $C$13, 100%, $E$13)</f>
        <v>26.5502</v>
      </c>
      <c r="J804" s="64">
        <f>16.2972 * CHOOSE(CONTROL!$C$22, $C$13, 100%, $E$13)</f>
        <v>16.2972</v>
      </c>
      <c r="K804" s="64">
        <f>16.2974 * CHOOSE(CONTROL!$C$22, $C$13, 100%, $E$13)</f>
        <v>16.2974</v>
      </c>
    </row>
    <row r="805" spans="1:11" ht="15">
      <c r="A805" s="13">
        <v>66143</v>
      </c>
      <c r="B805" s="63">
        <f>13.8685 * CHOOSE(CONTROL!$C$22, $C$13, 100%, $E$13)</f>
        <v>13.868499999999999</v>
      </c>
      <c r="C805" s="63">
        <f>13.8685 * CHOOSE(CONTROL!$C$22, $C$13, 100%, $E$13)</f>
        <v>13.868499999999999</v>
      </c>
      <c r="D805" s="63">
        <f>13.8858 * CHOOSE(CONTROL!$C$22, $C$13, 100%, $E$13)</f>
        <v>13.8858</v>
      </c>
      <c r="E805" s="64">
        <f>16.1168 * CHOOSE(CONTROL!$C$22, $C$13, 100%, $E$13)</f>
        <v>16.116800000000001</v>
      </c>
      <c r="F805" s="64">
        <f>16.1168 * CHOOSE(CONTROL!$C$22, $C$13, 100%, $E$13)</f>
        <v>16.116800000000001</v>
      </c>
      <c r="G805" s="64">
        <f>16.117 * CHOOSE(CONTROL!$C$22, $C$13, 100%, $E$13)</f>
        <v>16.117000000000001</v>
      </c>
      <c r="H805" s="64">
        <f>26.6053* CHOOSE(CONTROL!$C$22, $C$13, 100%, $E$13)</f>
        <v>26.6053</v>
      </c>
      <c r="I805" s="64">
        <f>26.6055 * CHOOSE(CONTROL!$C$22, $C$13, 100%, $E$13)</f>
        <v>26.605499999999999</v>
      </c>
      <c r="J805" s="64">
        <f>16.1168 * CHOOSE(CONTROL!$C$22, $C$13, 100%, $E$13)</f>
        <v>16.116800000000001</v>
      </c>
      <c r="K805" s="64">
        <f>16.117 * CHOOSE(CONTROL!$C$22, $C$13, 100%, $E$13)</f>
        <v>16.117000000000001</v>
      </c>
    </row>
    <row r="806" spans="1:11" ht="15">
      <c r="A806" s="13">
        <v>66171</v>
      </c>
      <c r="B806" s="63">
        <f>13.8654 * CHOOSE(CONTROL!$C$22, $C$13, 100%, $E$13)</f>
        <v>13.865399999999999</v>
      </c>
      <c r="C806" s="63">
        <f>13.8654 * CHOOSE(CONTROL!$C$22, $C$13, 100%, $E$13)</f>
        <v>13.865399999999999</v>
      </c>
      <c r="D806" s="63">
        <f>13.8827 * CHOOSE(CONTROL!$C$22, $C$13, 100%, $E$13)</f>
        <v>13.8827</v>
      </c>
      <c r="E806" s="64">
        <f>16.2553 * CHOOSE(CONTROL!$C$22, $C$13, 100%, $E$13)</f>
        <v>16.255299999999998</v>
      </c>
      <c r="F806" s="64">
        <f>16.2553 * CHOOSE(CONTROL!$C$22, $C$13, 100%, $E$13)</f>
        <v>16.255299999999998</v>
      </c>
      <c r="G806" s="64">
        <f>16.2554 * CHOOSE(CONTROL!$C$22, $C$13, 100%, $E$13)</f>
        <v>16.255400000000002</v>
      </c>
      <c r="H806" s="64">
        <f>26.6608* CHOOSE(CONTROL!$C$22, $C$13, 100%, $E$13)</f>
        <v>26.660799999999998</v>
      </c>
      <c r="I806" s="64">
        <f>26.6609 * CHOOSE(CONTROL!$C$22, $C$13, 100%, $E$13)</f>
        <v>26.660900000000002</v>
      </c>
      <c r="J806" s="64">
        <f>16.2553 * CHOOSE(CONTROL!$C$22, $C$13, 100%, $E$13)</f>
        <v>16.255299999999998</v>
      </c>
      <c r="K806" s="64">
        <f>16.2554 * CHOOSE(CONTROL!$C$22, $C$13, 100%, $E$13)</f>
        <v>16.255400000000002</v>
      </c>
    </row>
    <row r="807" spans="1:11" ht="15">
      <c r="A807" s="13">
        <v>66202</v>
      </c>
      <c r="B807" s="63">
        <f>13.8715 * CHOOSE(CONTROL!$C$22, $C$13, 100%, $E$13)</f>
        <v>13.871499999999999</v>
      </c>
      <c r="C807" s="63">
        <f>13.8715 * CHOOSE(CONTROL!$C$22, $C$13, 100%, $E$13)</f>
        <v>13.871499999999999</v>
      </c>
      <c r="D807" s="63">
        <f>13.8888 * CHOOSE(CONTROL!$C$22, $C$13, 100%, $E$13)</f>
        <v>13.8888</v>
      </c>
      <c r="E807" s="64">
        <f>16.402 * CHOOSE(CONTROL!$C$22, $C$13, 100%, $E$13)</f>
        <v>16.402000000000001</v>
      </c>
      <c r="F807" s="64">
        <f>16.402 * CHOOSE(CONTROL!$C$22, $C$13, 100%, $E$13)</f>
        <v>16.402000000000001</v>
      </c>
      <c r="G807" s="64">
        <f>16.4022 * CHOOSE(CONTROL!$C$22, $C$13, 100%, $E$13)</f>
        <v>16.402200000000001</v>
      </c>
      <c r="H807" s="64">
        <f>26.7163* CHOOSE(CONTROL!$C$22, $C$13, 100%, $E$13)</f>
        <v>26.7163</v>
      </c>
      <c r="I807" s="64">
        <f>26.7165 * CHOOSE(CONTROL!$C$22, $C$13, 100%, $E$13)</f>
        <v>26.7165</v>
      </c>
      <c r="J807" s="64">
        <f>16.402 * CHOOSE(CONTROL!$C$22, $C$13, 100%, $E$13)</f>
        <v>16.402000000000001</v>
      </c>
      <c r="K807" s="64">
        <f>16.4022 * CHOOSE(CONTROL!$C$22, $C$13, 100%, $E$13)</f>
        <v>16.402200000000001</v>
      </c>
    </row>
    <row r="808" spans="1:11" ht="15">
      <c r="A808" s="13">
        <v>66232</v>
      </c>
      <c r="B808" s="63">
        <f>13.8715 * CHOOSE(CONTROL!$C$22, $C$13, 100%, $E$13)</f>
        <v>13.871499999999999</v>
      </c>
      <c r="C808" s="63">
        <f>13.8715 * CHOOSE(CONTROL!$C$22, $C$13, 100%, $E$13)</f>
        <v>13.871499999999999</v>
      </c>
      <c r="D808" s="63">
        <f>13.9062 * CHOOSE(CONTROL!$C$22, $C$13, 100%, $E$13)</f>
        <v>13.9062</v>
      </c>
      <c r="E808" s="64">
        <f>16.4586 * CHOOSE(CONTROL!$C$22, $C$13, 100%, $E$13)</f>
        <v>16.458600000000001</v>
      </c>
      <c r="F808" s="64">
        <f>16.4586 * CHOOSE(CONTROL!$C$22, $C$13, 100%, $E$13)</f>
        <v>16.458600000000001</v>
      </c>
      <c r="G808" s="64">
        <f>16.4608 * CHOOSE(CONTROL!$C$22, $C$13, 100%, $E$13)</f>
        <v>16.460799999999999</v>
      </c>
      <c r="H808" s="64">
        <f>26.772* CHOOSE(CONTROL!$C$22, $C$13, 100%, $E$13)</f>
        <v>26.771999999999998</v>
      </c>
      <c r="I808" s="64">
        <f>26.7741 * CHOOSE(CONTROL!$C$22, $C$13, 100%, $E$13)</f>
        <v>26.774100000000001</v>
      </c>
      <c r="J808" s="64">
        <f>16.4586 * CHOOSE(CONTROL!$C$22, $C$13, 100%, $E$13)</f>
        <v>16.458600000000001</v>
      </c>
      <c r="K808" s="64">
        <f>16.4608 * CHOOSE(CONTROL!$C$22, $C$13, 100%, $E$13)</f>
        <v>16.460799999999999</v>
      </c>
    </row>
    <row r="809" spans="1:11" ht="15">
      <c r="A809" s="13">
        <v>66263</v>
      </c>
      <c r="B809" s="63">
        <f>13.8776 * CHOOSE(CONTROL!$C$22, $C$13, 100%, $E$13)</f>
        <v>13.877599999999999</v>
      </c>
      <c r="C809" s="63">
        <f>13.8776 * CHOOSE(CONTROL!$C$22, $C$13, 100%, $E$13)</f>
        <v>13.877599999999999</v>
      </c>
      <c r="D809" s="63">
        <f>13.9122 * CHOOSE(CONTROL!$C$22, $C$13, 100%, $E$13)</f>
        <v>13.9122</v>
      </c>
      <c r="E809" s="64">
        <f>16.4063 * CHOOSE(CONTROL!$C$22, $C$13, 100%, $E$13)</f>
        <v>16.406300000000002</v>
      </c>
      <c r="F809" s="64">
        <f>16.4063 * CHOOSE(CONTROL!$C$22, $C$13, 100%, $E$13)</f>
        <v>16.406300000000002</v>
      </c>
      <c r="G809" s="64">
        <f>16.4084 * CHOOSE(CONTROL!$C$22, $C$13, 100%, $E$13)</f>
        <v>16.4084</v>
      </c>
      <c r="H809" s="64">
        <f>26.8277* CHOOSE(CONTROL!$C$22, $C$13, 100%, $E$13)</f>
        <v>26.8277</v>
      </c>
      <c r="I809" s="64">
        <f>26.8299 * CHOOSE(CONTROL!$C$22, $C$13, 100%, $E$13)</f>
        <v>26.829899999999999</v>
      </c>
      <c r="J809" s="64">
        <f>16.4063 * CHOOSE(CONTROL!$C$22, $C$13, 100%, $E$13)</f>
        <v>16.406300000000002</v>
      </c>
      <c r="K809" s="64">
        <f>16.4084 * CHOOSE(CONTROL!$C$22, $C$13, 100%, $E$13)</f>
        <v>16.4084</v>
      </c>
    </row>
    <row r="810" spans="1:11" ht="15">
      <c r="A810" s="13">
        <v>66293</v>
      </c>
      <c r="B810" s="63">
        <f>14.0956 * CHOOSE(CONTROL!$C$22, $C$13, 100%, $E$13)</f>
        <v>14.095599999999999</v>
      </c>
      <c r="C810" s="63">
        <f>14.0956 * CHOOSE(CONTROL!$C$22, $C$13, 100%, $E$13)</f>
        <v>14.095599999999999</v>
      </c>
      <c r="D810" s="63">
        <f>14.1302 * CHOOSE(CONTROL!$C$22, $C$13, 100%, $E$13)</f>
        <v>14.1302</v>
      </c>
      <c r="E810" s="64">
        <f>16.7189 * CHOOSE(CONTROL!$C$22, $C$13, 100%, $E$13)</f>
        <v>16.718900000000001</v>
      </c>
      <c r="F810" s="64">
        <f>16.7189 * CHOOSE(CONTROL!$C$22, $C$13, 100%, $E$13)</f>
        <v>16.718900000000001</v>
      </c>
      <c r="G810" s="64">
        <f>16.7211 * CHOOSE(CONTROL!$C$22, $C$13, 100%, $E$13)</f>
        <v>16.7211</v>
      </c>
      <c r="H810" s="64">
        <f>26.8836* CHOOSE(CONTROL!$C$22, $C$13, 100%, $E$13)</f>
        <v>26.883600000000001</v>
      </c>
      <c r="I810" s="64">
        <f>26.8858 * CHOOSE(CONTROL!$C$22, $C$13, 100%, $E$13)</f>
        <v>26.8858</v>
      </c>
      <c r="J810" s="64">
        <f>16.7189 * CHOOSE(CONTROL!$C$22, $C$13, 100%, $E$13)</f>
        <v>16.718900000000001</v>
      </c>
      <c r="K810" s="64">
        <f>16.7211 * CHOOSE(CONTROL!$C$22, $C$13, 100%, $E$13)</f>
        <v>16.7211</v>
      </c>
    </row>
    <row r="811" spans="1:11" ht="15">
      <c r="A811" s="13">
        <v>66324</v>
      </c>
      <c r="B811" s="63">
        <f>14.1023 * CHOOSE(CONTROL!$C$22, $C$13, 100%, $E$13)</f>
        <v>14.1023</v>
      </c>
      <c r="C811" s="63">
        <f>14.1023 * CHOOSE(CONTROL!$C$22, $C$13, 100%, $E$13)</f>
        <v>14.1023</v>
      </c>
      <c r="D811" s="63">
        <f>14.1369 * CHOOSE(CONTROL!$C$22, $C$13, 100%, $E$13)</f>
        <v>14.136900000000001</v>
      </c>
      <c r="E811" s="64">
        <f>16.5537 * CHOOSE(CONTROL!$C$22, $C$13, 100%, $E$13)</f>
        <v>16.553699999999999</v>
      </c>
      <c r="F811" s="64">
        <f>16.5537 * CHOOSE(CONTROL!$C$22, $C$13, 100%, $E$13)</f>
        <v>16.553699999999999</v>
      </c>
      <c r="G811" s="64">
        <f>16.5559 * CHOOSE(CONTROL!$C$22, $C$13, 100%, $E$13)</f>
        <v>16.555900000000001</v>
      </c>
      <c r="H811" s="64">
        <f>26.9396* CHOOSE(CONTROL!$C$22, $C$13, 100%, $E$13)</f>
        <v>26.939599999999999</v>
      </c>
      <c r="I811" s="64">
        <f>26.9418 * CHOOSE(CONTROL!$C$22, $C$13, 100%, $E$13)</f>
        <v>26.941800000000001</v>
      </c>
      <c r="J811" s="64">
        <f>16.5537 * CHOOSE(CONTROL!$C$22, $C$13, 100%, $E$13)</f>
        <v>16.553699999999999</v>
      </c>
      <c r="K811" s="64">
        <f>16.5559 * CHOOSE(CONTROL!$C$22, $C$13, 100%, $E$13)</f>
        <v>16.555900000000001</v>
      </c>
    </row>
    <row r="812" spans="1:11" ht="15">
      <c r="A812" s="13">
        <v>66355</v>
      </c>
      <c r="B812" s="63">
        <f>14.0992 * CHOOSE(CONTROL!$C$22, $C$13, 100%, $E$13)</f>
        <v>14.0992</v>
      </c>
      <c r="C812" s="63">
        <f>14.0992 * CHOOSE(CONTROL!$C$22, $C$13, 100%, $E$13)</f>
        <v>14.0992</v>
      </c>
      <c r="D812" s="63">
        <f>14.1339 * CHOOSE(CONTROL!$C$22, $C$13, 100%, $E$13)</f>
        <v>14.133900000000001</v>
      </c>
      <c r="E812" s="64">
        <f>16.5327 * CHOOSE(CONTROL!$C$22, $C$13, 100%, $E$13)</f>
        <v>16.532699999999998</v>
      </c>
      <c r="F812" s="64">
        <f>16.5327 * CHOOSE(CONTROL!$C$22, $C$13, 100%, $E$13)</f>
        <v>16.532699999999998</v>
      </c>
      <c r="G812" s="64">
        <f>16.5349 * CHOOSE(CONTROL!$C$22, $C$13, 100%, $E$13)</f>
        <v>16.5349</v>
      </c>
      <c r="H812" s="64">
        <f>26.9958* CHOOSE(CONTROL!$C$22, $C$13, 100%, $E$13)</f>
        <v>26.995799999999999</v>
      </c>
      <c r="I812" s="64">
        <f>26.9979 * CHOOSE(CONTROL!$C$22, $C$13, 100%, $E$13)</f>
        <v>26.997900000000001</v>
      </c>
      <c r="J812" s="64">
        <f>16.5327 * CHOOSE(CONTROL!$C$22, $C$13, 100%, $E$13)</f>
        <v>16.532699999999998</v>
      </c>
      <c r="K812" s="64">
        <f>16.5349 * CHOOSE(CONTROL!$C$22, $C$13, 100%, $E$13)</f>
        <v>16.5349</v>
      </c>
    </row>
    <row r="813" spans="1:11" ht="15">
      <c r="A813" s="13">
        <v>66385</v>
      </c>
      <c r="B813" s="63">
        <f>14.1275 * CHOOSE(CONTROL!$C$22, $C$13, 100%, $E$13)</f>
        <v>14.1275</v>
      </c>
      <c r="C813" s="63">
        <f>14.1275 * CHOOSE(CONTROL!$C$22, $C$13, 100%, $E$13)</f>
        <v>14.1275</v>
      </c>
      <c r="D813" s="63">
        <f>14.1448 * CHOOSE(CONTROL!$C$22, $C$13, 100%, $E$13)</f>
        <v>14.1448</v>
      </c>
      <c r="E813" s="64">
        <f>16.5948 * CHOOSE(CONTROL!$C$22, $C$13, 100%, $E$13)</f>
        <v>16.594799999999999</v>
      </c>
      <c r="F813" s="64">
        <f>16.5948 * CHOOSE(CONTROL!$C$22, $C$13, 100%, $E$13)</f>
        <v>16.594799999999999</v>
      </c>
      <c r="G813" s="64">
        <f>16.595 * CHOOSE(CONTROL!$C$22, $C$13, 100%, $E$13)</f>
        <v>16.594999999999999</v>
      </c>
      <c r="H813" s="64">
        <f>27.052* CHOOSE(CONTROL!$C$22, $C$13, 100%, $E$13)</f>
        <v>27.052</v>
      </c>
      <c r="I813" s="64">
        <f>27.0522 * CHOOSE(CONTROL!$C$22, $C$13, 100%, $E$13)</f>
        <v>27.052199999999999</v>
      </c>
      <c r="J813" s="64">
        <f>16.5948 * CHOOSE(CONTROL!$C$22, $C$13, 100%, $E$13)</f>
        <v>16.594799999999999</v>
      </c>
      <c r="K813" s="64">
        <f>16.595 * CHOOSE(CONTROL!$C$22, $C$13, 100%, $E$13)</f>
        <v>16.594999999999999</v>
      </c>
    </row>
    <row r="814" spans="1:11" ht="15">
      <c r="A814" s="13">
        <v>66416</v>
      </c>
      <c r="B814" s="63">
        <f>14.1305 * CHOOSE(CONTROL!$C$22, $C$13, 100%, $E$13)</f>
        <v>14.1305</v>
      </c>
      <c r="C814" s="63">
        <f>14.1305 * CHOOSE(CONTROL!$C$22, $C$13, 100%, $E$13)</f>
        <v>14.1305</v>
      </c>
      <c r="D814" s="63">
        <f>14.1478 * CHOOSE(CONTROL!$C$22, $C$13, 100%, $E$13)</f>
        <v>14.1478</v>
      </c>
      <c r="E814" s="64">
        <f>16.6347 * CHOOSE(CONTROL!$C$22, $C$13, 100%, $E$13)</f>
        <v>16.634699999999999</v>
      </c>
      <c r="F814" s="64">
        <f>16.6347 * CHOOSE(CONTROL!$C$22, $C$13, 100%, $E$13)</f>
        <v>16.634699999999999</v>
      </c>
      <c r="G814" s="64">
        <f>16.6349 * CHOOSE(CONTROL!$C$22, $C$13, 100%, $E$13)</f>
        <v>16.634899999999998</v>
      </c>
      <c r="H814" s="64">
        <f>27.1084* CHOOSE(CONTROL!$C$22, $C$13, 100%, $E$13)</f>
        <v>27.1084</v>
      </c>
      <c r="I814" s="64">
        <f>27.1085 * CHOOSE(CONTROL!$C$22, $C$13, 100%, $E$13)</f>
        <v>27.108499999999999</v>
      </c>
      <c r="J814" s="64">
        <f>16.6347 * CHOOSE(CONTROL!$C$22, $C$13, 100%, $E$13)</f>
        <v>16.634699999999999</v>
      </c>
      <c r="K814" s="64">
        <f>16.6349 * CHOOSE(CONTROL!$C$22, $C$13, 100%, $E$13)</f>
        <v>16.634899999999998</v>
      </c>
    </row>
    <row r="815" spans="1:11" ht="15">
      <c r="A815" s="13">
        <v>66446</v>
      </c>
      <c r="B815" s="63">
        <f>14.1305 * CHOOSE(CONTROL!$C$22, $C$13, 100%, $E$13)</f>
        <v>14.1305</v>
      </c>
      <c r="C815" s="63">
        <f>14.1305 * CHOOSE(CONTROL!$C$22, $C$13, 100%, $E$13)</f>
        <v>14.1305</v>
      </c>
      <c r="D815" s="63">
        <f>14.1478 * CHOOSE(CONTROL!$C$22, $C$13, 100%, $E$13)</f>
        <v>14.1478</v>
      </c>
      <c r="E815" s="64">
        <f>16.5403 * CHOOSE(CONTROL!$C$22, $C$13, 100%, $E$13)</f>
        <v>16.540299999999998</v>
      </c>
      <c r="F815" s="64">
        <f>16.5403 * CHOOSE(CONTROL!$C$22, $C$13, 100%, $E$13)</f>
        <v>16.540299999999998</v>
      </c>
      <c r="G815" s="64">
        <f>16.5405 * CHOOSE(CONTROL!$C$22, $C$13, 100%, $E$13)</f>
        <v>16.540500000000002</v>
      </c>
      <c r="H815" s="64">
        <f>27.1648* CHOOSE(CONTROL!$C$22, $C$13, 100%, $E$13)</f>
        <v>27.1648</v>
      </c>
      <c r="I815" s="64">
        <f>27.165 * CHOOSE(CONTROL!$C$22, $C$13, 100%, $E$13)</f>
        <v>27.164999999999999</v>
      </c>
      <c r="J815" s="64">
        <f>16.5403 * CHOOSE(CONTROL!$C$22, $C$13, 100%, $E$13)</f>
        <v>16.540299999999998</v>
      </c>
      <c r="K815" s="64">
        <f>16.5405 * CHOOSE(CONTROL!$C$22, $C$13, 100%, $E$13)</f>
        <v>16.540500000000002</v>
      </c>
    </row>
    <row r="816" spans="1:11" ht="15">
      <c r="A816" s="13">
        <v>66477</v>
      </c>
      <c r="B816" s="63">
        <f>14.1168 * CHOOSE(CONTROL!$C$22, $C$13, 100%, $E$13)</f>
        <v>14.1168</v>
      </c>
      <c r="C816" s="63">
        <f>14.1168 * CHOOSE(CONTROL!$C$22, $C$13, 100%, $E$13)</f>
        <v>14.1168</v>
      </c>
      <c r="D816" s="63">
        <f>14.1341 * CHOOSE(CONTROL!$C$22, $C$13, 100%, $E$13)</f>
        <v>14.1341</v>
      </c>
      <c r="E816" s="64">
        <f>16.5897 * CHOOSE(CONTROL!$C$22, $C$13, 100%, $E$13)</f>
        <v>16.589700000000001</v>
      </c>
      <c r="F816" s="64">
        <f>16.5897 * CHOOSE(CONTROL!$C$22, $C$13, 100%, $E$13)</f>
        <v>16.589700000000001</v>
      </c>
      <c r="G816" s="64">
        <f>16.5898 * CHOOSE(CONTROL!$C$22, $C$13, 100%, $E$13)</f>
        <v>16.5898</v>
      </c>
      <c r="H816" s="64">
        <f>26.9959* CHOOSE(CONTROL!$C$22, $C$13, 100%, $E$13)</f>
        <v>26.995899999999999</v>
      </c>
      <c r="I816" s="64">
        <f>26.9961 * CHOOSE(CONTROL!$C$22, $C$13, 100%, $E$13)</f>
        <v>26.996099999999998</v>
      </c>
      <c r="J816" s="64">
        <f>16.5897 * CHOOSE(CONTROL!$C$22, $C$13, 100%, $E$13)</f>
        <v>16.589700000000001</v>
      </c>
      <c r="K816" s="64">
        <f>16.5898 * CHOOSE(CONTROL!$C$22, $C$13, 100%, $E$13)</f>
        <v>16.5898</v>
      </c>
    </row>
    <row r="817" spans="1:11" ht="15">
      <c r="A817" s="13">
        <v>66508</v>
      </c>
      <c r="B817" s="63">
        <f>14.1138 * CHOOSE(CONTROL!$C$22, $C$13, 100%, $E$13)</f>
        <v>14.113799999999999</v>
      </c>
      <c r="C817" s="63">
        <f>14.1138 * CHOOSE(CONTROL!$C$22, $C$13, 100%, $E$13)</f>
        <v>14.113799999999999</v>
      </c>
      <c r="D817" s="63">
        <f>14.1311 * CHOOSE(CONTROL!$C$22, $C$13, 100%, $E$13)</f>
        <v>14.1311</v>
      </c>
      <c r="E817" s="64">
        <f>16.406 * CHOOSE(CONTROL!$C$22, $C$13, 100%, $E$13)</f>
        <v>16.405999999999999</v>
      </c>
      <c r="F817" s="64">
        <f>16.406 * CHOOSE(CONTROL!$C$22, $C$13, 100%, $E$13)</f>
        <v>16.405999999999999</v>
      </c>
      <c r="G817" s="64">
        <f>16.4062 * CHOOSE(CONTROL!$C$22, $C$13, 100%, $E$13)</f>
        <v>16.406199999999998</v>
      </c>
      <c r="H817" s="64">
        <f>27.0522* CHOOSE(CONTROL!$C$22, $C$13, 100%, $E$13)</f>
        <v>27.052199999999999</v>
      </c>
      <c r="I817" s="64">
        <f>27.0523 * CHOOSE(CONTROL!$C$22, $C$13, 100%, $E$13)</f>
        <v>27.052299999999999</v>
      </c>
      <c r="J817" s="64">
        <f>16.406 * CHOOSE(CONTROL!$C$22, $C$13, 100%, $E$13)</f>
        <v>16.405999999999999</v>
      </c>
      <c r="K817" s="64">
        <f>16.4062 * CHOOSE(CONTROL!$C$22, $C$13, 100%, $E$13)</f>
        <v>16.406199999999998</v>
      </c>
    </row>
    <row r="818" spans="1:11" ht="15">
      <c r="A818" s="13">
        <v>66536</v>
      </c>
      <c r="B818" s="63">
        <f>14.1107 * CHOOSE(CONTROL!$C$22, $C$13, 100%, $E$13)</f>
        <v>14.1107</v>
      </c>
      <c r="C818" s="63">
        <f>14.1107 * CHOOSE(CONTROL!$C$22, $C$13, 100%, $E$13)</f>
        <v>14.1107</v>
      </c>
      <c r="D818" s="63">
        <f>14.1281 * CHOOSE(CONTROL!$C$22, $C$13, 100%, $E$13)</f>
        <v>14.1281</v>
      </c>
      <c r="E818" s="64">
        <f>16.547 * CHOOSE(CONTROL!$C$22, $C$13, 100%, $E$13)</f>
        <v>16.547000000000001</v>
      </c>
      <c r="F818" s="64">
        <f>16.547 * CHOOSE(CONTROL!$C$22, $C$13, 100%, $E$13)</f>
        <v>16.547000000000001</v>
      </c>
      <c r="G818" s="64">
        <f>16.5472 * CHOOSE(CONTROL!$C$22, $C$13, 100%, $E$13)</f>
        <v>16.5472</v>
      </c>
      <c r="H818" s="64">
        <f>27.1085* CHOOSE(CONTROL!$C$22, $C$13, 100%, $E$13)</f>
        <v>27.108499999999999</v>
      </c>
      <c r="I818" s="64">
        <f>27.1087 * CHOOSE(CONTROL!$C$22, $C$13, 100%, $E$13)</f>
        <v>27.108699999999999</v>
      </c>
      <c r="J818" s="64">
        <f>16.547 * CHOOSE(CONTROL!$C$22, $C$13, 100%, $E$13)</f>
        <v>16.547000000000001</v>
      </c>
      <c r="K818" s="64">
        <f>16.5472 * CHOOSE(CONTROL!$C$22, $C$13, 100%, $E$13)</f>
        <v>16.5472</v>
      </c>
    </row>
    <row r="819" spans="1:11" ht="15">
      <c r="A819" s="13">
        <v>66567</v>
      </c>
      <c r="B819" s="63">
        <f>14.117 * CHOOSE(CONTROL!$C$22, $C$13, 100%, $E$13)</f>
        <v>14.117000000000001</v>
      </c>
      <c r="C819" s="63">
        <f>14.117 * CHOOSE(CONTROL!$C$22, $C$13, 100%, $E$13)</f>
        <v>14.117000000000001</v>
      </c>
      <c r="D819" s="63">
        <f>14.1344 * CHOOSE(CONTROL!$C$22, $C$13, 100%, $E$13)</f>
        <v>14.134399999999999</v>
      </c>
      <c r="E819" s="64">
        <f>16.6965 * CHOOSE(CONTROL!$C$22, $C$13, 100%, $E$13)</f>
        <v>16.6965</v>
      </c>
      <c r="F819" s="64">
        <f>16.6965 * CHOOSE(CONTROL!$C$22, $C$13, 100%, $E$13)</f>
        <v>16.6965</v>
      </c>
      <c r="G819" s="64">
        <f>16.6966 * CHOOSE(CONTROL!$C$22, $C$13, 100%, $E$13)</f>
        <v>16.6966</v>
      </c>
      <c r="H819" s="64">
        <f>27.165* CHOOSE(CONTROL!$C$22, $C$13, 100%, $E$13)</f>
        <v>27.164999999999999</v>
      </c>
      <c r="I819" s="64">
        <f>27.1652 * CHOOSE(CONTROL!$C$22, $C$13, 100%, $E$13)</f>
        <v>27.165199999999999</v>
      </c>
      <c r="J819" s="64">
        <f>16.6965 * CHOOSE(CONTROL!$C$22, $C$13, 100%, $E$13)</f>
        <v>16.6965</v>
      </c>
      <c r="K819" s="64">
        <f>16.6966 * CHOOSE(CONTROL!$C$22, $C$13, 100%, $E$13)</f>
        <v>16.6966</v>
      </c>
    </row>
    <row r="820" spans="1:11" ht="15">
      <c r="A820" s="13">
        <v>66597</v>
      </c>
      <c r="B820" s="63">
        <f>14.117 * CHOOSE(CONTROL!$C$22, $C$13, 100%, $E$13)</f>
        <v>14.117000000000001</v>
      </c>
      <c r="C820" s="63">
        <f>14.117 * CHOOSE(CONTROL!$C$22, $C$13, 100%, $E$13)</f>
        <v>14.117000000000001</v>
      </c>
      <c r="D820" s="63">
        <f>14.1517 * CHOOSE(CONTROL!$C$22, $C$13, 100%, $E$13)</f>
        <v>14.1517</v>
      </c>
      <c r="E820" s="64">
        <f>16.7541 * CHOOSE(CONTROL!$C$22, $C$13, 100%, $E$13)</f>
        <v>16.754100000000001</v>
      </c>
      <c r="F820" s="64">
        <f>16.7541 * CHOOSE(CONTROL!$C$22, $C$13, 100%, $E$13)</f>
        <v>16.754100000000001</v>
      </c>
      <c r="G820" s="64">
        <f>16.7562 * CHOOSE(CONTROL!$C$22, $C$13, 100%, $E$13)</f>
        <v>16.7562</v>
      </c>
      <c r="H820" s="64">
        <f>27.2216* CHOOSE(CONTROL!$C$22, $C$13, 100%, $E$13)</f>
        <v>27.221599999999999</v>
      </c>
      <c r="I820" s="64">
        <f>27.2237 * CHOOSE(CONTROL!$C$22, $C$13, 100%, $E$13)</f>
        <v>27.223700000000001</v>
      </c>
      <c r="J820" s="64">
        <f>16.7541 * CHOOSE(CONTROL!$C$22, $C$13, 100%, $E$13)</f>
        <v>16.754100000000001</v>
      </c>
      <c r="K820" s="64">
        <f>16.7562 * CHOOSE(CONTROL!$C$22, $C$13, 100%, $E$13)</f>
        <v>16.7562</v>
      </c>
    </row>
    <row r="821" spans="1:11" ht="15">
      <c r="A821" s="13">
        <v>66628</v>
      </c>
      <c r="B821" s="63">
        <f>14.1231 * CHOOSE(CONTROL!$C$22, $C$13, 100%, $E$13)</f>
        <v>14.123100000000001</v>
      </c>
      <c r="C821" s="63">
        <f>14.1231 * CHOOSE(CONTROL!$C$22, $C$13, 100%, $E$13)</f>
        <v>14.123100000000001</v>
      </c>
      <c r="D821" s="63">
        <f>14.1578 * CHOOSE(CONTROL!$C$22, $C$13, 100%, $E$13)</f>
        <v>14.1578</v>
      </c>
      <c r="E821" s="64">
        <f>16.7007 * CHOOSE(CONTROL!$C$22, $C$13, 100%, $E$13)</f>
        <v>16.700700000000001</v>
      </c>
      <c r="F821" s="64">
        <f>16.7007 * CHOOSE(CONTROL!$C$22, $C$13, 100%, $E$13)</f>
        <v>16.700700000000001</v>
      </c>
      <c r="G821" s="64">
        <f>16.7028 * CHOOSE(CONTROL!$C$22, $C$13, 100%, $E$13)</f>
        <v>16.7028</v>
      </c>
      <c r="H821" s="64">
        <f>27.2783* CHOOSE(CONTROL!$C$22, $C$13, 100%, $E$13)</f>
        <v>27.278300000000002</v>
      </c>
      <c r="I821" s="64">
        <f>27.2804 * CHOOSE(CONTROL!$C$22, $C$13, 100%, $E$13)</f>
        <v>27.2804</v>
      </c>
      <c r="J821" s="64">
        <f>16.7007 * CHOOSE(CONTROL!$C$22, $C$13, 100%, $E$13)</f>
        <v>16.700700000000001</v>
      </c>
      <c r="K821" s="64">
        <f>16.7028 * CHOOSE(CONTROL!$C$22, $C$13, 100%, $E$13)</f>
        <v>16.7028</v>
      </c>
    </row>
    <row r="822" spans="1:11" ht="15">
      <c r="A822" s="13">
        <v>66658</v>
      </c>
      <c r="B822" s="63">
        <f>14.3448 * CHOOSE(CONTROL!$C$22, $C$13, 100%, $E$13)</f>
        <v>14.344799999999999</v>
      </c>
      <c r="C822" s="63">
        <f>14.3448 * CHOOSE(CONTROL!$C$22, $C$13, 100%, $E$13)</f>
        <v>14.344799999999999</v>
      </c>
      <c r="D822" s="63">
        <f>14.3795 * CHOOSE(CONTROL!$C$22, $C$13, 100%, $E$13)</f>
        <v>14.3795</v>
      </c>
      <c r="E822" s="64">
        <f>17.0188 * CHOOSE(CONTROL!$C$22, $C$13, 100%, $E$13)</f>
        <v>17.018799999999999</v>
      </c>
      <c r="F822" s="64">
        <f>17.0188 * CHOOSE(CONTROL!$C$22, $C$13, 100%, $E$13)</f>
        <v>17.018799999999999</v>
      </c>
      <c r="G822" s="64">
        <f>17.021 * CHOOSE(CONTROL!$C$22, $C$13, 100%, $E$13)</f>
        <v>17.021000000000001</v>
      </c>
      <c r="H822" s="64">
        <f>27.3351* CHOOSE(CONTROL!$C$22, $C$13, 100%, $E$13)</f>
        <v>27.335100000000001</v>
      </c>
      <c r="I822" s="64">
        <f>27.3373 * CHOOSE(CONTROL!$C$22, $C$13, 100%, $E$13)</f>
        <v>27.337299999999999</v>
      </c>
      <c r="J822" s="64">
        <f>17.0188 * CHOOSE(CONTROL!$C$22, $C$13, 100%, $E$13)</f>
        <v>17.018799999999999</v>
      </c>
      <c r="K822" s="64">
        <f>17.021 * CHOOSE(CONTROL!$C$22, $C$13, 100%, $E$13)</f>
        <v>17.021000000000001</v>
      </c>
    </row>
    <row r="823" spans="1:11" ht="15">
      <c r="A823" s="13">
        <v>66689</v>
      </c>
      <c r="B823" s="63">
        <f>14.3515 * CHOOSE(CONTROL!$C$22, $C$13, 100%, $E$13)</f>
        <v>14.3515</v>
      </c>
      <c r="C823" s="63">
        <f>14.3515 * CHOOSE(CONTROL!$C$22, $C$13, 100%, $E$13)</f>
        <v>14.3515</v>
      </c>
      <c r="D823" s="63">
        <f>14.3861 * CHOOSE(CONTROL!$C$22, $C$13, 100%, $E$13)</f>
        <v>14.386100000000001</v>
      </c>
      <c r="E823" s="64">
        <f>16.8506 * CHOOSE(CONTROL!$C$22, $C$13, 100%, $E$13)</f>
        <v>16.8506</v>
      </c>
      <c r="F823" s="64">
        <f>16.8506 * CHOOSE(CONTROL!$C$22, $C$13, 100%, $E$13)</f>
        <v>16.8506</v>
      </c>
      <c r="G823" s="64">
        <f>16.8527 * CHOOSE(CONTROL!$C$22, $C$13, 100%, $E$13)</f>
        <v>16.852699999999999</v>
      </c>
      <c r="H823" s="64">
        <f>27.3921* CHOOSE(CONTROL!$C$22, $C$13, 100%, $E$13)</f>
        <v>27.392099999999999</v>
      </c>
      <c r="I823" s="64">
        <f>27.3942 * CHOOSE(CONTROL!$C$22, $C$13, 100%, $E$13)</f>
        <v>27.394200000000001</v>
      </c>
      <c r="J823" s="64">
        <f>16.8506 * CHOOSE(CONTROL!$C$22, $C$13, 100%, $E$13)</f>
        <v>16.8506</v>
      </c>
      <c r="K823" s="64">
        <f>16.8527 * CHOOSE(CONTROL!$C$22, $C$13, 100%, $E$13)</f>
        <v>16.852699999999999</v>
      </c>
    </row>
    <row r="824" spans="1:11" ht="15">
      <c r="A824" s="13">
        <v>66720</v>
      </c>
      <c r="B824" s="63">
        <f>14.3484 * CHOOSE(CONTROL!$C$22, $C$13, 100%, $E$13)</f>
        <v>14.3484</v>
      </c>
      <c r="C824" s="63">
        <f>14.3484 * CHOOSE(CONTROL!$C$22, $C$13, 100%, $E$13)</f>
        <v>14.3484</v>
      </c>
      <c r="D824" s="63">
        <f>14.3831 * CHOOSE(CONTROL!$C$22, $C$13, 100%, $E$13)</f>
        <v>14.383100000000001</v>
      </c>
      <c r="E824" s="64">
        <f>16.8292 * CHOOSE(CONTROL!$C$22, $C$13, 100%, $E$13)</f>
        <v>16.8292</v>
      </c>
      <c r="F824" s="64">
        <f>16.8292 * CHOOSE(CONTROL!$C$22, $C$13, 100%, $E$13)</f>
        <v>16.8292</v>
      </c>
      <c r="G824" s="64">
        <f>16.8314 * CHOOSE(CONTROL!$C$22, $C$13, 100%, $E$13)</f>
        <v>16.831399999999999</v>
      </c>
      <c r="H824" s="64">
        <f>27.4491* CHOOSE(CONTROL!$C$22, $C$13, 100%, $E$13)</f>
        <v>27.449100000000001</v>
      </c>
      <c r="I824" s="64">
        <f>27.4513 * CHOOSE(CONTROL!$C$22, $C$13, 100%, $E$13)</f>
        <v>27.4513</v>
      </c>
      <c r="J824" s="64">
        <f>16.8292 * CHOOSE(CONTROL!$C$22, $C$13, 100%, $E$13)</f>
        <v>16.8292</v>
      </c>
      <c r="K824" s="64">
        <f>16.8314 * CHOOSE(CONTROL!$C$22, $C$13, 100%, $E$13)</f>
        <v>16.831399999999999</v>
      </c>
    </row>
    <row r="825" spans="1:11" ht="15">
      <c r="A825" s="13">
        <v>66750</v>
      </c>
      <c r="B825" s="63">
        <f>14.3775 * CHOOSE(CONTROL!$C$22, $C$13, 100%, $E$13)</f>
        <v>14.3775</v>
      </c>
      <c r="C825" s="63">
        <f>14.3775 * CHOOSE(CONTROL!$C$22, $C$13, 100%, $E$13)</f>
        <v>14.3775</v>
      </c>
      <c r="D825" s="63">
        <f>14.3948 * CHOOSE(CONTROL!$C$22, $C$13, 100%, $E$13)</f>
        <v>14.3948</v>
      </c>
      <c r="E825" s="64">
        <f>16.8927 * CHOOSE(CONTROL!$C$22, $C$13, 100%, $E$13)</f>
        <v>16.892700000000001</v>
      </c>
      <c r="F825" s="64">
        <f>16.8927 * CHOOSE(CONTROL!$C$22, $C$13, 100%, $E$13)</f>
        <v>16.892700000000001</v>
      </c>
      <c r="G825" s="64">
        <f>16.8928 * CHOOSE(CONTROL!$C$22, $C$13, 100%, $E$13)</f>
        <v>16.892800000000001</v>
      </c>
      <c r="H825" s="64">
        <f>27.5063* CHOOSE(CONTROL!$C$22, $C$13, 100%, $E$13)</f>
        <v>27.5063</v>
      </c>
      <c r="I825" s="64">
        <f>27.5065 * CHOOSE(CONTROL!$C$22, $C$13, 100%, $E$13)</f>
        <v>27.506499999999999</v>
      </c>
      <c r="J825" s="64">
        <f>16.8927 * CHOOSE(CONTROL!$C$22, $C$13, 100%, $E$13)</f>
        <v>16.892700000000001</v>
      </c>
      <c r="K825" s="64">
        <f>16.8928 * CHOOSE(CONTROL!$C$22, $C$13, 100%, $E$13)</f>
        <v>16.892800000000001</v>
      </c>
    </row>
    <row r="826" spans="1:11" ht="15">
      <c r="A826" s="13">
        <v>66781</v>
      </c>
      <c r="B826" s="63">
        <f>14.3805 * CHOOSE(CONTROL!$C$22, $C$13, 100%, $E$13)</f>
        <v>14.3805</v>
      </c>
      <c r="C826" s="63">
        <f>14.3805 * CHOOSE(CONTROL!$C$22, $C$13, 100%, $E$13)</f>
        <v>14.3805</v>
      </c>
      <c r="D826" s="63">
        <f>14.3978 * CHOOSE(CONTROL!$C$22, $C$13, 100%, $E$13)</f>
        <v>14.3978</v>
      </c>
      <c r="E826" s="64">
        <f>16.9332 * CHOOSE(CONTROL!$C$22, $C$13, 100%, $E$13)</f>
        <v>16.933199999999999</v>
      </c>
      <c r="F826" s="64">
        <f>16.9332 * CHOOSE(CONTROL!$C$22, $C$13, 100%, $E$13)</f>
        <v>16.933199999999999</v>
      </c>
      <c r="G826" s="64">
        <f>16.9334 * CHOOSE(CONTROL!$C$22, $C$13, 100%, $E$13)</f>
        <v>16.933399999999999</v>
      </c>
      <c r="H826" s="64">
        <f>27.5636* CHOOSE(CONTROL!$C$22, $C$13, 100%, $E$13)</f>
        <v>27.563600000000001</v>
      </c>
      <c r="I826" s="64">
        <f>27.5638 * CHOOSE(CONTROL!$C$22, $C$13, 100%, $E$13)</f>
        <v>27.563800000000001</v>
      </c>
      <c r="J826" s="64">
        <f>16.9332 * CHOOSE(CONTROL!$C$22, $C$13, 100%, $E$13)</f>
        <v>16.933199999999999</v>
      </c>
      <c r="K826" s="64">
        <f>16.9334 * CHOOSE(CONTROL!$C$22, $C$13, 100%, $E$13)</f>
        <v>16.933399999999999</v>
      </c>
    </row>
    <row r="827" spans="1:11" ht="15">
      <c r="A827" s="13">
        <v>66811</v>
      </c>
      <c r="B827" s="63">
        <f>14.3805 * CHOOSE(CONTROL!$C$22, $C$13, 100%, $E$13)</f>
        <v>14.3805</v>
      </c>
      <c r="C827" s="63">
        <f>14.3805 * CHOOSE(CONTROL!$C$22, $C$13, 100%, $E$13)</f>
        <v>14.3805</v>
      </c>
      <c r="D827" s="63">
        <f>14.3978 * CHOOSE(CONTROL!$C$22, $C$13, 100%, $E$13)</f>
        <v>14.3978</v>
      </c>
      <c r="E827" s="64">
        <f>16.8371 * CHOOSE(CONTROL!$C$22, $C$13, 100%, $E$13)</f>
        <v>16.8371</v>
      </c>
      <c r="F827" s="64">
        <f>16.8371 * CHOOSE(CONTROL!$C$22, $C$13, 100%, $E$13)</f>
        <v>16.8371</v>
      </c>
      <c r="G827" s="64">
        <f>16.8373 * CHOOSE(CONTROL!$C$22, $C$13, 100%, $E$13)</f>
        <v>16.837299999999999</v>
      </c>
      <c r="H827" s="64">
        <f>27.6211* CHOOSE(CONTROL!$C$22, $C$13, 100%, $E$13)</f>
        <v>27.621099999999998</v>
      </c>
      <c r="I827" s="64">
        <f>27.6212 * CHOOSE(CONTROL!$C$22, $C$13, 100%, $E$13)</f>
        <v>27.621200000000002</v>
      </c>
      <c r="J827" s="64">
        <f>16.8371 * CHOOSE(CONTROL!$C$22, $C$13, 100%, $E$13)</f>
        <v>16.8371</v>
      </c>
      <c r="K827" s="64">
        <f>16.8373 * CHOOSE(CONTROL!$C$22, $C$13, 100%, $E$13)</f>
        <v>16.837299999999999</v>
      </c>
    </row>
    <row r="828" spans="1:11" ht="15">
      <c r="A828" s="13">
        <v>66842</v>
      </c>
      <c r="B828" s="63">
        <f>14.3621 * CHOOSE(CONTROL!$C$22, $C$13, 100%, $E$13)</f>
        <v>14.3621</v>
      </c>
      <c r="C828" s="63">
        <f>14.3621 * CHOOSE(CONTROL!$C$22, $C$13, 100%, $E$13)</f>
        <v>14.3621</v>
      </c>
      <c r="D828" s="63">
        <f>14.3795 * CHOOSE(CONTROL!$C$22, $C$13, 100%, $E$13)</f>
        <v>14.3795</v>
      </c>
      <c r="E828" s="64">
        <f>16.8821 * CHOOSE(CONTROL!$C$22, $C$13, 100%, $E$13)</f>
        <v>16.882100000000001</v>
      </c>
      <c r="F828" s="64">
        <f>16.8821 * CHOOSE(CONTROL!$C$22, $C$13, 100%, $E$13)</f>
        <v>16.882100000000001</v>
      </c>
      <c r="G828" s="64">
        <f>16.8822 * CHOOSE(CONTROL!$C$22, $C$13, 100%, $E$13)</f>
        <v>16.882200000000001</v>
      </c>
      <c r="H828" s="64">
        <f>27.4418* CHOOSE(CONTROL!$C$22, $C$13, 100%, $E$13)</f>
        <v>27.441800000000001</v>
      </c>
      <c r="I828" s="64">
        <f>27.442 * CHOOSE(CONTROL!$C$22, $C$13, 100%, $E$13)</f>
        <v>27.442</v>
      </c>
      <c r="J828" s="64">
        <f>16.8821 * CHOOSE(CONTROL!$C$22, $C$13, 100%, $E$13)</f>
        <v>16.882100000000001</v>
      </c>
      <c r="K828" s="64">
        <f>16.8822 * CHOOSE(CONTROL!$C$22, $C$13, 100%, $E$13)</f>
        <v>16.882200000000001</v>
      </c>
    </row>
    <row r="829" spans="1:11" ht="15">
      <c r="A829" s="13">
        <v>66873</v>
      </c>
      <c r="B829" s="63">
        <f>14.3591 * CHOOSE(CONTROL!$C$22, $C$13, 100%, $E$13)</f>
        <v>14.3591</v>
      </c>
      <c r="C829" s="63">
        <f>14.3591 * CHOOSE(CONTROL!$C$22, $C$13, 100%, $E$13)</f>
        <v>14.3591</v>
      </c>
      <c r="D829" s="63">
        <f>14.3764 * CHOOSE(CONTROL!$C$22, $C$13, 100%, $E$13)</f>
        <v>14.3764</v>
      </c>
      <c r="E829" s="64">
        <f>16.6952 * CHOOSE(CONTROL!$C$22, $C$13, 100%, $E$13)</f>
        <v>16.6952</v>
      </c>
      <c r="F829" s="64">
        <f>16.6952 * CHOOSE(CONTROL!$C$22, $C$13, 100%, $E$13)</f>
        <v>16.6952</v>
      </c>
      <c r="G829" s="64">
        <f>16.6954 * CHOOSE(CONTROL!$C$22, $C$13, 100%, $E$13)</f>
        <v>16.695399999999999</v>
      </c>
      <c r="H829" s="64">
        <f>27.499* CHOOSE(CONTROL!$C$22, $C$13, 100%, $E$13)</f>
        <v>27.498999999999999</v>
      </c>
      <c r="I829" s="64">
        <f>27.4992 * CHOOSE(CONTROL!$C$22, $C$13, 100%, $E$13)</f>
        <v>27.499199999999998</v>
      </c>
      <c r="J829" s="64">
        <f>16.6952 * CHOOSE(CONTROL!$C$22, $C$13, 100%, $E$13)</f>
        <v>16.6952</v>
      </c>
      <c r="K829" s="64">
        <f>16.6954 * CHOOSE(CONTROL!$C$22, $C$13, 100%, $E$13)</f>
        <v>16.695399999999999</v>
      </c>
    </row>
    <row r="830" spans="1:11" ht="15">
      <c r="A830" s="13">
        <v>66901</v>
      </c>
      <c r="B830" s="63">
        <f>14.3561 * CHOOSE(CONTROL!$C$22, $C$13, 100%, $E$13)</f>
        <v>14.3561</v>
      </c>
      <c r="C830" s="63">
        <f>14.3561 * CHOOSE(CONTROL!$C$22, $C$13, 100%, $E$13)</f>
        <v>14.3561</v>
      </c>
      <c r="D830" s="63">
        <f>14.3734 * CHOOSE(CONTROL!$C$22, $C$13, 100%, $E$13)</f>
        <v>14.3734</v>
      </c>
      <c r="E830" s="64">
        <f>16.8387 * CHOOSE(CONTROL!$C$22, $C$13, 100%, $E$13)</f>
        <v>16.838699999999999</v>
      </c>
      <c r="F830" s="64">
        <f>16.8387 * CHOOSE(CONTROL!$C$22, $C$13, 100%, $E$13)</f>
        <v>16.838699999999999</v>
      </c>
      <c r="G830" s="64">
        <f>16.8389 * CHOOSE(CONTROL!$C$22, $C$13, 100%, $E$13)</f>
        <v>16.838899999999999</v>
      </c>
      <c r="H830" s="64">
        <f>27.5563* CHOOSE(CONTROL!$C$22, $C$13, 100%, $E$13)</f>
        <v>27.5563</v>
      </c>
      <c r="I830" s="64">
        <f>27.5564 * CHOOSE(CONTROL!$C$22, $C$13, 100%, $E$13)</f>
        <v>27.5564</v>
      </c>
      <c r="J830" s="64">
        <f>16.8387 * CHOOSE(CONTROL!$C$22, $C$13, 100%, $E$13)</f>
        <v>16.838699999999999</v>
      </c>
      <c r="K830" s="64">
        <f>16.8389 * CHOOSE(CONTROL!$C$22, $C$13, 100%, $E$13)</f>
        <v>16.838899999999999</v>
      </c>
    </row>
    <row r="831" spans="1:11" ht="15">
      <c r="A831" s="13">
        <v>66932</v>
      </c>
      <c r="B831" s="63">
        <f>14.3625 * CHOOSE(CONTROL!$C$22, $C$13, 100%, $E$13)</f>
        <v>14.362500000000001</v>
      </c>
      <c r="C831" s="63">
        <f>14.3625 * CHOOSE(CONTROL!$C$22, $C$13, 100%, $E$13)</f>
        <v>14.362500000000001</v>
      </c>
      <c r="D831" s="63">
        <f>14.3799 * CHOOSE(CONTROL!$C$22, $C$13, 100%, $E$13)</f>
        <v>14.379899999999999</v>
      </c>
      <c r="E831" s="64">
        <f>16.9909 * CHOOSE(CONTROL!$C$22, $C$13, 100%, $E$13)</f>
        <v>16.9909</v>
      </c>
      <c r="F831" s="64">
        <f>16.9909 * CHOOSE(CONTROL!$C$22, $C$13, 100%, $E$13)</f>
        <v>16.9909</v>
      </c>
      <c r="G831" s="64">
        <f>16.9911 * CHOOSE(CONTROL!$C$22, $C$13, 100%, $E$13)</f>
        <v>16.991099999999999</v>
      </c>
      <c r="H831" s="64">
        <f>27.6137* CHOOSE(CONTROL!$C$22, $C$13, 100%, $E$13)</f>
        <v>27.613700000000001</v>
      </c>
      <c r="I831" s="64">
        <f>27.6138 * CHOOSE(CONTROL!$C$22, $C$13, 100%, $E$13)</f>
        <v>27.613800000000001</v>
      </c>
      <c r="J831" s="64">
        <f>16.9909 * CHOOSE(CONTROL!$C$22, $C$13, 100%, $E$13)</f>
        <v>16.9909</v>
      </c>
      <c r="K831" s="64">
        <f>16.9911 * CHOOSE(CONTROL!$C$22, $C$13, 100%, $E$13)</f>
        <v>16.991099999999999</v>
      </c>
    </row>
    <row r="832" spans="1:11" ht="15">
      <c r="A832" s="13">
        <v>66962</v>
      </c>
      <c r="B832" s="63">
        <f>14.3625 * CHOOSE(CONTROL!$C$22, $C$13, 100%, $E$13)</f>
        <v>14.362500000000001</v>
      </c>
      <c r="C832" s="63">
        <f>14.3625 * CHOOSE(CONTROL!$C$22, $C$13, 100%, $E$13)</f>
        <v>14.362500000000001</v>
      </c>
      <c r="D832" s="63">
        <f>14.3972 * CHOOSE(CONTROL!$C$22, $C$13, 100%, $E$13)</f>
        <v>14.3972</v>
      </c>
      <c r="E832" s="64">
        <f>17.0496 * CHOOSE(CONTROL!$C$22, $C$13, 100%, $E$13)</f>
        <v>17.049600000000002</v>
      </c>
      <c r="F832" s="64">
        <f>17.0496 * CHOOSE(CONTROL!$C$22, $C$13, 100%, $E$13)</f>
        <v>17.049600000000002</v>
      </c>
      <c r="G832" s="64">
        <f>17.0517 * CHOOSE(CONTROL!$C$22, $C$13, 100%, $E$13)</f>
        <v>17.0517</v>
      </c>
      <c r="H832" s="64">
        <f>27.6712* CHOOSE(CONTROL!$C$22, $C$13, 100%, $E$13)</f>
        <v>27.671199999999999</v>
      </c>
      <c r="I832" s="64">
        <f>27.6733 * CHOOSE(CONTROL!$C$22, $C$13, 100%, $E$13)</f>
        <v>27.673300000000001</v>
      </c>
      <c r="J832" s="64">
        <f>17.0496 * CHOOSE(CONTROL!$C$22, $C$13, 100%, $E$13)</f>
        <v>17.049600000000002</v>
      </c>
      <c r="K832" s="64">
        <f>17.0517 * CHOOSE(CONTROL!$C$22, $C$13, 100%, $E$13)</f>
        <v>17.0517</v>
      </c>
    </row>
    <row r="833" spans="1:11" ht="15">
      <c r="A833" s="13">
        <v>66993</v>
      </c>
      <c r="B833" s="63">
        <f>14.3686 * CHOOSE(CONTROL!$C$22, $C$13, 100%, $E$13)</f>
        <v>14.368600000000001</v>
      </c>
      <c r="C833" s="63">
        <f>14.3686 * CHOOSE(CONTROL!$C$22, $C$13, 100%, $E$13)</f>
        <v>14.368600000000001</v>
      </c>
      <c r="D833" s="63">
        <f>14.4033 * CHOOSE(CONTROL!$C$22, $C$13, 100%, $E$13)</f>
        <v>14.4033</v>
      </c>
      <c r="E833" s="64">
        <f>16.9951 * CHOOSE(CONTROL!$C$22, $C$13, 100%, $E$13)</f>
        <v>16.995100000000001</v>
      </c>
      <c r="F833" s="64">
        <f>16.9951 * CHOOSE(CONTROL!$C$22, $C$13, 100%, $E$13)</f>
        <v>16.995100000000001</v>
      </c>
      <c r="G833" s="64">
        <f>16.9973 * CHOOSE(CONTROL!$C$22, $C$13, 100%, $E$13)</f>
        <v>16.997299999999999</v>
      </c>
      <c r="H833" s="64">
        <f>27.7288* CHOOSE(CONTROL!$C$22, $C$13, 100%, $E$13)</f>
        <v>27.7288</v>
      </c>
      <c r="I833" s="64">
        <f>27.731 * CHOOSE(CONTROL!$C$22, $C$13, 100%, $E$13)</f>
        <v>27.731000000000002</v>
      </c>
      <c r="J833" s="64">
        <f>16.9951 * CHOOSE(CONTROL!$C$22, $C$13, 100%, $E$13)</f>
        <v>16.995100000000001</v>
      </c>
      <c r="K833" s="64">
        <f>16.9973 * CHOOSE(CONTROL!$C$22, $C$13, 100%, $E$13)</f>
        <v>16.997299999999999</v>
      </c>
    </row>
    <row r="834" spans="1:11" ht="15">
      <c r="A834" s="13">
        <v>67023</v>
      </c>
      <c r="B834" s="63">
        <f>14.594 * CHOOSE(CONTROL!$C$22, $C$13, 100%, $E$13)</f>
        <v>14.593999999999999</v>
      </c>
      <c r="C834" s="63">
        <f>14.594 * CHOOSE(CONTROL!$C$22, $C$13, 100%, $E$13)</f>
        <v>14.593999999999999</v>
      </c>
      <c r="D834" s="63">
        <f>14.6287 * CHOOSE(CONTROL!$C$22, $C$13, 100%, $E$13)</f>
        <v>14.6287</v>
      </c>
      <c r="E834" s="64">
        <f>17.3187 * CHOOSE(CONTROL!$C$22, $C$13, 100%, $E$13)</f>
        <v>17.3187</v>
      </c>
      <c r="F834" s="64">
        <f>17.3187 * CHOOSE(CONTROL!$C$22, $C$13, 100%, $E$13)</f>
        <v>17.3187</v>
      </c>
      <c r="G834" s="64">
        <f>17.3209 * CHOOSE(CONTROL!$C$22, $C$13, 100%, $E$13)</f>
        <v>17.320900000000002</v>
      </c>
      <c r="H834" s="64">
        <f>27.7866* CHOOSE(CONTROL!$C$22, $C$13, 100%, $E$13)</f>
        <v>27.7866</v>
      </c>
      <c r="I834" s="64">
        <f>27.7888 * CHOOSE(CONTROL!$C$22, $C$13, 100%, $E$13)</f>
        <v>27.788799999999998</v>
      </c>
      <c r="J834" s="64">
        <f>17.3187 * CHOOSE(CONTROL!$C$22, $C$13, 100%, $E$13)</f>
        <v>17.3187</v>
      </c>
      <c r="K834" s="64">
        <f>17.3209 * CHOOSE(CONTROL!$C$22, $C$13, 100%, $E$13)</f>
        <v>17.320900000000002</v>
      </c>
    </row>
    <row r="835" spans="1:11" ht="15">
      <c r="A835" s="13">
        <v>67054</v>
      </c>
      <c r="B835" s="63">
        <f>14.6007 * CHOOSE(CONTROL!$C$22, $C$13, 100%, $E$13)</f>
        <v>14.6007</v>
      </c>
      <c r="C835" s="63">
        <f>14.6007 * CHOOSE(CONTROL!$C$22, $C$13, 100%, $E$13)</f>
        <v>14.6007</v>
      </c>
      <c r="D835" s="63">
        <f>14.6354 * CHOOSE(CONTROL!$C$22, $C$13, 100%, $E$13)</f>
        <v>14.635400000000001</v>
      </c>
      <c r="E835" s="64">
        <f>17.1474 * CHOOSE(CONTROL!$C$22, $C$13, 100%, $E$13)</f>
        <v>17.147400000000001</v>
      </c>
      <c r="F835" s="64">
        <f>17.1474 * CHOOSE(CONTROL!$C$22, $C$13, 100%, $E$13)</f>
        <v>17.147400000000001</v>
      </c>
      <c r="G835" s="64">
        <f>17.1495 * CHOOSE(CONTROL!$C$22, $C$13, 100%, $E$13)</f>
        <v>17.1495</v>
      </c>
      <c r="H835" s="64">
        <f>27.8445* CHOOSE(CONTROL!$C$22, $C$13, 100%, $E$13)</f>
        <v>27.8445</v>
      </c>
      <c r="I835" s="64">
        <f>27.8467 * CHOOSE(CONTROL!$C$22, $C$13, 100%, $E$13)</f>
        <v>27.846699999999998</v>
      </c>
      <c r="J835" s="64">
        <f>17.1474 * CHOOSE(CONTROL!$C$22, $C$13, 100%, $E$13)</f>
        <v>17.147400000000001</v>
      </c>
      <c r="K835" s="64">
        <f>17.1495 * CHOOSE(CONTROL!$C$22, $C$13, 100%, $E$13)</f>
        <v>17.1495</v>
      </c>
    </row>
    <row r="836" spans="1:11" ht="15">
      <c r="A836" s="13">
        <v>67085</v>
      </c>
      <c r="B836" s="63">
        <f>14.5977 * CHOOSE(CONTROL!$C$22, $C$13, 100%, $E$13)</f>
        <v>14.5977</v>
      </c>
      <c r="C836" s="63">
        <f>14.5977 * CHOOSE(CONTROL!$C$22, $C$13, 100%, $E$13)</f>
        <v>14.5977</v>
      </c>
      <c r="D836" s="63">
        <f>14.6323 * CHOOSE(CONTROL!$C$22, $C$13, 100%, $E$13)</f>
        <v>14.632300000000001</v>
      </c>
      <c r="E836" s="64">
        <f>17.1257 * CHOOSE(CONTROL!$C$22, $C$13, 100%, $E$13)</f>
        <v>17.125699999999998</v>
      </c>
      <c r="F836" s="64">
        <f>17.1257 * CHOOSE(CONTROL!$C$22, $C$13, 100%, $E$13)</f>
        <v>17.125699999999998</v>
      </c>
      <c r="G836" s="64">
        <f>17.1279 * CHOOSE(CONTROL!$C$22, $C$13, 100%, $E$13)</f>
        <v>17.1279</v>
      </c>
      <c r="H836" s="64">
        <f>27.9025* CHOOSE(CONTROL!$C$22, $C$13, 100%, $E$13)</f>
        <v>27.9025</v>
      </c>
      <c r="I836" s="64">
        <f>27.9047 * CHOOSE(CONTROL!$C$22, $C$13, 100%, $E$13)</f>
        <v>27.904699999999998</v>
      </c>
      <c r="J836" s="64">
        <f>17.1257 * CHOOSE(CONTROL!$C$22, $C$13, 100%, $E$13)</f>
        <v>17.125699999999998</v>
      </c>
      <c r="K836" s="64">
        <f>17.1279 * CHOOSE(CONTROL!$C$22, $C$13, 100%, $E$13)</f>
        <v>17.1279</v>
      </c>
    </row>
    <row r="837" spans="1:11" ht="15">
      <c r="A837" s="13">
        <v>67115</v>
      </c>
      <c r="B837" s="63">
        <f>14.6275 * CHOOSE(CONTROL!$C$22, $C$13, 100%, $E$13)</f>
        <v>14.6275</v>
      </c>
      <c r="C837" s="63">
        <f>14.6275 * CHOOSE(CONTROL!$C$22, $C$13, 100%, $E$13)</f>
        <v>14.6275</v>
      </c>
      <c r="D837" s="63">
        <f>14.6448 * CHOOSE(CONTROL!$C$22, $C$13, 100%, $E$13)</f>
        <v>14.6448</v>
      </c>
      <c r="E837" s="64">
        <f>17.1905 * CHOOSE(CONTROL!$C$22, $C$13, 100%, $E$13)</f>
        <v>17.1905</v>
      </c>
      <c r="F837" s="64">
        <f>17.1905 * CHOOSE(CONTROL!$C$22, $C$13, 100%, $E$13)</f>
        <v>17.1905</v>
      </c>
      <c r="G837" s="64">
        <f>17.1907 * CHOOSE(CONTROL!$C$22, $C$13, 100%, $E$13)</f>
        <v>17.1907</v>
      </c>
      <c r="H837" s="64">
        <f>27.9606* CHOOSE(CONTROL!$C$22, $C$13, 100%, $E$13)</f>
        <v>27.960599999999999</v>
      </c>
      <c r="I837" s="64">
        <f>27.9608 * CHOOSE(CONTROL!$C$22, $C$13, 100%, $E$13)</f>
        <v>27.960799999999999</v>
      </c>
      <c r="J837" s="64">
        <f>17.1905 * CHOOSE(CONTROL!$C$22, $C$13, 100%, $E$13)</f>
        <v>17.1905</v>
      </c>
      <c r="K837" s="64">
        <f>17.1907 * CHOOSE(CONTROL!$C$22, $C$13, 100%, $E$13)</f>
        <v>17.1907</v>
      </c>
    </row>
    <row r="838" spans="1:11" ht="15">
      <c r="A838" s="13">
        <v>67146</v>
      </c>
      <c r="B838" s="63">
        <f>14.6305 * CHOOSE(CONTROL!$C$22, $C$13, 100%, $E$13)</f>
        <v>14.6305</v>
      </c>
      <c r="C838" s="63">
        <f>14.6305 * CHOOSE(CONTROL!$C$22, $C$13, 100%, $E$13)</f>
        <v>14.6305</v>
      </c>
      <c r="D838" s="63">
        <f>14.6479 * CHOOSE(CONTROL!$C$22, $C$13, 100%, $E$13)</f>
        <v>14.6479</v>
      </c>
      <c r="E838" s="64">
        <f>17.2317 * CHOOSE(CONTROL!$C$22, $C$13, 100%, $E$13)</f>
        <v>17.2317</v>
      </c>
      <c r="F838" s="64">
        <f>17.2317 * CHOOSE(CONTROL!$C$22, $C$13, 100%, $E$13)</f>
        <v>17.2317</v>
      </c>
      <c r="G838" s="64">
        <f>17.2319 * CHOOSE(CONTROL!$C$22, $C$13, 100%, $E$13)</f>
        <v>17.2319</v>
      </c>
      <c r="H838" s="64">
        <f>28.0189* CHOOSE(CONTROL!$C$22, $C$13, 100%, $E$13)</f>
        <v>28.018899999999999</v>
      </c>
      <c r="I838" s="64">
        <f>28.0191 * CHOOSE(CONTROL!$C$22, $C$13, 100%, $E$13)</f>
        <v>28.019100000000002</v>
      </c>
      <c r="J838" s="64">
        <f>17.2317 * CHOOSE(CONTROL!$C$22, $C$13, 100%, $E$13)</f>
        <v>17.2317</v>
      </c>
      <c r="K838" s="64">
        <f>17.2319 * CHOOSE(CONTROL!$C$22, $C$13, 100%, $E$13)</f>
        <v>17.2319</v>
      </c>
    </row>
    <row r="839" spans="1:11" ht="15">
      <c r="A839" s="13">
        <v>67176</v>
      </c>
      <c r="B839" s="63">
        <f>14.6305 * CHOOSE(CONTROL!$C$22, $C$13, 100%, $E$13)</f>
        <v>14.6305</v>
      </c>
      <c r="C839" s="63">
        <f>14.6305 * CHOOSE(CONTROL!$C$22, $C$13, 100%, $E$13)</f>
        <v>14.6305</v>
      </c>
      <c r="D839" s="63">
        <f>14.6479 * CHOOSE(CONTROL!$C$22, $C$13, 100%, $E$13)</f>
        <v>14.6479</v>
      </c>
      <c r="E839" s="64">
        <f>17.134 * CHOOSE(CONTROL!$C$22, $C$13, 100%, $E$13)</f>
        <v>17.134</v>
      </c>
      <c r="F839" s="64">
        <f>17.134 * CHOOSE(CONTROL!$C$22, $C$13, 100%, $E$13)</f>
        <v>17.134</v>
      </c>
      <c r="G839" s="64">
        <f>17.1342 * CHOOSE(CONTROL!$C$22, $C$13, 100%, $E$13)</f>
        <v>17.1342</v>
      </c>
      <c r="H839" s="64">
        <f>28.0773* CHOOSE(CONTROL!$C$22, $C$13, 100%, $E$13)</f>
        <v>28.077300000000001</v>
      </c>
      <c r="I839" s="64">
        <f>28.0774 * CHOOSE(CONTROL!$C$22, $C$13, 100%, $E$13)</f>
        <v>28.077400000000001</v>
      </c>
      <c r="J839" s="64">
        <f>17.134 * CHOOSE(CONTROL!$C$22, $C$13, 100%, $E$13)</f>
        <v>17.134</v>
      </c>
      <c r="K839" s="64">
        <f>17.1342 * CHOOSE(CONTROL!$C$22, $C$13, 100%, $E$13)</f>
        <v>17.1342</v>
      </c>
    </row>
    <row r="840" spans="1:11" ht="15">
      <c r="A840" s="13">
        <v>67207</v>
      </c>
      <c r="B840" s="63">
        <f>14.6075 * CHOOSE(CONTROL!$C$22, $C$13, 100%, $E$13)</f>
        <v>14.6075</v>
      </c>
      <c r="C840" s="63">
        <f>14.6075 * CHOOSE(CONTROL!$C$22, $C$13, 100%, $E$13)</f>
        <v>14.6075</v>
      </c>
      <c r="D840" s="63">
        <f>14.6248 * CHOOSE(CONTROL!$C$22, $C$13, 100%, $E$13)</f>
        <v>14.6248</v>
      </c>
      <c r="E840" s="64">
        <f>17.1745 * CHOOSE(CONTROL!$C$22, $C$13, 100%, $E$13)</f>
        <v>17.174499999999998</v>
      </c>
      <c r="F840" s="64">
        <f>17.1745 * CHOOSE(CONTROL!$C$22, $C$13, 100%, $E$13)</f>
        <v>17.174499999999998</v>
      </c>
      <c r="G840" s="64">
        <f>17.1747 * CHOOSE(CONTROL!$C$22, $C$13, 100%, $E$13)</f>
        <v>17.174700000000001</v>
      </c>
      <c r="H840" s="64">
        <f>27.8877* CHOOSE(CONTROL!$C$22, $C$13, 100%, $E$13)</f>
        <v>27.887699999999999</v>
      </c>
      <c r="I840" s="64">
        <f>27.8879 * CHOOSE(CONTROL!$C$22, $C$13, 100%, $E$13)</f>
        <v>27.887899999999998</v>
      </c>
      <c r="J840" s="64">
        <f>17.1745 * CHOOSE(CONTROL!$C$22, $C$13, 100%, $E$13)</f>
        <v>17.174499999999998</v>
      </c>
      <c r="K840" s="64">
        <f>17.1747 * CHOOSE(CONTROL!$C$22, $C$13, 100%, $E$13)</f>
        <v>17.174700000000001</v>
      </c>
    </row>
    <row r="841" spans="1:11" ht="15">
      <c r="A841" s="13">
        <v>67238</v>
      </c>
      <c r="B841" s="63">
        <f>14.6044 * CHOOSE(CONTROL!$C$22, $C$13, 100%, $E$13)</f>
        <v>14.6044</v>
      </c>
      <c r="C841" s="63">
        <f>14.6044 * CHOOSE(CONTROL!$C$22, $C$13, 100%, $E$13)</f>
        <v>14.6044</v>
      </c>
      <c r="D841" s="63">
        <f>14.6217 * CHOOSE(CONTROL!$C$22, $C$13, 100%, $E$13)</f>
        <v>14.621700000000001</v>
      </c>
      <c r="E841" s="64">
        <f>16.9844 * CHOOSE(CONTROL!$C$22, $C$13, 100%, $E$13)</f>
        <v>16.984400000000001</v>
      </c>
      <c r="F841" s="64">
        <f>16.9844 * CHOOSE(CONTROL!$C$22, $C$13, 100%, $E$13)</f>
        <v>16.984400000000001</v>
      </c>
      <c r="G841" s="64">
        <f>16.9846 * CHOOSE(CONTROL!$C$22, $C$13, 100%, $E$13)</f>
        <v>16.9846</v>
      </c>
      <c r="H841" s="64">
        <f>27.9458* CHOOSE(CONTROL!$C$22, $C$13, 100%, $E$13)</f>
        <v>27.945799999999998</v>
      </c>
      <c r="I841" s="64">
        <f>27.946 * CHOOSE(CONTROL!$C$22, $C$13, 100%, $E$13)</f>
        <v>27.946000000000002</v>
      </c>
      <c r="J841" s="64">
        <f>16.9844 * CHOOSE(CONTROL!$C$22, $C$13, 100%, $E$13)</f>
        <v>16.984400000000001</v>
      </c>
      <c r="K841" s="64">
        <f>16.9846 * CHOOSE(CONTROL!$C$22, $C$13, 100%, $E$13)</f>
        <v>16.9846</v>
      </c>
    </row>
    <row r="842" spans="1:11" ht="15">
      <c r="A842" s="13">
        <v>67267</v>
      </c>
      <c r="B842" s="63">
        <f>14.6014 * CHOOSE(CONTROL!$C$22, $C$13, 100%, $E$13)</f>
        <v>14.6014</v>
      </c>
      <c r="C842" s="63">
        <f>14.6014 * CHOOSE(CONTROL!$C$22, $C$13, 100%, $E$13)</f>
        <v>14.6014</v>
      </c>
      <c r="D842" s="63">
        <f>14.6187 * CHOOSE(CONTROL!$C$22, $C$13, 100%, $E$13)</f>
        <v>14.6187</v>
      </c>
      <c r="E842" s="64">
        <f>17.1305 * CHOOSE(CONTROL!$C$22, $C$13, 100%, $E$13)</f>
        <v>17.130500000000001</v>
      </c>
      <c r="F842" s="64">
        <f>17.1305 * CHOOSE(CONTROL!$C$22, $C$13, 100%, $E$13)</f>
        <v>17.130500000000001</v>
      </c>
      <c r="G842" s="64">
        <f>17.1306 * CHOOSE(CONTROL!$C$22, $C$13, 100%, $E$13)</f>
        <v>17.130600000000001</v>
      </c>
      <c r="H842" s="64">
        <f>28.004* CHOOSE(CONTROL!$C$22, $C$13, 100%, $E$13)</f>
        <v>28.004000000000001</v>
      </c>
      <c r="I842" s="64">
        <f>28.0042 * CHOOSE(CONTROL!$C$22, $C$13, 100%, $E$13)</f>
        <v>28.004200000000001</v>
      </c>
      <c r="J842" s="64">
        <f>17.1305 * CHOOSE(CONTROL!$C$22, $C$13, 100%, $E$13)</f>
        <v>17.130500000000001</v>
      </c>
      <c r="K842" s="64">
        <f>17.1306 * CHOOSE(CONTROL!$C$22, $C$13, 100%, $E$13)</f>
        <v>17.130600000000001</v>
      </c>
    </row>
    <row r="843" spans="1:11" ht="15">
      <c r="A843" s="13">
        <v>67298</v>
      </c>
      <c r="B843" s="63">
        <f>14.6081 * CHOOSE(CONTROL!$C$22, $C$13, 100%, $E$13)</f>
        <v>14.6081</v>
      </c>
      <c r="C843" s="63">
        <f>14.6081 * CHOOSE(CONTROL!$C$22, $C$13, 100%, $E$13)</f>
        <v>14.6081</v>
      </c>
      <c r="D843" s="63">
        <f>14.6254 * CHOOSE(CONTROL!$C$22, $C$13, 100%, $E$13)</f>
        <v>14.625400000000001</v>
      </c>
      <c r="E843" s="64">
        <f>17.2854 * CHOOSE(CONTROL!$C$22, $C$13, 100%, $E$13)</f>
        <v>17.285399999999999</v>
      </c>
      <c r="F843" s="64">
        <f>17.2854 * CHOOSE(CONTROL!$C$22, $C$13, 100%, $E$13)</f>
        <v>17.285399999999999</v>
      </c>
      <c r="G843" s="64">
        <f>17.2855 * CHOOSE(CONTROL!$C$22, $C$13, 100%, $E$13)</f>
        <v>17.285499999999999</v>
      </c>
      <c r="H843" s="64">
        <f>28.0624* CHOOSE(CONTROL!$C$22, $C$13, 100%, $E$13)</f>
        <v>28.0624</v>
      </c>
      <c r="I843" s="64">
        <f>28.0625 * CHOOSE(CONTROL!$C$22, $C$13, 100%, $E$13)</f>
        <v>28.0625</v>
      </c>
      <c r="J843" s="64">
        <f>17.2854 * CHOOSE(CONTROL!$C$22, $C$13, 100%, $E$13)</f>
        <v>17.285399999999999</v>
      </c>
      <c r="K843" s="64">
        <f>17.2855 * CHOOSE(CONTROL!$C$22, $C$13, 100%, $E$13)</f>
        <v>17.285499999999999</v>
      </c>
    </row>
    <row r="844" spans="1:11" ht="15">
      <c r="A844" s="13">
        <v>67328</v>
      </c>
      <c r="B844" s="63">
        <f>14.6081 * CHOOSE(CONTROL!$C$22, $C$13, 100%, $E$13)</f>
        <v>14.6081</v>
      </c>
      <c r="C844" s="63">
        <f>14.6081 * CHOOSE(CONTROL!$C$22, $C$13, 100%, $E$13)</f>
        <v>14.6081</v>
      </c>
      <c r="D844" s="63">
        <f>14.6427 * CHOOSE(CONTROL!$C$22, $C$13, 100%, $E$13)</f>
        <v>14.6427</v>
      </c>
      <c r="E844" s="64">
        <f>17.345 * CHOOSE(CONTROL!$C$22, $C$13, 100%, $E$13)</f>
        <v>17.344999999999999</v>
      </c>
      <c r="F844" s="64">
        <f>17.345 * CHOOSE(CONTROL!$C$22, $C$13, 100%, $E$13)</f>
        <v>17.344999999999999</v>
      </c>
      <c r="G844" s="64">
        <f>17.3472 * CHOOSE(CONTROL!$C$22, $C$13, 100%, $E$13)</f>
        <v>17.347200000000001</v>
      </c>
      <c r="H844" s="64">
        <f>28.1208* CHOOSE(CONTROL!$C$22, $C$13, 100%, $E$13)</f>
        <v>28.120799999999999</v>
      </c>
      <c r="I844" s="64">
        <f>28.123 * CHOOSE(CONTROL!$C$22, $C$13, 100%, $E$13)</f>
        <v>28.123000000000001</v>
      </c>
      <c r="J844" s="64">
        <f>17.345 * CHOOSE(CONTROL!$C$22, $C$13, 100%, $E$13)</f>
        <v>17.344999999999999</v>
      </c>
      <c r="K844" s="64">
        <f>17.3472 * CHOOSE(CONTROL!$C$22, $C$13, 100%, $E$13)</f>
        <v>17.347200000000001</v>
      </c>
    </row>
    <row r="845" spans="1:11" ht="15">
      <c r="A845" s="13">
        <v>67359</v>
      </c>
      <c r="B845" s="63">
        <f>14.6142 * CHOOSE(CONTROL!$C$22, $C$13, 100%, $E$13)</f>
        <v>14.6142</v>
      </c>
      <c r="C845" s="63">
        <f>14.6142 * CHOOSE(CONTROL!$C$22, $C$13, 100%, $E$13)</f>
        <v>14.6142</v>
      </c>
      <c r="D845" s="63">
        <f>14.6488 * CHOOSE(CONTROL!$C$22, $C$13, 100%, $E$13)</f>
        <v>14.6488</v>
      </c>
      <c r="E845" s="64">
        <f>17.2896 * CHOOSE(CONTROL!$C$22, $C$13, 100%, $E$13)</f>
        <v>17.2896</v>
      </c>
      <c r="F845" s="64">
        <f>17.2896 * CHOOSE(CONTROL!$C$22, $C$13, 100%, $E$13)</f>
        <v>17.2896</v>
      </c>
      <c r="G845" s="64">
        <f>17.2917 * CHOOSE(CONTROL!$C$22, $C$13, 100%, $E$13)</f>
        <v>17.291699999999999</v>
      </c>
      <c r="H845" s="64">
        <f>28.1794* CHOOSE(CONTROL!$C$22, $C$13, 100%, $E$13)</f>
        <v>28.179400000000001</v>
      </c>
      <c r="I845" s="64">
        <f>28.1816 * CHOOSE(CONTROL!$C$22, $C$13, 100%, $E$13)</f>
        <v>28.1816</v>
      </c>
      <c r="J845" s="64">
        <f>17.2896 * CHOOSE(CONTROL!$C$22, $C$13, 100%, $E$13)</f>
        <v>17.2896</v>
      </c>
      <c r="K845" s="64">
        <f>17.2917 * CHOOSE(CONTROL!$C$22, $C$13, 100%, $E$13)</f>
        <v>17.291699999999999</v>
      </c>
    </row>
    <row r="846" spans="1:11" ht="15">
      <c r="A846" s="13">
        <v>67389</v>
      </c>
      <c r="B846" s="63">
        <f>14.8432 * CHOOSE(CONTROL!$C$22, $C$13, 100%, $E$13)</f>
        <v>14.8432</v>
      </c>
      <c r="C846" s="63">
        <f>14.8432 * CHOOSE(CONTROL!$C$22, $C$13, 100%, $E$13)</f>
        <v>14.8432</v>
      </c>
      <c r="D846" s="63">
        <f>14.8779 * CHOOSE(CONTROL!$C$22, $C$13, 100%, $E$13)</f>
        <v>14.8779</v>
      </c>
      <c r="E846" s="64">
        <f>17.6186 * CHOOSE(CONTROL!$C$22, $C$13, 100%, $E$13)</f>
        <v>17.618600000000001</v>
      </c>
      <c r="F846" s="64">
        <f>17.6186 * CHOOSE(CONTROL!$C$22, $C$13, 100%, $E$13)</f>
        <v>17.618600000000001</v>
      </c>
      <c r="G846" s="64">
        <f>17.6207 * CHOOSE(CONTROL!$C$22, $C$13, 100%, $E$13)</f>
        <v>17.620699999999999</v>
      </c>
      <c r="H846" s="64">
        <f>28.2381* CHOOSE(CONTROL!$C$22, $C$13, 100%, $E$13)</f>
        <v>28.238099999999999</v>
      </c>
      <c r="I846" s="64">
        <f>28.2403 * CHOOSE(CONTROL!$C$22, $C$13, 100%, $E$13)</f>
        <v>28.240300000000001</v>
      </c>
      <c r="J846" s="64">
        <f>17.6186 * CHOOSE(CONTROL!$C$22, $C$13, 100%, $E$13)</f>
        <v>17.618600000000001</v>
      </c>
      <c r="K846" s="64">
        <f>17.6207 * CHOOSE(CONTROL!$C$22, $C$13, 100%, $E$13)</f>
        <v>17.620699999999999</v>
      </c>
    </row>
    <row r="847" spans="1:11" ht="15">
      <c r="A847" s="13">
        <v>67420</v>
      </c>
      <c r="B847" s="63">
        <f>14.8499 * CHOOSE(CONTROL!$C$22, $C$13, 100%, $E$13)</f>
        <v>14.8499</v>
      </c>
      <c r="C847" s="63">
        <f>14.8499 * CHOOSE(CONTROL!$C$22, $C$13, 100%, $E$13)</f>
        <v>14.8499</v>
      </c>
      <c r="D847" s="63">
        <f>14.8846 * CHOOSE(CONTROL!$C$22, $C$13, 100%, $E$13)</f>
        <v>14.884600000000001</v>
      </c>
      <c r="E847" s="64">
        <f>17.4442 * CHOOSE(CONTROL!$C$22, $C$13, 100%, $E$13)</f>
        <v>17.444199999999999</v>
      </c>
      <c r="F847" s="64">
        <f>17.4442 * CHOOSE(CONTROL!$C$22, $C$13, 100%, $E$13)</f>
        <v>17.444199999999999</v>
      </c>
      <c r="G847" s="64">
        <f>17.4464 * CHOOSE(CONTROL!$C$22, $C$13, 100%, $E$13)</f>
        <v>17.446400000000001</v>
      </c>
      <c r="H847" s="64">
        <f>28.2969* CHOOSE(CONTROL!$C$22, $C$13, 100%, $E$13)</f>
        <v>28.296900000000001</v>
      </c>
      <c r="I847" s="64">
        <f>28.2991 * CHOOSE(CONTROL!$C$22, $C$13, 100%, $E$13)</f>
        <v>28.299099999999999</v>
      </c>
      <c r="J847" s="64">
        <f>17.4442 * CHOOSE(CONTROL!$C$22, $C$13, 100%, $E$13)</f>
        <v>17.444199999999999</v>
      </c>
      <c r="K847" s="64">
        <f>17.4464 * CHOOSE(CONTROL!$C$22, $C$13, 100%, $E$13)</f>
        <v>17.446400000000001</v>
      </c>
    </row>
    <row r="848" spans="1:11" ht="15">
      <c r="A848" s="13">
        <v>67451</v>
      </c>
      <c r="B848" s="63">
        <f>14.8469 * CHOOSE(CONTROL!$C$22, $C$13, 100%, $E$13)</f>
        <v>14.8469</v>
      </c>
      <c r="C848" s="63">
        <f>14.8469 * CHOOSE(CONTROL!$C$22, $C$13, 100%, $E$13)</f>
        <v>14.8469</v>
      </c>
      <c r="D848" s="63">
        <f>14.8815 * CHOOSE(CONTROL!$C$22, $C$13, 100%, $E$13)</f>
        <v>14.881500000000001</v>
      </c>
      <c r="E848" s="64">
        <f>17.4222 * CHOOSE(CONTROL!$C$22, $C$13, 100%, $E$13)</f>
        <v>17.4222</v>
      </c>
      <c r="F848" s="64">
        <f>17.4222 * CHOOSE(CONTROL!$C$22, $C$13, 100%, $E$13)</f>
        <v>17.4222</v>
      </c>
      <c r="G848" s="64">
        <f>17.4244 * CHOOSE(CONTROL!$C$22, $C$13, 100%, $E$13)</f>
        <v>17.424399999999999</v>
      </c>
      <c r="H848" s="64">
        <f>28.3559* CHOOSE(CONTROL!$C$22, $C$13, 100%, $E$13)</f>
        <v>28.355899999999998</v>
      </c>
      <c r="I848" s="64">
        <f>28.358 * CHOOSE(CONTROL!$C$22, $C$13, 100%, $E$13)</f>
        <v>28.358000000000001</v>
      </c>
      <c r="J848" s="64">
        <f>17.4222 * CHOOSE(CONTROL!$C$22, $C$13, 100%, $E$13)</f>
        <v>17.4222</v>
      </c>
      <c r="K848" s="64">
        <f>17.4244 * CHOOSE(CONTROL!$C$22, $C$13, 100%, $E$13)</f>
        <v>17.424399999999999</v>
      </c>
    </row>
    <row r="849" spans="1:11" ht="15">
      <c r="A849" s="13">
        <v>67481</v>
      </c>
      <c r="B849" s="63">
        <f>14.8775 * CHOOSE(CONTROL!$C$22, $C$13, 100%, $E$13)</f>
        <v>14.8775</v>
      </c>
      <c r="C849" s="63">
        <f>14.8775 * CHOOSE(CONTROL!$C$22, $C$13, 100%, $E$13)</f>
        <v>14.8775</v>
      </c>
      <c r="D849" s="63">
        <f>14.8948 * CHOOSE(CONTROL!$C$22, $C$13, 100%, $E$13)</f>
        <v>14.8948</v>
      </c>
      <c r="E849" s="64">
        <f>17.4884 * CHOOSE(CONTROL!$C$22, $C$13, 100%, $E$13)</f>
        <v>17.488399999999999</v>
      </c>
      <c r="F849" s="64">
        <f>17.4884 * CHOOSE(CONTROL!$C$22, $C$13, 100%, $E$13)</f>
        <v>17.488399999999999</v>
      </c>
      <c r="G849" s="64">
        <f>17.4885 * CHOOSE(CONTROL!$C$22, $C$13, 100%, $E$13)</f>
        <v>17.488499999999998</v>
      </c>
      <c r="H849" s="64">
        <f>28.415* CHOOSE(CONTROL!$C$22, $C$13, 100%, $E$13)</f>
        <v>28.414999999999999</v>
      </c>
      <c r="I849" s="64">
        <f>28.4151 * CHOOSE(CONTROL!$C$22, $C$13, 100%, $E$13)</f>
        <v>28.415099999999999</v>
      </c>
      <c r="J849" s="64">
        <f>17.4884 * CHOOSE(CONTROL!$C$22, $C$13, 100%, $E$13)</f>
        <v>17.488399999999999</v>
      </c>
      <c r="K849" s="64">
        <f>17.4885 * CHOOSE(CONTROL!$C$22, $C$13, 100%, $E$13)</f>
        <v>17.488499999999998</v>
      </c>
    </row>
    <row r="850" spans="1:11" ht="15">
      <c r="A850" s="13">
        <v>67512</v>
      </c>
      <c r="B850" s="63">
        <f>14.8806 * CHOOSE(CONTROL!$C$22, $C$13, 100%, $E$13)</f>
        <v>14.880599999999999</v>
      </c>
      <c r="C850" s="63">
        <f>14.8806 * CHOOSE(CONTROL!$C$22, $C$13, 100%, $E$13)</f>
        <v>14.880599999999999</v>
      </c>
      <c r="D850" s="63">
        <f>14.8979 * CHOOSE(CONTROL!$C$22, $C$13, 100%, $E$13)</f>
        <v>14.8979</v>
      </c>
      <c r="E850" s="64">
        <f>17.5303 * CHOOSE(CONTROL!$C$22, $C$13, 100%, $E$13)</f>
        <v>17.5303</v>
      </c>
      <c r="F850" s="64">
        <f>17.5303 * CHOOSE(CONTROL!$C$22, $C$13, 100%, $E$13)</f>
        <v>17.5303</v>
      </c>
      <c r="G850" s="64">
        <f>17.5304 * CHOOSE(CONTROL!$C$22, $C$13, 100%, $E$13)</f>
        <v>17.5304</v>
      </c>
      <c r="H850" s="64">
        <f>28.4742* CHOOSE(CONTROL!$C$22, $C$13, 100%, $E$13)</f>
        <v>28.4742</v>
      </c>
      <c r="I850" s="64">
        <f>28.4743 * CHOOSE(CONTROL!$C$22, $C$13, 100%, $E$13)</f>
        <v>28.474299999999999</v>
      </c>
      <c r="J850" s="64">
        <f>17.5303 * CHOOSE(CONTROL!$C$22, $C$13, 100%, $E$13)</f>
        <v>17.5303</v>
      </c>
      <c r="K850" s="64">
        <f>17.5304 * CHOOSE(CONTROL!$C$22, $C$13, 100%, $E$13)</f>
        <v>17.5304</v>
      </c>
    </row>
    <row r="851" spans="1:11" ht="15">
      <c r="A851" s="13">
        <v>67542</v>
      </c>
      <c r="B851" s="63">
        <f>14.8806 * CHOOSE(CONTROL!$C$22, $C$13, 100%, $E$13)</f>
        <v>14.880599999999999</v>
      </c>
      <c r="C851" s="63">
        <f>14.8806 * CHOOSE(CONTROL!$C$22, $C$13, 100%, $E$13)</f>
        <v>14.880599999999999</v>
      </c>
      <c r="D851" s="63">
        <f>14.8979 * CHOOSE(CONTROL!$C$22, $C$13, 100%, $E$13)</f>
        <v>14.8979</v>
      </c>
      <c r="E851" s="64">
        <f>17.4308 * CHOOSE(CONTROL!$C$22, $C$13, 100%, $E$13)</f>
        <v>17.430800000000001</v>
      </c>
      <c r="F851" s="64">
        <f>17.4308 * CHOOSE(CONTROL!$C$22, $C$13, 100%, $E$13)</f>
        <v>17.430800000000001</v>
      </c>
      <c r="G851" s="64">
        <f>17.431 * CHOOSE(CONTROL!$C$22, $C$13, 100%, $E$13)</f>
        <v>17.431000000000001</v>
      </c>
      <c r="H851" s="64">
        <f>28.5335* CHOOSE(CONTROL!$C$22, $C$13, 100%, $E$13)</f>
        <v>28.5335</v>
      </c>
      <c r="I851" s="64">
        <f>28.5337 * CHOOSE(CONTROL!$C$22, $C$13, 100%, $E$13)</f>
        <v>28.5337</v>
      </c>
      <c r="J851" s="64">
        <f>17.4308 * CHOOSE(CONTROL!$C$22, $C$13, 100%, $E$13)</f>
        <v>17.430800000000001</v>
      </c>
      <c r="K851" s="64">
        <f>17.431 * CHOOSE(CONTROL!$C$22, $C$13, 100%, $E$13)</f>
        <v>17.431000000000001</v>
      </c>
    </row>
    <row r="852" spans="1:11" ht="15">
      <c r="A852" s="13">
        <v>67573</v>
      </c>
      <c r="B852" s="63">
        <f>14.8528 * CHOOSE(CONTROL!$C$22, $C$13, 100%, $E$13)</f>
        <v>14.8528</v>
      </c>
      <c r="C852" s="63">
        <f>14.8528 * CHOOSE(CONTROL!$C$22, $C$13, 100%, $E$13)</f>
        <v>14.8528</v>
      </c>
      <c r="D852" s="63">
        <f>14.8701 * CHOOSE(CONTROL!$C$22, $C$13, 100%, $E$13)</f>
        <v>14.870100000000001</v>
      </c>
      <c r="E852" s="64">
        <f>17.4669 * CHOOSE(CONTROL!$C$22, $C$13, 100%, $E$13)</f>
        <v>17.466899999999999</v>
      </c>
      <c r="F852" s="64">
        <f>17.4669 * CHOOSE(CONTROL!$C$22, $C$13, 100%, $E$13)</f>
        <v>17.466899999999999</v>
      </c>
      <c r="G852" s="64">
        <f>17.4671 * CHOOSE(CONTROL!$C$22, $C$13, 100%, $E$13)</f>
        <v>17.467099999999999</v>
      </c>
      <c r="H852" s="64">
        <f>28.3336* CHOOSE(CONTROL!$C$22, $C$13, 100%, $E$13)</f>
        <v>28.333600000000001</v>
      </c>
      <c r="I852" s="64">
        <f>28.3338 * CHOOSE(CONTROL!$C$22, $C$13, 100%, $E$13)</f>
        <v>28.3338</v>
      </c>
      <c r="J852" s="64">
        <f>17.4669 * CHOOSE(CONTROL!$C$22, $C$13, 100%, $E$13)</f>
        <v>17.466899999999999</v>
      </c>
      <c r="K852" s="64">
        <f>17.4671 * CHOOSE(CONTROL!$C$22, $C$13, 100%, $E$13)</f>
        <v>17.467099999999999</v>
      </c>
    </row>
    <row r="853" spans="1:11" ht="15">
      <c r="A853" s="13">
        <v>67604</v>
      </c>
      <c r="B853" s="63">
        <f>14.8497 * CHOOSE(CONTROL!$C$22, $C$13, 100%, $E$13)</f>
        <v>14.8497</v>
      </c>
      <c r="C853" s="63">
        <f>14.8497 * CHOOSE(CONTROL!$C$22, $C$13, 100%, $E$13)</f>
        <v>14.8497</v>
      </c>
      <c r="D853" s="63">
        <f>14.8671 * CHOOSE(CONTROL!$C$22, $C$13, 100%, $E$13)</f>
        <v>14.867100000000001</v>
      </c>
      <c r="E853" s="64">
        <f>17.2736 * CHOOSE(CONTROL!$C$22, $C$13, 100%, $E$13)</f>
        <v>17.273599999999998</v>
      </c>
      <c r="F853" s="64">
        <f>17.2736 * CHOOSE(CONTROL!$C$22, $C$13, 100%, $E$13)</f>
        <v>17.273599999999998</v>
      </c>
      <c r="G853" s="64">
        <f>17.2738 * CHOOSE(CONTROL!$C$22, $C$13, 100%, $E$13)</f>
        <v>17.273800000000001</v>
      </c>
      <c r="H853" s="64">
        <f>28.3926* CHOOSE(CONTROL!$C$22, $C$13, 100%, $E$13)</f>
        <v>28.392600000000002</v>
      </c>
      <c r="I853" s="64">
        <f>28.3928 * CHOOSE(CONTROL!$C$22, $C$13, 100%, $E$13)</f>
        <v>28.392800000000001</v>
      </c>
      <c r="J853" s="64">
        <f>17.2736 * CHOOSE(CONTROL!$C$22, $C$13, 100%, $E$13)</f>
        <v>17.273599999999998</v>
      </c>
      <c r="K853" s="64">
        <f>17.2738 * CHOOSE(CONTROL!$C$22, $C$13, 100%, $E$13)</f>
        <v>17.273800000000001</v>
      </c>
    </row>
    <row r="854" spans="1:11" ht="15">
      <c r="A854" s="13">
        <v>67632</v>
      </c>
      <c r="B854" s="63">
        <f>14.8467 * CHOOSE(CONTROL!$C$22, $C$13, 100%, $E$13)</f>
        <v>14.8467</v>
      </c>
      <c r="C854" s="63">
        <f>14.8467 * CHOOSE(CONTROL!$C$22, $C$13, 100%, $E$13)</f>
        <v>14.8467</v>
      </c>
      <c r="D854" s="63">
        <f>14.864 * CHOOSE(CONTROL!$C$22, $C$13, 100%, $E$13)</f>
        <v>14.864000000000001</v>
      </c>
      <c r="E854" s="64">
        <f>17.4222 * CHOOSE(CONTROL!$C$22, $C$13, 100%, $E$13)</f>
        <v>17.4222</v>
      </c>
      <c r="F854" s="64">
        <f>17.4222 * CHOOSE(CONTROL!$C$22, $C$13, 100%, $E$13)</f>
        <v>17.4222</v>
      </c>
      <c r="G854" s="64">
        <f>17.4224 * CHOOSE(CONTROL!$C$22, $C$13, 100%, $E$13)</f>
        <v>17.4224</v>
      </c>
      <c r="H854" s="64">
        <f>28.4518* CHOOSE(CONTROL!$C$22, $C$13, 100%, $E$13)</f>
        <v>28.451799999999999</v>
      </c>
      <c r="I854" s="64">
        <f>28.4519 * CHOOSE(CONTROL!$C$22, $C$13, 100%, $E$13)</f>
        <v>28.451899999999998</v>
      </c>
      <c r="J854" s="64">
        <f>17.4222 * CHOOSE(CONTROL!$C$22, $C$13, 100%, $E$13)</f>
        <v>17.4222</v>
      </c>
      <c r="K854" s="64">
        <f>17.4224 * CHOOSE(CONTROL!$C$22, $C$13, 100%, $E$13)</f>
        <v>17.4224</v>
      </c>
    </row>
    <row r="855" spans="1:11" ht="15">
      <c r="A855" s="13">
        <v>67663</v>
      </c>
      <c r="B855" s="63">
        <f>14.8536 * CHOOSE(CONTROL!$C$22, $C$13, 100%, $E$13)</f>
        <v>14.8536</v>
      </c>
      <c r="C855" s="63">
        <f>14.8536 * CHOOSE(CONTROL!$C$22, $C$13, 100%, $E$13)</f>
        <v>14.8536</v>
      </c>
      <c r="D855" s="63">
        <f>14.8709 * CHOOSE(CONTROL!$C$22, $C$13, 100%, $E$13)</f>
        <v>14.870900000000001</v>
      </c>
      <c r="E855" s="64">
        <f>17.5798 * CHOOSE(CONTROL!$C$22, $C$13, 100%, $E$13)</f>
        <v>17.579799999999999</v>
      </c>
      <c r="F855" s="64">
        <f>17.5798 * CHOOSE(CONTROL!$C$22, $C$13, 100%, $E$13)</f>
        <v>17.579799999999999</v>
      </c>
      <c r="G855" s="64">
        <f>17.58 * CHOOSE(CONTROL!$C$22, $C$13, 100%, $E$13)</f>
        <v>17.579999999999998</v>
      </c>
      <c r="H855" s="64">
        <f>28.511* CHOOSE(CONTROL!$C$22, $C$13, 100%, $E$13)</f>
        <v>28.510999999999999</v>
      </c>
      <c r="I855" s="64">
        <f>28.5112 * CHOOSE(CONTROL!$C$22, $C$13, 100%, $E$13)</f>
        <v>28.511199999999999</v>
      </c>
      <c r="J855" s="64">
        <f>17.5798 * CHOOSE(CONTROL!$C$22, $C$13, 100%, $E$13)</f>
        <v>17.579799999999999</v>
      </c>
      <c r="K855" s="64">
        <f>17.58 * CHOOSE(CONTROL!$C$22, $C$13, 100%, $E$13)</f>
        <v>17.579999999999998</v>
      </c>
    </row>
    <row r="856" spans="1:11" ht="15">
      <c r="A856" s="13">
        <v>67693</v>
      </c>
      <c r="B856" s="63">
        <f>14.8536 * CHOOSE(CONTROL!$C$22, $C$13, 100%, $E$13)</f>
        <v>14.8536</v>
      </c>
      <c r="C856" s="63">
        <f>14.8536 * CHOOSE(CONTROL!$C$22, $C$13, 100%, $E$13)</f>
        <v>14.8536</v>
      </c>
      <c r="D856" s="63">
        <f>14.8882 * CHOOSE(CONTROL!$C$22, $C$13, 100%, $E$13)</f>
        <v>14.888199999999999</v>
      </c>
      <c r="E856" s="64">
        <f>17.6405 * CHOOSE(CONTROL!$C$22, $C$13, 100%, $E$13)</f>
        <v>17.640499999999999</v>
      </c>
      <c r="F856" s="64">
        <f>17.6405 * CHOOSE(CONTROL!$C$22, $C$13, 100%, $E$13)</f>
        <v>17.640499999999999</v>
      </c>
      <c r="G856" s="64">
        <f>17.6426 * CHOOSE(CONTROL!$C$22, $C$13, 100%, $E$13)</f>
        <v>17.642600000000002</v>
      </c>
      <c r="H856" s="64">
        <f>28.5704* CHOOSE(CONTROL!$C$22, $C$13, 100%, $E$13)</f>
        <v>28.570399999999999</v>
      </c>
      <c r="I856" s="64">
        <f>28.5726 * CHOOSE(CONTROL!$C$22, $C$13, 100%, $E$13)</f>
        <v>28.572600000000001</v>
      </c>
      <c r="J856" s="64">
        <f>17.6405 * CHOOSE(CONTROL!$C$22, $C$13, 100%, $E$13)</f>
        <v>17.640499999999999</v>
      </c>
      <c r="K856" s="64">
        <f>17.6426 * CHOOSE(CONTROL!$C$22, $C$13, 100%, $E$13)</f>
        <v>17.642600000000002</v>
      </c>
    </row>
    <row r="857" spans="1:11" ht="15">
      <c r="A857" s="13">
        <v>67724</v>
      </c>
      <c r="B857" s="63">
        <f>14.8597 * CHOOSE(CONTROL!$C$22, $C$13, 100%, $E$13)</f>
        <v>14.8597</v>
      </c>
      <c r="C857" s="63">
        <f>14.8597 * CHOOSE(CONTROL!$C$22, $C$13, 100%, $E$13)</f>
        <v>14.8597</v>
      </c>
      <c r="D857" s="63">
        <f>14.8943 * CHOOSE(CONTROL!$C$22, $C$13, 100%, $E$13)</f>
        <v>14.894299999999999</v>
      </c>
      <c r="E857" s="64">
        <f>17.584 * CHOOSE(CONTROL!$C$22, $C$13, 100%, $E$13)</f>
        <v>17.584</v>
      </c>
      <c r="F857" s="64">
        <f>17.584 * CHOOSE(CONTROL!$C$22, $C$13, 100%, $E$13)</f>
        <v>17.584</v>
      </c>
      <c r="G857" s="64">
        <f>17.5862 * CHOOSE(CONTROL!$C$22, $C$13, 100%, $E$13)</f>
        <v>17.586200000000002</v>
      </c>
      <c r="H857" s="64">
        <f>28.63* CHOOSE(CONTROL!$C$22, $C$13, 100%, $E$13)</f>
        <v>28.63</v>
      </c>
      <c r="I857" s="64">
        <f>28.6321 * CHOOSE(CONTROL!$C$22, $C$13, 100%, $E$13)</f>
        <v>28.632100000000001</v>
      </c>
      <c r="J857" s="64">
        <f>17.584 * CHOOSE(CONTROL!$C$22, $C$13, 100%, $E$13)</f>
        <v>17.584</v>
      </c>
      <c r="K857" s="64">
        <f>17.5862 * CHOOSE(CONTROL!$C$22, $C$13, 100%, $E$13)</f>
        <v>17.586200000000002</v>
      </c>
    </row>
    <row r="858" spans="1:11" ht="15">
      <c r="A858" s="13">
        <v>67754</v>
      </c>
      <c r="B858" s="63">
        <f>15.0924 * CHOOSE(CONTROL!$C$22, $C$13, 100%, $E$13)</f>
        <v>15.0924</v>
      </c>
      <c r="C858" s="63">
        <f>15.0924 * CHOOSE(CONTROL!$C$22, $C$13, 100%, $E$13)</f>
        <v>15.0924</v>
      </c>
      <c r="D858" s="63">
        <f>15.1271 * CHOOSE(CONTROL!$C$22, $C$13, 100%, $E$13)</f>
        <v>15.1271</v>
      </c>
      <c r="E858" s="64">
        <f>17.9185 * CHOOSE(CONTROL!$C$22, $C$13, 100%, $E$13)</f>
        <v>17.918500000000002</v>
      </c>
      <c r="F858" s="64">
        <f>17.9185 * CHOOSE(CONTROL!$C$22, $C$13, 100%, $E$13)</f>
        <v>17.918500000000002</v>
      </c>
      <c r="G858" s="64">
        <f>17.9206 * CHOOSE(CONTROL!$C$22, $C$13, 100%, $E$13)</f>
        <v>17.9206</v>
      </c>
      <c r="H858" s="64">
        <f>28.6896* CHOOSE(CONTROL!$C$22, $C$13, 100%, $E$13)</f>
        <v>28.689599999999999</v>
      </c>
      <c r="I858" s="64">
        <f>28.6918 * CHOOSE(CONTROL!$C$22, $C$13, 100%, $E$13)</f>
        <v>28.691800000000001</v>
      </c>
      <c r="J858" s="64">
        <f>17.9185 * CHOOSE(CONTROL!$C$22, $C$13, 100%, $E$13)</f>
        <v>17.918500000000002</v>
      </c>
      <c r="K858" s="64">
        <f>17.9206 * CHOOSE(CONTROL!$C$22, $C$13, 100%, $E$13)</f>
        <v>17.9206</v>
      </c>
    </row>
    <row r="859" spans="1:11" ht="15">
      <c r="A859" s="13">
        <v>67785</v>
      </c>
      <c r="B859" s="63">
        <f>15.0991 * CHOOSE(CONTROL!$C$22, $C$13, 100%, $E$13)</f>
        <v>15.0991</v>
      </c>
      <c r="C859" s="63">
        <f>15.0991 * CHOOSE(CONTROL!$C$22, $C$13, 100%, $E$13)</f>
        <v>15.0991</v>
      </c>
      <c r="D859" s="63">
        <f>15.1338 * CHOOSE(CONTROL!$C$22, $C$13, 100%, $E$13)</f>
        <v>15.133800000000001</v>
      </c>
      <c r="E859" s="64">
        <f>17.7411 * CHOOSE(CONTROL!$C$22, $C$13, 100%, $E$13)</f>
        <v>17.741099999999999</v>
      </c>
      <c r="F859" s="64">
        <f>17.7411 * CHOOSE(CONTROL!$C$22, $C$13, 100%, $E$13)</f>
        <v>17.741099999999999</v>
      </c>
      <c r="G859" s="64">
        <f>17.7432 * CHOOSE(CONTROL!$C$22, $C$13, 100%, $E$13)</f>
        <v>17.743200000000002</v>
      </c>
      <c r="H859" s="64">
        <f>28.7494* CHOOSE(CONTROL!$C$22, $C$13, 100%, $E$13)</f>
        <v>28.749400000000001</v>
      </c>
      <c r="I859" s="64">
        <f>28.7515 * CHOOSE(CONTROL!$C$22, $C$13, 100%, $E$13)</f>
        <v>28.7515</v>
      </c>
      <c r="J859" s="64">
        <f>17.7411 * CHOOSE(CONTROL!$C$22, $C$13, 100%, $E$13)</f>
        <v>17.741099999999999</v>
      </c>
      <c r="K859" s="64">
        <f>17.7432 * CHOOSE(CONTROL!$C$22, $C$13, 100%, $E$13)</f>
        <v>17.743200000000002</v>
      </c>
    </row>
    <row r="860" spans="1:11" ht="15">
      <c r="A860" s="13">
        <v>67816</v>
      </c>
      <c r="B860" s="63">
        <f>15.0961 * CHOOSE(CONTROL!$C$22, $C$13, 100%, $E$13)</f>
        <v>15.0961</v>
      </c>
      <c r="C860" s="63">
        <f>15.0961 * CHOOSE(CONTROL!$C$22, $C$13, 100%, $E$13)</f>
        <v>15.0961</v>
      </c>
      <c r="D860" s="63">
        <f>15.1307 * CHOOSE(CONTROL!$C$22, $C$13, 100%, $E$13)</f>
        <v>15.130699999999999</v>
      </c>
      <c r="E860" s="64">
        <f>17.7187 * CHOOSE(CONTROL!$C$22, $C$13, 100%, $E$13)</f>
        <v>17.718699999999998</v>
      </c>
      <c r="F860" s="64">
        <f>17.7187 * CHOOSE(CONTROL!$C$22, $C$13, 100%, $E$13)</f>
        <v>17.718699999999998</v>
      </c>
      <c r="G860" s="64">
        <f>17.7208 * CHOOSE(CONTROL!$C$22, $C$13, 100%, $E$13)</f>
        <v>17.720800000000001</v>
      </c>
      <c r="H860" s="64">
        <f>28.8093* CHOOSE(CONTROL!$C$22, $C$13, 100%, $E$13)</f>
        <v>28.8093</v>
      </c>
      <c r="I860" s="64">
        <f>28.8114 * CHOOSE(CONTROL!$C$22, $C$13, 100%, $E$13)</f>
        <v>28.811399999999999</v>
      </c>
      <c r="J860" s="64">
        <f>17.7187 * CHOOSE(CONTROL!$C$22, $C$13, 100%, $E$13)</f>
        <v>17.718699999999998</v>
      </c>
      <c r="K860" s="64">
        <f>17.7208 * CHOOSE(CONTROL!$C$22, $C$13, 100%, $E$13)</f>
        <v>17.720800000000001</v>
      </c>
    </row>
    <row r="861" spans="1:11" ht="15">
      <c r="A861" s="13">
        <v>67846</v>
      </c>
      <c r="B861" s="63">
        <f>15.1275 * CHOOSE(CONTROL!$C$22, $C$13, 100%, $E$13)</f>
        <v>15.1275</v>
      </c>
      <c r="C861" s="63">
        <f>15.1275 * CHOOSE(CONTROL!$C$22, $C$13, 100%, $E$13)</f>
        <v>15.1275</v>
      </c>
      <c r="D861" s="63">
        <f>15.1449 * CHOOSE(CONTROL!$C$22, $C$13, 100%, $E$13)</f>
        <v>15.1449</v>
      </c>
      <c r="E861" s="64">
        <f>17.7862 * CHOOSE(CONTROL!$C$22, $C$13, 100%, $E$13)</f>
        <v>17.786200000000001</v>
      </c>
      <c r="F861" s="64">
        <f>17.7862 * CHOOSE(CONTROL!$C$22, $C$13, 100%, $E$13)</f>
        <v>17.786200000000001</v>
      </c>
      <c r="G861" s="64">
        <f>17.7864 * CHOOSE(CONTROL!$C$22, $C$13, 100%, $E$13)</f>
        <v>17.7864</v>
      </c>
      <c r="H861" s="64">
        <f>28.8693* CHOOSE(CONTROL!$C$22, $C$13, 100%, $E$13)</f>
        <v>28.869299999999999</v>
      </c>
      <c r="I861" s="64">
        <f>28.8695 * CHOOSE(CONTROL!$C$22, $C$13, 100%, $E$13)</f>
        <v>28.869499999999999</v>
      </c>
      <c r="J861" s="64">
        <f>17.7862 * CHOOSE(CONTROL!$C$22, $C$13, 100%, $E$13)</f>
        <v>17.786200000000001</v>
      </c>
      <c r="K861" s="64">
        <f>17.7864 * CHOOSE(CONTROL!$C$22, $C$13, 100%, $E$13)</f>
        <v>17.7864</v>
      </c>
    </row>
    <row r="862" spans="1:11" ht="15">
      <c r="A862" s="13">
        <v>67877</v>
      </c>
      <c r="B862" s="63">
        <f>15.1306 * CHOOSE(CONTROL!$C$22, $C$13, 100%, $E$13)</f>
        <v>15.130599999999999</v>
      </c>
      <c r="C862" s="63">
        <f>15.1306 * CHOOSE(CONTROL!$C$22, $C$13, 100%, $E$13)</f>
        <v>15.130599999999999</v>
      </c>
      <c r="D862" s="63">
        <f>15.1479 * CHOOSE(CONTROL!$C$22, $C$13, 100%, $E$13)</f>
        <v>15.1479</v>
      </c>
      <c r="E862" s="64">
        <f>17.8288 * CHOOSE(CONTROL!$C$22, $C$13, 100%, $E$13)</f>
        <v>17.828800000000001</v>
      </c>
      <c r="F862" s="64">
        <f>17.8288 * CHOOSE(CONTROL!$C$22, $C$13, 100%, $E$13)</f>
        <v>17.828800000000001</v>
      </c>
      <c r="G862" s="64">
        <f>17.829 * CHOOSE(CONTROL!$C$22, $C$13, 100%, $E$13)</f>
        <v>17.829000000000001</v>
      </c>
      <c r="H862" s="64">
        <f>28.9294* CHOOSE(CONTROL!$C$22, $C$13, 100%, $E$13)</f>
        <v>28.929400000000001</v>
      </c>
      <c r="I862" s="64">
        <f>28.9296 * CHOOSE(CONTROL!$C$22, $C$13, 100%, $E$13)</f>
        <v>28.929600000000001</v>
      </c>
      <c r="J862" s="64">
        <f>17.8288 * CHOOSE(CONTROL!$C$22, $C$13, 100%, $E$13)</f>
        <v>17.828800000000001</v>
      </c>
      <c r="K862" s="64">
        <f>17.829 * CHOOSE(CONTROL!$C$22, $C$13, 100%, $E$13)</f>
        <v>17.829000000000001</v>
      </c>
    </row>
    <row r="863" spans="1:11" ht="15">
      <c r="A863" s="13">
        <v>67907</v>
      </c>
      <c r="B863" s="63">
        <f>15.1306 * CHOOSE(CONTROL!$C$22, $C$13, 100%, $E$13)</f>
        <v>15.130599999999999</v>
      </c>
      <c r="C863" s="63">
        <f>15.1306 * CHOOSE(CONTROL!$C$22, $C$13, 100%, $E$13)</f>
        <v>15.130599999999999</v>
      </c>
      <c r="D863" s="63">
        <f>15.1479 * CHOOSE(CONTROL!$C$22, $C$13, 100%, $E$13)</f>
        <v>15.1479</v>
      </c>
      <c r="E863" s="64">
        <f>17.7276 * CHOOSE(CONTROL!$C$22, $C$13, 100%, $E$13)</f>
        <v>17.727599999999999</v>
      </c>
      <c r="F863" s="64">
        <f>17.7276 * CHOOSE(CONTROL!$C$22, $C$13, 100%, $E$13)</f>
        <v>17.727599999999999</v>
      </c>
      <c r="G863" s="64">
        <f>17.7278 * CHOOSE(CONTROL!$C$22, $C$13, 100%, $E$13)</f>
        <v>17.727799999999998</v>
      </c>
      <c r="H863" s="64">
        <f>28.9897* CHOOSE(CONTROL!$C$22, $C$13, 100%, $E$13)</f>
        <v>28.989699999999999</v>
      </c>
      <c r="I863" s="64">
        <f>28.9899 * CHOOSE(CONTROL!$C$22, $C$13, 100%, $E$13)</f>
        <v>28.989899999999999</v>
      </c>
      <c r="J863" s="64">
        <f>17.7276 * CHOOSE(CONTROL!$C$22, $C$13, 100%, $E$13)</f>
        <v>17.727599999999999</v>
      </c>
      <c r="K863" s="64">
        <f>17.7278 * CHOOSE(CONTROL!$C$22, $C$13, 100%, $E$13)</f>
        <v>17.727799999999998</v>
      </c>
    </row>
    <row r="864" spans="1:11" ht="15">
      <c r="A864" s="13">
        <v>67938</v>
      </c>
      <c r="B864" s="63">
        <f>15.0981 * CHOOSE(CONTROL!$C$22, $C$13, 100%, $E$13)</f>
        <v>15.098100000000001</v>
      </c>
      <c r="C864" s="63">
        <f>15.0981 * CHOOSE(CONTROL!$C$22, $C$13, 100%, $E$13)</f>
        <v>15.098100000000001</v>
      </c>
      <c r="D864" s="63">
        <f>15.1154 * CHOOSE(CONTROL!$C$22, $C$13, 100%, $E$13)</f>
        <v>15.115399999999999</v>
      </c>
      <c r="E864" s="64">
        <f>17.7593 * CHOOSE(CONTROL!$C$22, $C$13, 100%, $E$13)</f>
        <v>17.7593</v>
      </c>
      <c r="F864" s="64">
        <f>17.7593 * CHOOSE(CONTROL!$C$22, $C$13, 100%, $E$13)</f>
        <v>17.7593</v>
      </c>
      <c r="G864" s="64">
        <f>17.7595 * CHOOSE(CONTROL!$C$22, $C$13, 100%, $E$13)</f>
        <v>17.759499999999999</v>
      </c>
      <c r="H864" s="64">
        <f>28.7795* CHOOSE(CONTROL!$C$22, $C$13, 100%, $E$13)</f>
        <v>28.779499999999999</v>
      </c>
      <c r="I864" s="64">
        <f>28.7797 * CHOOSE(CONTROL!$C$22, $C$13, 100%, $E$13)</f>
        <v>28.779699999999998</v>
      </c>
      <c r="J864" s="64">
        <f>17.7593 * CHOOSE(CONTROL!$C$22, $C$13, 100%, $E$13)</f>
        <v>17.7593</v>
      </c>
      <c r="K864" s="64">
        <f>17.7595 * CHOOSE(CONTROL!$C$22, $C$13, 100%, $E$13)</f>
        <v>17.759499999999999</v>
      </c>
    </row>
    <row r="865" spans="1:11" ht="15">
      <c r="A865" s="13">
        <v>67969</v>
      </c>
      <c r="B865" s="63">
        <f>15.0951 * CHOOSE(CONTROL!$C$22, $C$13, 100%, $E$13)</f>
        <v>15.0951</v>
      </c>
      <c r="C865" s="63">
        <f>15.0951 * CHOOSE(CONTROL!$C$22, $C$13, 100%, $E$13)</f>
        <v>15.0951</v>
      </c>
      <c r="D865" s="63">
        <f>15.1124 * CHOOSE(CONTROL!$C$22, $C$13, 100%, $E$13)</f>
        <v>15.112399999999999</v>
      </c>
      <c r="E865" s="64">
        <f>17.5628 * CHOOSE(CONTROL!$C$22, $C$13, 100%, $E$13)</f>
        <v>17.562799999999999</v>
      </c>
      <c r="F865" s="64">
        <f>17.5628 * CHOOSE(CONTROL!$C$22, $C$13, 100%, $E$13)</f>
        <v>17.562799999999999</v>
      </c>
      <c r="G865" s="64">
        <f>17.563 * CHOOSE(CONTROL!$C$22, $C$13, 100%, $E$13)</f>
        <v>17.562999999999999</v>
      </c>
      <c r="H865" s="64">
        <f>28.8394* CHOOSE(CONTROL!$C$22, $C$13, 100%, $E$13)</f>
        <v>28.839400000000001</v>
      </c>
      <c r="I865" s="64">
        <f>28.8396 * CHOOSE(CONTROL!$C$22, $C$13, 100%, $E$13)</f>
        <v>28.839600000000001</v>
      </c>
      <c r="J865" s="64">
        <f>17.5628 * CHOOSE(CONTROL!$C$22, $C$13, 100%, $E$13)</f>
        <v>17.562799999999999</v>
      </c>
      <c r="K865" s="64">
        <f>17.563 * CHOOSE(CONTROL!$C$22, $C$13, 100%, $E$13)</f>
        <v>17.562999999999999</v>
      </c>
    </row>
    <row r="866" spans="1:11" ht="15">
      <c r="A866" s="13">
        <v>67997</v>
      </c>
      <c r="B866" s="63">
        <f>15.092 * CHOOSE(CONTROL!$C$22, $C$13, 100%, $E$13)</f>
        <v>15.092000000000001</v>
      </c>
      <c r="C866" s="63">
        <f>15.092 * CHOOSE(CONTROL!$C$22, $C$13, 100%, $E$13)</f>
        <v>15.092000000000001</v>
      </c>
      <c r="D866" s="63">
        <f>15.1093 * CHOOSE(CONTROL!$C$22, $C$13, 100%, $E$13)</f>
        <v>15.109299999999999</v>
      </c>
      <c r="E866" s="64">
        <f>17.7139 * CHOOSE(CONTROL!$C$22, $C$13, 100%, $E$13)</f>
        <v>17.713899999999999</v>
      </c>
      <c r="F866" s="64">
        <f>17.7139 * CHOOSE(CONTROL!$C$22, $C$13, 100%, $E$13)</f>
        <v>17.713899999999999</v>
      </c>
      <c r="G866" s="64">
        <f>17.7141 * CHOOSE(CONTROL!$C$22, $C$13, 100%, $E$13)</f>
        <v>17.714099999999998</v>
      </c>
      <c r="H866" s="64">
        <f>28.8995* CHOOSE(CONTROL!$C$22, $C$13, 100%, $E$13)</f>
        <v>28.8995</v>
      </c>
      <c r="I866" s="64">
        <f>28.8997 * CHOOSE(CONTROL!$C$22, $C$13, 100%, $E$13)</f>
        <v>28.899699999999999</v>
      </c>
      <c r="J866" s="64">
        <f>17.7139 * CHOOSE(CONTROL!$C$22, $C$13, 100%, $E$13)</f>
        <v>17.713899999999999</v>
      </c>
      <c r="K866" s="64">
        <f>17.7141 * CHOOSE(CONTROL!$C$22, $C$13, 100%, $E$13)</f>
        <v>17.714099999999998</v>
      </c>
    </row>
    <row r="867" spans="1:11" ht="15">
      <c r="A867" s="13">
        <v>68028</v>
      </c>
      <c r="B867" s="63">
        <f>15.0991 * CHOOSE(CONTROL!$C$22, $C$13, 100%, $E$13)</f>
        <v>15.0991</v>
      </c>
      <c r="C867" s="63">
        <f>15.0991 * CHOOSE(CONTROL!$C$22, $C$13, 100%, $E$13)</f>
        <v>15.0991</v>
      </c>
      <c r="D867" s="63">
        <f>15.1164 * CHOOSE(CONTROL!$C$22, $C$13, 100%, $E$13)</f>
        <v>15.116400000000001</v>
      </c>
      <c r="E867" s="64">
        <f>17.8742 * CHOOSE(CONTROL!$C$22, $C$13, 100%, $E$13)</f>
        <v>17.874199999999998</v>
      </c>
      <c r="F867" s="64">
        <f>17.8742 * CHOOSE(CONTROL!$C$22, $C$13, 100%, $E$13)</f>
        <v>17.874199999999998</v>
      </c>
      <c r="G867" s="64">
        <f>17.8744 * CHOOSE(CONTROL!$C$22, $C$13, 100%, $E$13)</f>
        <v>17.874400000000001</v>
      </c>
      <c r="H867" s="64">
        <f>28.9597* CHOOSE(CONTROL!$C$22, $C$13, 100%, $E$13)</f>
        <v>28.959700000000002</v>
      </c>
      <c r="I867" s="64">
        <f>28.9599 * CHOOSE(CONTROL!$C$22, $C$13, 100%, $E$13)</f>
        <v>28.959900000000001</v>
      </c>
      <c r="J867" s="64">
        <f>17.8742 * CHOOSE(CONTROL!$C$22, $C$13, 100%, $E$13)</f>
        <v>17.874199999999998</v>
      </c>
      <c r="K867" s="64">
        <f>17.8744 * CHOOSE(CONTROL!$C$22, $C$13, 100%, $E$13)</f>
        <v>17.874400000000001</v>
      </c>
    </row>
    <row r="868" spans="1:11" ht="15">
      <c r="A868" s="13">
        <v>68058</v>
      </c>
      <c r="B868" s="63">
        <f>15.0991 * CHOOSE(CONTROL!$C$22, $C$13, 100%, $E$13)</f>
        <v>15.0991</v>
      </c>
      <c r="C868" s="63">
        <f>15.0991 * CHOOSE(CONTROL!$C$22, $C$13, 100%, $E$13)</f>
        <v>15.0991</v>
      </c>
      <c r="D868" s="63">
        <f>15.1338 * CHOOSE(CONTROL!$C$22, $C$13, 100%, $E$13)</f>
        <v>15.133800000000001</v>
      </c>
      <c r="E868" s="64">
        <f>17.936 * CHOOSE(CONTROL!$C$22, $C$13, 100%, $E$13)</f>
        <v>17.936</v>
      </c>
      <c r="F868" s="64">
        <f>17.936 * CHOOSE(CONTROL!$C$22, $C$13, 100%, $E$13)</f>
        <v>17.936</v>
      </c>
      <c r="G868" s="64">
        <f>17.9381 * CHOOSE(CONTROL!$C$22, $C$13, 100%, $E$13)</f>
        <v>17.938099999999999</v>
      </c>
      <c r="H868" s="64">
        <f>29.0201* CHOOSE(CONTROL!$C$22, $C$13, 100%, $E$13)</f>
        <v>29.020099999999999</v>
      </c>
      <c r="I868" s="64">
        <f>29.0222 * CHOOSE(CONTROL!$C$22, $C$13, 100%, $E$13)</f>
        <v>29.022200000000002</v>
      </c>
      <c r="J868" s="64">
        <f>17.936 * CHOOSE(CONTROL!$C$22, $C$13, 100%, $E$13)</f>
        <v>17.936</v>
      </c>
      <c r="K868" s="64">
        <f>17.9381 * CHOOSE(CONTROL!$C$22, $C$13, 100%, $E$13)</f>
        <v>17.938099999999999</v>
      </c>
    </row>
    <row r="869" spans="1:11" ht="15">
      <c r="A869" s="13">
        <v>68089</v>
      </c>
      <c r="B869" s="63">
        <f>15.1052 * CHOOSE(CONTROL!$C$22, $C$13, 100%, $E$13)</f>
        <v>15.1052</v>
      </c>
      <c r="C869" s="63">
        <f>15.1052 * CHOOSE(CONTROL!$C$22, $C$13, 100%, $E$13)</f>
        <v>15.1052</v>
      </c>
      <c r="D869" s="63">
        <f>15.1399 * CHOOSE(CONTROL!$C$22, $C$13, 100%, $E$13)</f>
        <v>15.139900000000001</v>
      </c>
      <c r="E869" s="64">
        <f>17.8785 * CHOOSE(CONTROL!$C$22, $C$13, 100%, $E$13)</f>
        <v>17.878499999999999</v>
      </c>
      <c r="F869" s="64">
        <f>17.8785 * CHOOSE(CONTROL!$C$22, $C$13, 100%, $E$13)</f>
        <v>17.878499999999999</v>
      </c>
      <c r="G869" s="64">
        <f>17.8806 * CHOOSE(CONTROL!$C$22, $C$13, 100%, $E$13)</f>
        <v>17.880600000000001</v>
      </c>
      <c r="H869" s="64">
        <f>29.0805* CHOOSE(CONTROL!$C$22, $C$13, 100%, $E$13)</f>
        <v>29.080500000000001</v>
      </c>
      <c r="I869" s="64">
        <f>29.0827 * CHOOSE(CONTROL!$C$22, $C$13, 100%, $E$13)</f>
        <v>29.082699999999999</v>
      </c>
      <c r="J869" s="64">
        <f>17.8785 * CHOOSE(CONTROL!$C$22, $C$13, 100%, $E$13)</f>
        <v>17.878499999999999</v>
      </c>
      <c r="K869" s="64">
        <f>17.8806 * CHOOSE(CONTROL!$C$22, $C$13, 100%, $E$13)</f>
        <v>17.880600000000001</v>
      </c>
    </row>
    <row r="870" spans="1:11" ht="15">
      <c r="A870" s="13">
        <v>68119</v>
      </c>
      <c r="B870" s="63">
        <f>15.3417 * CHOOSE(CONTROL!$C$22, $C$13, 100%, $E$13)</f>
        <v>15.341699999999999</v>
      </c>
      <c r="C870" s="63">
        <f>15.3417 * CHOOSE(CONTROL!$C$22, $C$13, 100%, $E$13)</f>
        <v>15.341699999999999</v>
      </c>
      <c r="D870" s="63">
        <f>15.3763 * CHOOSE(CONTROL!$C$22, $C$13, 100%, $E$13)</f>
        <v>15.376300000000001</v>
      </c>
      <c r="E870" s="64">
        <f>18.2184 * CHOOSE(CONTROL!$C$22, $C$13, 100%, $E$13)</f>
        <v>18.218399999999999</v>
      </c>
      <c r="F870" s="64">
        <f>18.2184 * CHOOSE(CONTROL!$C$22, $C$13, 100%, $E$13)</f>
        <v>18.218399999999999</v>
      </c>
      <c r="G870" s="64">
        <f>18.2205 * CHOOSE(CONTROL!$C$22, $C$13, 100%, $E$13)</f>
        <v>18.220500000000001</v>
      </c>
      <c r="H870" s="64">
        <f>29.1411* CHOOSE(CONTROL!$C$22, $C$13, 100%, $E$13)</f>
        <v>29.141100000000002</v>
      </c>
      <c r="I870" s="64">
        <f>29.1432 * CHOOSE(CONTROL!$C$22, $C$13, 100%, $E$13)</f>
        <v>29.1432</v>
      </c>
      <c r="J870" s="64">
        <f>18.2184 * CHOOSE(CONTROL!$C$22, $C$13, 100%, $E$13)</f>
        <v>18.218399999999999</v>
      </c>
      <c r="K870" s="64">
        <f>18.2205 * CHOOSE(CONTROL!$C$22, $C$13, 100%, $E$13)</f>
        <v>18.220500000000001</v>
      </c>
    </row>
    <row r="871" spans="1:11" ht="15">
      <c r="A871" s="13">
        <v>68150</v>
      </c>
      <c r="B871" s="63">
        <f>15.3483 * CHOOSE(CONTROL!$C$22, $C$13, 100%, $E$13)</f>
        <v>15.3483</v>
      </c>
      <c r="C871" s="63">
        <f>15.3483 * CHOOSE(CONTROL!$C$22, $C$13, 100%, $E$13)</f>
        <v>15.3483</v>
      </c>
      <c r="D871" s="63">
        <f>15.383 * CHOOSE(CONTROL!$C$22, $C$13, 100%, $E$13)</f>
        <v>15.382999999999999</v>
      </c>
      <c r="E871" s="64">
        <f>18.0379 * CHOOSE(CONTROL!$C$22, $C$13, 100%, $E$13)</f>
        <v>18.0379</v>
      </c>
      <c r="F871" s="64">
        <f>18.0379 * CHOOSE(CONTROL!$C$22, $C$13, 100%, $E$13)</f>
        <v>18.0379</v>
      </c>
      <c r="G871" s="64">
        <f>18.04 * CHOOSE(CONTROL!$C$22, $C$13, 100%, $E$13)</f>
        <v>18.04</v>
      </c>
      <c r="H871" s="64">
        <f>29.2018* CHOOSE(CONTROL!$C$22, $C$13, 100%, $E$13)</f>
        <v>29.201799999999999</v>
      </c>
      <c r="I871" s="64">
        <f>29.204 * CHOOSE(CONTROL!$C$22, $C$13, 100%, $E$13)</f>
        <v>29.204000000000001</v>
      </c>
      <c r="J871" s="64">
        <f>18.0379 * CHOOSE(CONTROL!$C$22, $C$13, 100%, $E$13)</f>
        <v>18.0379</v>
      </c>
      <c r="K871" s="64">
        <f>18.04 * CHOOSE(CONTROL!$C$22, $C$13, 100%, $E$13)</f>
        <v>18.04</v>
      </c>
    </row>
    <row r="872" spans="1:11" ht="15">
      <c r="A872" s="13">
        <v>68181</v>
      </c>
      <c r="B872" s="63">
        <f>15.3453 * CHOOSE(CONTROL!$C$22, $C$13, 100%, $E$13)</f>
        <v>15.3453</v>
      </c>
      <c r="C872" s="63">
        <f>15.3453 * CHOOSE(CONTROL!$C$22, $C$13, 100%, $E$13)</f>
        <v>15.3453</v>
      </c>
      <c r="D872" s="63">
        <f>15.38 * CHOOSE(CONTROL!$C$22, $C$13, 100%, $E$13)</f>
        <v>15.38</v>
      </c>
      <c r="E872" s="64">
        <f>18.0152 * CHOOSE(CONTROL!$C$22, $C$13, 100%, $E$13)</f>
        <v>18.0152</v>
      </c>
      <c r="F872" s="64">
        <f>18.0152 * CHOOSE(CONTROL!$C$22, $C$13, 100%, $E$13)</f>
        <v>18.0152</v>
      </c>
      <c r="G872" s="64">
        <f>18.0173 * CHOOSE(CONTROL!$C$22, $C$13, 100%, $E$13)</f>
        <v>18.017299999999999</v>
      </c>
      <c r="H872" s="64">
        <f>29.2626* CHOOSE(CONTROL!$C$22, $C$13, 100%, $E$13)</f>
        <v>29.262599999999999</v>
      </c>
      <c r="I872" s="64">
        <f>29.2648 * CHOOSE(CONTROL!$C$22, $C$13, 100%, $E$13)</f>
        <v>29.264800000000001</v>
      </c>
      <c r="J872" s="64">
        <f>18.0152 * CHOOSE(CONTROL!$C$22, $C$13, 100%, $E$13)</f>
        <v>18.0152</v>
      </c>
      <c r="K872" s="64">
        <f>18.0173 * CHOOSE(CONTROL!$C$22, $C$13, 100%, $E$13)</f>
        <v>18.017299999999999</v>
      </c>
    </row>
    <row r="873" spans="1:11" ht="15">
      <c r="A873" s="13">
        <v>68211</v>
      </c>
      <c r="B873" s="63">
        <f>15.3775 * CHOOSE(CONTROL!$C$22, $C$13, 100%, $E$13)</f>
        <v>15.3775</v>
      </c>
      <c r="C873" s="63">
        <f>15.3775 * CHOOSE(CONTROL!$C$22, $C$13, 100%, $E$13)</f>
        <v>15.3775</v>
      </c>
      <c r="D873" s="63">
        <f>15.3949 * CHOOSE(CONTROL!$C$22, $C$13, 100%, $E$13)</f>
        <v>15.3949</v>
      </c>
      <c r="E873" s="64">
        <f>18.0841 * CHOOSE(CONTROL!$C$22, $C$13, 100%, $E$13)</f>
        <v>18.084099999999999</v>
      </c>
      <c r="F873" s="64">
        <f>18.0841 * CHOOSE(CONTROL!$C$22, $C$13, 100%, $E$13)</f>
        <v>18.084099999999999</v>
      </c>
      <c r="G873" s="64">
        <f>18.0842 * CHOOSE(CONTROL!$C$22, $C$13, 100%, $E$13)</f>
        <v>18.084199999999999</v>
      </c>
      <c r="H873" s="64">
        <f>29.3236* CHOOSE(CONTROL!$C$22, $C$13, 100%, $E$13)</f>
        <v>29.323599999999999</v>
      </c>
      <c r="I873" s="64">
        <f>29.3238 * CHOOSE(CONTROL!$C$22, $C$13, 100%, $E$13)</f>
        <v>29.323799999999999</v>
      </c>
      <c r="J873" s="64">
        <f>18.0841 * CHOOSE(CONTROL!$C$22, $C$13, 100%, $E$13)</f>
        <v>18.084099999999999</v>
      </c>
      <c r="K873" s="64">
        <f>18.0842 * CHOOSE(CONTROL!$C$22, $C$13, 100%, $E$13)</f>
        <v>18.084199999999999</v>
      </c>
    </row>
    <row r="874" spans="1:11" ht="15">
      <c r="A874" s="13">
        <v>68242</v>
      </c>
      <c r="B874" s="63">
        <f>15.3806 * CHOOSE(CONTROL!$C$22, $C$13, 100%, $E$13)</f>
        <v>15.380599999999999</v>
      </c>
      <c r="C874" s="63">
        <f>15.3806 * CHOOSE(CONTROL!$C$22, $C$13, 100%, $E$13)</f>
        <v>15.380599999999999</v>
      </c>
      <c r="D874" s="63">
        <f>15.3979 * CHOOSE(CONTROL!$C$22, $C$13, 100%, $E$13)</f>
        <v>15.3979</v>
      </c>
      <c r="E874" s="64">
        <f>18.1273 * CHOOSE(CONTROL!$C$22, $C$13, 100%, $E$13)</f>
        <v>18.127300000000002</v>
      </c>
      <c r="F874" s="64">
        <f>18.1273 * CHOOSE(CONTROL!$C$22, $C$13, 100%, $E$13)</f>
        <v>18.127300000000002</v>
      </c>
      <c r="G874" s="64">
        <f>18.1275 * CHOOSE(CONTROL!$C$22, $C$13, 100%, $E$13)</f>
        <v>18.127500000000001</v>
      </c>
      <c r="H874" s="64">
        <f>29.3847* CHOOSE(CONTROL!$C$22, $C$13, 100%, $E$13)</f>
        <v>29.384699999999999</v>
      </c>
      <c r="I874" s="64">
        <f>29.3849 * CHOOSE(CONTROL!$C$22, $C$13, 100%, $E$13)</f>
        <v>29.384899999999998</v>
      </c>
      <c r="J874" s="64">
        <f>18.1273 * CHOOSE(CONTROL!$C$22, $C$13, 100%, $E$13)</f>
        <v>18.127300000000002</v>
      </c>
      <c r="K874" s="64">
        <f>18.1275 * CHOOSE(CONTROL!$C$22, $C$13, 100%, $E$13)</f>
        <v>18.127500000000001</v>
      </c>
    </row>
    <row r="875" spans="1:11" ht="15">
      <c r="A875" s="13">
        <v>68272</v>
      </c>
      <c r="B875" s="63">
        <f>15.3806 * CHOOSE(CONTROL!$C$22, $C$13, 100%, $E$13)</f>
        <v>15.380599999999999</v>
      </c>
      <c r="C875" s="63">
        <f>15.3806 * CHOOSE(CONTROL!$C$22, $C$13, 100%, $E$13)</f>
        <v>15.380599999999999</v>
      </c>
      <c r="D875" s="63">
        <f>15.3979 * CHOOSE(CONTROL!$C$22, $C$13, 100%, $E$13)</f>
        <v>15.3979</v>
      </c>
      <c r="E875" s="64">
        <f>18.0245 * CHOOSE(CONTROL!$C$22, $C$13, 100%, $E$13)</f>
        <v>18.0245</v>
      </c>
      <c r="F875" s="64">
        <f>18.0245 * CHOOSE(CONTROL!$C$22, $C$13, 100%, $E$13)</f>
        <v>18.0245</v>
      </c>
      <c r="G875" s="64">
        <f>18.0246 * CHOOSE(CONTROL!$C$22, $C$13, 100%, $E$13)</f>
        <v>18.0246</v>
      </c>
      <c r="H875" s="64">
        <f>29.4459* CHOOSE(CONTROL!$C$22, $C$13, 100%, $E$13)</f>
        <v>29.445900000000002</v>
      </c>
      <c r="I875" s="64">
        <f>29.4461 * CHOOSE(CONTROL!$C$22, $C$13, 100%, $E$13)</f>
        <v>29.446100000000001</v>
      </c>
      <c r="J875" s="64">
        <f>18.0245 * CHOOSE(CONTROL!$C$22, $C$13, 100%, $E$13)</f>
        <v>18.0245</v>
      </c>
      <c r="K875" s="64">
        <f>18.0246 * CHOOSE(CONTROL!$C$22, $C$13, 100%, $E$13)</f>
        <v>18.0246</v>
      </c>
    </row>
    <row r="876" spans="1:11" ht="15">
      <c r="A876" s="13">
        <v>68303</v>
      </c>
      <c r="B876" s="63">
        <f>15.3434 * CHOOSE(CONTROL!$C$22, $C$13, 100%, $E$13)</f>
        <v>15.343400000000001</v>
      </c>
      <c r="C876" s="63">
        <f>15.3434 * CHOOSE(CONTROL!$C$22, $C$13, 100%, $E$13)</f>
        <v>15.343400000000001</v>
      </c>
      <c r="D876" s="63">
        <f>15.3607 * CHOOSE(CONTROL!$C$22, $C$13, 100%, $E$13)</f>
        <v>15.3607</v>
      </c>
      <c r="E876" s="64">
        <f>18.0517 * CHOOSE(CONTROL!$C$22, $C$13, 100%, $E$13)</f>
        <v>18.0517</v>
      </c>
      <c r="F876" s="64">
        <f>18.0517 * CHOOSE(CONTROL!$C$22, $C$13, 100%, $E$13)</f>
        <v>18.0517</v>
      </c>
      <c r="G876" s="64">
        <f>18.0519 * CHOOSE(CONTROL!$C$22, $C$13, 100%, $E$13)</f>
        <v>18.0519</v>
      </c>
      <c r="H876" s="64">
        <f>29.2254* CHOOSE(CONTROL!$C$22, $C$13, 100%, $E$13)</f>
        <v>29.2254</v>
      </c>
      <c r="I876" s="64">
        <f>29.2255 * CHOOSE(CONTROL!$C$22, $C$13, 100%, $E$13)</f>
        <v>29.2255</v>
      </c>
      <c r="J876" s="64">
        <f>18.0517 * CHOOSE(CONTROL!$C$22, $C$13, 100%, $E$13)</f>
        <v>18.0517</v>
      </c>
      <c r="K876" s="64">
        <f>18.0519 * CHOOSE(CONTROL!$C$22, $C$13, 100%, $E$13)</f>
        <v>18.0519</v>
      </c>
    </row>
    <row r="877" spans="1:11" ht="15">
      <c r="A877" s="13">
        <v>68334</v>
      </c>
      <c r="B877" s="63">
        <f>15.3404 * CHOOSE(CONTROL!$C$22, $C$13, 100%, $E$13)</f>
        <v>15.340400000000001</v>
      </c>
      <c r="C877" s="63">
        <f>15.3404 * CHOOSE(CONTROL!$C$22, $C$13, 100%, $E$13)</f>
        <v>15.340400000000001</v>
      </c>
      <c r="D877" s="63">
        <f>15.3577 * CHOOSE(CONTROL!$C$22, $C$13, 100%, $E$13)</f>
        <v>15.357699999999999</v>
      </c>
      <c r="E877" s="64">
        <f>17.852 * CHOOSE(CONTROL!$C$22, $C$13, 100%, $E$13)</f>
        <v>17.852</v>
      </c>
      <c r="F877" s="64">
        <f>17.852 * CHOOSE(CONTROL!$C$22, $C$13, 100%, $E$13)</f>
        <v>17.852</v>
      </c>
      <c r="G877" s="64">
        <f>17.8522 * CHOOSE(CONTROL!$C$22, $C$13, 100%, $E$13)</f>
        <v>17.8522</v>
      </c>
      <c r="H877" s="64">
        <f>29.2863* CHOOSE(CONTROL!$C$22, $C$13, 100%, $E$13)</f>
        <v>29.286300000000001</v>
      </c>
      <c r="I877" s="64">
        <f>29.2864 * CHOOSE(CONTROL!$C$22, $C$13, 100%, $E$13)</f>
        <v>29.2864</v>
      </c>
      <c r="J877" s="64">
        <f>17.852 * CHOOSE(CONTROL!$C$22, $C$13, 100%, $E$13)</f>
        <v>17.852</v>
      </c>
      <c r="K877" s="64">
        <f>17.8522 * CHOOSE(CONTROL!$C$22, $C$13, 100%, $E$13)</f>
        <v>17.8522</v>
      </c>
    </row>
    <row r="878" spans="1:11" ht="15">
      <c r="A878" s="13">
        <v>68362</v>
      </c>
      <c r="B878" s="63">
        <f>15.3373 * CHOOSE(CONTROL!$C$22, $C$13, 100%, $E$13)</f>
        <v>15.337300000000001</v>
      </c>
      <c r="C878" s="63">
        <f>15.3373 * CHOOSE(CONTROL!$C$22, $C$13, 100%, $E$13)</f>
        <v>15.337300000000001</v>
      </c>
      <c r="D878" s="63">
        <f>15.3547 * CHOOSE(CONTROL!$C$22, $C$13, 100%, $E$13)</f>
        <v>15.354699999999999</v>
      </c>
      <c r="E878" s="64">
        <f>18.0057 * CHOOSE(CONTROL!$C$22, $C$13, 100%, $E$13)</f>
        <v>18.005700000000001</v>
      </c>
      <c r="F878" s="64">
        <f>18.0057 * CHOOSE(CONTROL!$C$22, $C$13, 100%, $E$13)</f>
        <v>18.005700000000001</v>
      </c>
      <c r="G878" s="64">
        <f>18.0058 * CHOOSE(CONTROL!$C$22, $C$13, 100%, $E$13)</f>
        <v>18.005800000000001</v>
      </c>
      <c r="H878" s="64">
        <f>29.3473* CHOOSE(CONTROL!$C$22, $C$13, 100%, $E$13)</f>
        <v>29.347300000000001</v>
      </c>
      <c r="I878" s="64">
        <f>29.3474 * CHOOSE(CONTROL!$C$22, $C$13, 100%, $E$13)</f>
        <v>29.3474</v>
      </c>
      <c r="J878" s="64">
        <f>18.0057 * CHOOSE(CONTROL!$C$22, $C$13, 100%, $E$13)</f>
        <v>18.005700000000001</v>
      </c>
      <c r="K878" s="64">
        <f>18.0058 * CHOOSE(CONTROL!$C$22, $C$13, 100%, $E$13)</f>
        <v>18.005800000000001</v>
      </c>
    </row>
    <row r="879" spans="1:11" ht="15">
      <c r="A879" s="13">
        <v>68393</v>
      </c>
      <c r="B879" s="63">
        <f>15.3446 * CHOOSE(CONTROL!$C$22, $C$13, 100%, $E$13)</f>
        <v>15.3446</v>
      </c>
      <c r="C879" s="63">
        <f>15.3446 * CHOOSE(CONTROL!$C$22, $C$13, 100%, $E$13)</f>
        <v>15.3446</v>
      </c>
      <c r="D879" s="63">
        <f>15.362 * CHOOSE(CONTROL!$C$22, $C$13, 100%, $E$13)</f>
        <v>15.362</v>
      </c>
      <c r="E879" s="64">
        <f>18.1687 * CHOOSE(CONTROL!$C$22, $C$13, 100%, $E$13)</f>
        <v>18.168700000000001</v>
      </c>
      <c r="F879" s="64">
        <f>18.1687 * CHOOSE(CONTROL!$C$22, $C$13, 100%, $E$13)</f>
        <v>18.168700000000001</v>
      </c>
      <c r="G879" s="64">
        <f>18.1689 * CHOOSE(CONTROL!$C$22, $C$13, 100%, $E$13)</f>
        <v>18.168900000000001</v>
      </c>
      <c r="H879" s="64">
        <f>29.4084* CHOOSE(CONTROL!$C$22, $C$13, 100%, $E$13)</f>
        <v>29.4084</v>
      </c>
      <c r="I879" s="64">
        <f>29.4086 * CHOOSE(CONTROL!$C$22, $C$13, 100%, $E$13)</f>
        <v>29.4086</v>
      </c>
      <c r="J879" s="64">
        <f>18.1687 * CHOOSE(CONTROL!$C$22, $C$13, 100%, $E$13)</f>
        <v>18.168700000000001</v>
      </c>
      <c r="K879" s="64">
        <f>18.1689 * CHOOSE(CONTROL!$C$22, $C$13, 100%, $E$13)</f>
        <v>18.168900000000001</v>
      </c>
    </row>
    <row r="880" spans="1:11" ht="15">
      <c r="A880" s="13">
        <v>68423</v>
      </c>
      <c r="B880" s="63">
        <f>15.3446 * CHOOSE(CONTROL!$C$22, $C$13, 100%, $E$13)</f>
        <v>15.3446</v>
      </c>
      <c r="C880" s="63">
        <f>15.3446 * CHOOSE(CONTROL!$C$22, $C$13, 100%, $E$13)</f>
        <v>15.3446</v>
      </c>
      <c r="D880" s="63">
        <f>15.3793 * CHOOSE(CONTROL!$C$22, $C$13, 100%, $E$13)</f>
        <v>15.379300000000001</v>
      </c>
      <c r="E880" s="64">
        <f>18.2314 * CHOOSE(CONTROL!$C$22, $C$13, 100%, $E$13)</f>
        <v>18.231400000000001</v>
      </c>
      <c r="F880" s="64">
        <f>18.2314 * CHOOSE(CONTROL!$C$22, $C$13, 100%, $E$13)</f>
        <v>18.231400000000001</v>
      </c>
      <c r="G880" s="64">
        <f>18.2336 * CHOOSE(CONTROL!$C$22, $C$13, 100%, $E$13)</f>
        <v>18.233599999999999</v>
      </c>
      <c r="H880" s="64">
        <f>29.4697* CHOOSE(CONTROL!$C$22, $C$13, 100%, $E$13)</f>
        <v>29.4697</v>
      </c>
      <c r="I880" s="64">
        <f>29.4718 * CHOOSE(CONTROL!$C$22, $C$13, 100%, $E$13)</f>
        <v>29.471800000000002</v>
      </c>
      <c r="J880" s="64">
        <f>18.2314 * CHOOSE(CONTROL!$C$22, $C$13, 100%, $E$13)</f>
        <v>18.231400000000001</v>
      </c>
      <c r="K880" s="64">
        <f>18.2336 * CHOOSE(CONTROL!$C$22, $C$13, 100%, $E$13)</f>
        <v>18.233599999999999</v>
      </c>
    </row>
    <row r="881" spans="1:11" ht="15">
      <c r="A881" s="13">
        <v>68454</v>
      </c>
      <c r="B881" s="63">
        <f>15.3507 * CHOOSE(CONTROL!$C$22, $C$13, 100%, $E$13)</f>
        <v>15.3507</v>
      </c>
      <c r="C881" s="63">
        <f>15.3507 * CHOOSE(CONTROL!$C$22, $C$13, 100%, $E$13)</f>
        <v>15.3507</v>
      </c>
      <c r="D881" s="63">
        <f>15.3854 * CHOOSE(CONTROL!$C$22, $C$13, 100%, $E$13)</f>
        <v>15.385400000000001</v>
      </c>
      <c r="E881" s="64">
        <f>18.1729 * CHOOSE(CONTROL!$C$22, $C$13, 100%, $E$13)</f>
        <v>18.172899999999998</v>
      </c>
      <c r="F881" s="64">
        <f>18.1729 * CHOOSE(CONTROL!$C$22, $C$13, 100%, $E$13)</f>
        <v>18.172899999999998</v>
      </c>
      <c r="G881" s="64">
        <f>18.1751 * CHOOSE(CONTROL!$C$22, $C$13, 100%, $E$13)</f>
        <v>18.1751</v>
      </c>
      <c r="H881" s="64">
        <f>29.5311* CHOOSE(CONTROL!$C$22, $C$13, 100%, $E$13)</f>
        <v>29.531099999999999</v>
      </c>
      <c r="I881" s="64">
        <f>29.5332 * CHOOSE(CONTROL!$C$22, $C$13, 100%, $E$13)</f>
        <v>29.533200000000001</v>
      </c>
      <c r="J881" s="64">
        <f>18.1729 * CHOOSE(CONTROL!$C$22, $C$13, 100%, $E$13)</f>
        <v>18.172899999999998</v>
      </c>
      <c r="K881" s="64">
        <f>18.1751 * CHOOSE(CONTROL!$C$22, $C$13, 100%, $E$13)</f>
        <v>18.1751</v>
      </c>
    </row>
    <row r="882" spans="1:11" ht="15">
      <c r="A882" s="13">
        <v>68484</v>
      </c>
      <c r="B882" s="63">
        <f>15.5909 * CHOOSE(CONTROL!$C$22, $C$13, 100%, $E$13)</f>
        <v>15.5909</v>
      </c>
      <c r="C882" s="63">
        <f>15.5909 * CHOOSE(CONTROL!$C$22, $C$13, 100%, $E$13)</f>
        <v>15.5909</v>
      </c>
      <c r="D882" s="63">
        <f>15.6255 * CHOOSE(CONTROL!$C$22, $C$13, 100%, $E$13)</f>
        <v>15.625500000000001</v>
      </c>
      <c r="E882" s="64">
        <f>18.5182 * CHOOSE(CONTROL!$C$22, $C$13, 100%, $E$13)</f>
        <v>18.5182</v>
      </c>
      <c r="F882" s="64">
        <f>18.5182 * CHOOSE(CONTROL!$C$22, $C$13, 100%, $E$13)</f>
        <v>18.5182</v>
      </c>
      <c r="G882" s="64">
        <f>18.5204 * CHOOSE(CONTROL!$C$22, $C$13, 100%, $E$13)</f>
        <v>18.520399999999999</v>
      </c>
      <c r="H882" s="64">
        <f>29.5926* CHOOSE(CONTROL!$C$22, $C$13, 100%, $E$13)</f>
        <v>29.592600000000001</v>
      </c>
      <c r="I882" s="64">
        <f>29.5947 * CHOOSE(CONTROL!$C$22, $C$13, 100%, $E$13)</f>
        <v>29.5947</v>
      </c>
      <c r="J882" s="64">
        <f>18.5182 * CHOOSE(CONTROL!$C$22, $C$13, 100%, $E$13)</f>
        <v>18.5182</v>
      </c>
      <c r="K882" s="64">
        <f>18.5204 * CHOOSE(CONTROL!$C$22, $C$13, 100%, $E$13)</f>
        <v>18.520399999999999</v>
      </c>
    </row>
    <row r="883" spans="1:11" ht="15">
      <c r="A883" s="13">
        <v>68515</v>
      </c>
      <c r="B883" s="63">
        <f>15.5976 * CHOOSE(CONTROL!$C$22, $C$13, 100%, $E$13)</f>
        <v>15.5976</v>
      </c>
      <c r="C883" s="63">
        <f>15.5976 * CHOOSE(CONTROL!$C$22, $C$13, 100%, $E$13)</f>
        <v>15.5976</v>
      </c>
      <c r="D883" s="63">
        <f>15.6322 * CHOOSE(CONTROL!$C$22, $C$13, 100%, $E$13)</f>
        <v>15.632199999999999</v>
      </c>
      <c r="E883" s="64">
        <f>18.3347 * CHOOSE(CONTROL!$C$22, $C$13, 100%, $E$13)</f>
        <v>18.334700000000002</v>
      </c>
      <c r="F883" s="64">
        <f>18.3347 * CHOOSE(CONTROL!$C$22, $C$13, 100%, $E$13)</f>
        <v>18.334700000000002</v>
      </c>
      <c r="G883" s="64">
        <f>18.3369 * CHOOSE(CONTROL!$C$22, $C$13, 100%, $E$13)</f>
        <v>18.3369</v>
      </c>
      <c r="H883" s="64">
        <f>29.6542* CHOOSE(CONTROL!$C$22, $C$13, 100%, $E$13)</f>
        <v>29.654199999999999</v>
      </c>
      <c r="I883" s="64">
        <f>29.6564 * CHOOSE(CONTROL!$C$22, $C$13, 100%, $E$13)</f>
        <v>29.656400000000001</v>
      </c>
      <c r="J883" s="64">
        <f>18.3347 * CHOOSE(CONTROL!$C$22, $C$13, 100%, $E$13)</f>
        <v>18.334700000000002</v>
      </c>
      <c r="K883" s="64">
        <f>18.3369 * CHOOSE(CONTROL!$C$22, $C$13, 100%, $E$13)</f>
        <v>18.3369</v>
      </c>
    </row>
    <row r="884" spans="1:11" ht="15">
      <c r="A884" s="13">
        <v>68546</v>
      </c>
      <c r="B884" s="63">
        <f>15.5945 * CHOOSE(CONTROL!$C$22, $C$13, 100%, $E$13)</f>
        <v>15.5945</v>
      </c>
      <c r="C884" s="63">
        <f>15.5945 * CHOOSE(CONTROL!$C$22, $C$13, 100%, $E$13)</f>
        <v>15.5945</v>
      </c>
      <c r="D884" s="63">
        <f>15.6292 * CHOOSE(CONTROL!$C$22, $C$13, 100%, $E$13)</f>
        <v>15.629200000000001</v>
      </c>
      <c r="E884" s="64">
        <f>18.3117 * CHOOSE(CONTROL!$C$22, $C$13, 100%, $E$13)</f>
        <v>18.311699999999998</v>
      </c>
      <c r="F884" s="64">
        <f>18.3117 * CHOOSE(CONTROL!$C$22, $C$13, 100%, $E$13)</f>
        <v>18.311699999999998</v>
      </c>
      <c r="G884" s="64">
        <f>18.3138 * CHOOSE(CONTROL!$C$22, $C$13, 100%, $E$13)</f>
        <v>18.313800000000001</v>
      </c>
      <c r="H884" s="64">
        <f>29.716* CHOOSE(CONTROL!$C$22, $C$13, 100%, $E$13)</f>
        <v>29.716000000000001</v>
      </c>
      <c r="I884" s="64">
        <f>29.7182 * CHOOSE(CONTROL!$C$22, $C$13, 100%, $E$13)</f>
        <v>29.7182</v>
      </c>
      <c r="J884" s="64">
        <f>18.3117 * CHOOSE(CONTROL!$C$22, $C$13, 100%, $E$13)</f>
        <v>18.311699999999998</v>
      </c>
      <c r="K884" s="64">
        <f>18.3138 * CHOOSE(CONTROL!$C$22, $C$13, 100%, $E$13)</f>
        <v>18.313800000000001</v>
      </c>
    </row>
    <row r="885" spans="1:11" ht="15">
      <c r="A885" s="13">
        <v>68576</v>
      </c>
      <c r="B885" s="63">
        <f>15.6276 * CHOOSE(CONTROL!$C$22, $C$13, 100%, $E$13)</f>
        <v>15.627599999999999</v>
      </c>
      <c r="C885" s="63">
        <f>15.6276 * CHOOSE(CONTROL!$C$22, $C$13, 100%, $E$13)</f>
        <v>15.627599999999999</v>
      </c>
      <c r="D885" s="63">
        <f>15.6449 * CHOOSE(CONTROL!$C$22, $C$13, 100%, $E$13)</f>
        <v>15.6449</v>
      </c>
      <c r="E885" s="64">
        <f>18.3819 * CHOOSE(CONTROL!$C$22, $C$13, 100%, $E$13)</f>
        <v>18.381900000000002</v>
      </c>
      <c r="F885" s="64">
        <f>18.3819 * CHOOSE(CONTROL!$C$22, $C$13, 100%, $E$13)</f>
        <v>18.381900000000002</v>
      </c>
      <c r="G885" s="64">
        <f>18.3821 * CHOOSE(CONTROL!$C$22, $C$13, 100%, $E$13)</f>
        <v>18.382100000000001</v>
      </c>
      <c r="H885" s="64">
        <f>29.7779* CHOOSE(CONTROL!$C$22, $C$13, 100%, $E$13)</f>
        <v>29.777899999999999</v>
      </c>
      <c r="I885" s="64">
        <f>29.7781 * CHOOSE(CONTROL!$C$22, $C$13, 100%, $E$13)</f>
        <v>29.778099999999998</v>
      </c>
      <c r="J885" s="64">
        <f>18.3819 * CHOOSE(CONTROL!$C$22, $C$13, 100%, $E$13)</f>
        <v>18.381900000000002</v>
      </c>
      <c r="K885" s="64">
        <f>18.3821 * CHOOSE(CONTROL!$C$22, $C$13, 100%, $E$13)</f>
        <v>18.382100000000001</v>
      </c>
    </row>
    <row r="886" spans="1:11" ht="15">
      <c r="A886" s="13">
        <v>68607</v>
      </c>
      <c r="B886" s="63">
        <f>15.6306 * CHOOSE(CONTROL!$C$22, $C$13, 100%, $E$13)</f>
        <v>15.630599999999999</v>
      </c>
      <c r="C886" s="63">
        <f>15.6306 * CHOOSE(CONTROL!$C$22, $C$13, 100%, $E$13)</f>
        <v>15.630599999999999</v>
      </c>
      <c r="D886" s="63">
        <f>15.6479 * CHOOSE(CONTROL!$C$22, $C$13, 100%, $E$13)</f>
        <v>15.6479</v>
      </c>
      <c r="E886" s="64">
        <f>18.4258 * CHOOSE(CONTROL!$C$22, $C$13, 100%, $E$13)</f>
        <v>18.425799999999999</v>
      </c>
      <c r="F886" s="64">
        <f>18.4258 * CHOOSE(CONTROL!$C$22, $C$13, 100%, $E$13)</f>
        <v>18.425799999999999</v>
      </c>
      <c r="G886" s="64">
        <f>18.426 * CHOOSE(CONTROL!$C$22, $C$13, 100%, $E$13)</f>
        <v>18.425999999999998</v>
      </c>
      <c r="H886" s="64">
        <f>29.84* CHOOSE(CONTROL!$C$22, $C$13, 100%, $E$13)</f>
        <v>29.84</v>
      </c>
      <c r="I886" s="64">
        <f>29.8401 * CHOOSE(CONTROL!$C$22, $C$13, 100%, $E$13)</f>
        <v>29.8401</v>
      </c>
      <c r="J886" s="64">
        <f>18.4258 * CHOOSE(CONTROL!$C$22, $C$13, 100%, $E$13)</f>
        <v>18.425799999999999</v>
      </c>
      <c r="K886" s="64">
        <f>18.426 * CHOOSE(CONTROL!$C$22, $C$13, 100%, $E$13)</f>
        <v>18.425999999999998</v>
      </c>
    </row>
    <row r="887" spans="1:11" ht="15">
      <c r="A887" s="13">
        <v>68637</v>
      </c>
      <c r="B887" s="63">
        <f>15.6306 * CHOOSE(CONTROL!$C$22, $C$13, 100%, $E$13)</f>
        <v>15.630599999999999</v>
      </c>
      <c r="C887" s="63">
        <f>15.6306 * CHOOSE(CONTROL!$C$22, $C$13, 100%, $E$13)</f>
        <v>15.630599999999999</v>
      </c>
      <c r="D887" s="63">
        <f>15.6479 * CHOOSE(CONTROL!$C$22, $C$13, 100%, $E$13)</f>
        <v>15.6479</v>
      </c>
      <c r="E887" s="64">
        <f>18.3213 * CHOOSE(CONTROL!$C$22, $C$13, 100%, $E$13)</f>
        <v>18.321300000000001</v>
      </c>
      <c r="F887" s="64">
        <f>18.3213 * CHOOSE(CONTROL!$C$22, $C$13, 100%, $E$13)</f>
        <v>18.321300000000001</v>
      </c>
      <c r="G887" s="64">
        <f>18.3215 * CHOOSE(CONTROL!$C$22, $C$13, 100%, $E$13)</f>
        <v>18.3215</v>
      </c>
      <c r="H887" s="64">
        <f>29.9021* CHOOSE(CONTROL!$C$22, $C$13, 100%, $E$13)</f>
        <v>29.902100000000001</v>
      </c>
      <c r="I887" s="64">
        <f>29.9023 * CHOOSE(CONTROL!$C$22, $C$13, 100%, $E$13)</f>
        <v>29.9023</v>
      </c>
      <c r="J887" s="64">
        <f>18.3213 * CHOOSE(CONTROL!$C$22, $C$13, 100%, $E$13)</f>
        <v>18.321300000000001</v>
      </c>
      <c r="K887" s="64">
        <f>18.3215 * CHOOSE(CONTROL!$C$22, $C$13, 100%, $E$13)</f>
        <v>18.3215</v>
      </c>
    </row>
    <row r="888" spans="1:11" ht="15">
      <c r="A888" s="13">
        <v>68668</v>
      </c>
      <c r="B888" s="63">
        <f>15.5887 * CHOOSE(CONTROL!$C$22, $C$13, 100%, $E$13)</f>
        <v>15.588699999999999</v>
      </c>
      <c r="C888" s="63">
        <f>15.5887 * CHOOSE(CONTROL!$C$22, $C$13, 100%, $E$13)</f>
        <v>15.588699999999999</v>
      </c>
      <c r="D888" s="63">
        <f>15.6061 * CHOOSE(CONTROL!$C$22, $C$13, 100%, $E$13)</f>
        <v>15.6061</v>
      </c>
      <c r="E888" s="64">
        <f>18.3441 * CHOOSE(CONTROL!$C$22, $C$13, 100%, $E$13)</f>
        <v>18.344100000000001</v>
      </c>
      <c r="F888" s="64">
        <f>18.3441 * CHOOSE(CONTROL!$C$22, $C$13, 100%, $E$13)</f>
        <v>18.344100000000001</v>
      </c>
      <c r="G888" s="64">
        <f>18.3443 * CHOOSE(CONTROL!$C$22, $C$13, 100%, $E$13)</f>
        <v>18.3443</v>
      </c>
      <c r="H888" s="64">
        <f>29.6713* CHOOSE(CONTROL!$C$22, $C$13, 100%, $E$13)</f>
        <v>29.671299999999999</v>
      </c>
      <c r="I888" s="64">
        <f>29.6714 * CHOOSE(CONTROL!$C$22, $C$13, 100%, $E$13)</f>
        <v>29.671399999999998</v>
      </c>
      <c r="J888" s="64">
        <f>18.3441 * CHOOSE(CONTROL!$C$22, $C$13, 100%, $E$13)</f>
        <v>18.344100000000001</v>
      </c>
      <c r="K888" s="64">
        <f>18.3443 * CHOOSE(CONTROL!$C$22, $C$13, 100%, $E$13)</f>
        <v>18.3443</v>
      </c>
    </row>
    <row r="889" spans="1:11" ht="15">
      <c r="A889" s="13">
        <v>68699</v>
      </c>
      <c r="B889" s="63">
        <f>15.5857 * CHOOSE(CONTROL!$C$22, $C$13, 100%, $E$13)</f>
        <v>15.585699999999999</v>
      </c>
      <c r="C889" s="63">
        <f>15.5857 * CHOOSE(CONTROL!$C$22, $C$13, 100%, $E$13)</f>
        <v>15.585699999999999</v>
      </c>
      <c r="D889" s="63">
        <f>15.603 * CHOOSE(CONTROL!$C$22, $C$13, 100%, $E$13)</f>
        <v>15.603</v>
      </c>
      <c r="E889" s="64">
        <f>18.1412 * CHOOSE(CONTROL!$C$22, $C$13, 100%, $E$13)</f>
        <v>18.141200000000001</v>
      </c>
      <c r="F889" s="64">
        <f>18.1412 * CHOOSE(CONTROL!$C$22, $C$13, 100%, $E$13)</f>
        <v>18.141200000000001</v>
      </c>
      <c r="G889" s="64">
        <f>18.1414 * CHOOSE(CONTROL!$C$22, $C$13, 100%, $E$13)</f>
        <v>18.141400000000001</v>
      </c>
      <c r="H889" s="64">
        <f>29.7331* CHOOSE(CONTROL!$C$22, $C$13, 100%, $E$13)</f>
        <v>29.7331</v>
      </c>
      <c r="I889" s="64">
        <f>29.7333 * CHOOSE(CONTROL!$C$22, $C$13, 100%, $E$13)</f>
        <v>29.7333</v>
      </c>
      <c r="J889" s="64">
        <f>18.1412 * CHOOSE(CONTROL!$C$22, $C$13, 100%, $E$13)</f>
        <v>18.141200000000001</v>
      </c>
      <c r="K889" s="64">
        <f>18.1414 * CHOOSE(CONTROL!$C$22, $C$13, 100%, $E$13)</f>
        <v>18.141400000000001</v>
      </c>
    </row>
    <row r="890" spans="1:11" ht="15">
      <c r="A890" s="13">
        <v>68728</v>
      </c>
      <c r="B890" s="63">
        <f>15.5826 * CHOOSE(CONTROL!$C$22, $C$13, 100%, $E$13)</f>
        <v>15.582599999999999</v>
      </c>
      <c r="C890" s="63">
        <f>15.5826 * CHOOSE(CONTROL!$C$22, $C$13, 100%, $E$13)</f>
        <v>15.582599999999999</v>
      </c>
      <c r="D890" s="63">
        <f>15.6 * CHOOSE(CONTROL!$C$22, $C$13, 100%, $E$13)</f>
        <v>15.6</v>
      </c>
      <c r="E890" s="64">
        <f>18.2974 * CHOOSE(CONTROL!$C$22, $C$13, 100%, $E$13)</f>
        <v>18.2974</v>
      </c>
      <c r="F890" s="64">
        <f>18.2974 * CHOOSE(CONTROL!$C$22, $C$13, 100%, $E$13)</f>
        <v>18.2974</v>
      </c>
      <c r="G890" s="64">
        <f>18.2976 * CHOOSE(CONTROL!$C$22, $C$13, 100%, $E$13)</f>
        <v>18.297599999999999</v>
      </c>
      <c r="H890" s="64">
        <f>29.795* CHOOSE(CONTROL!$C$22, $C$13, 100%, $E$13)</f>
        <v>29.795000000000002</v>
      </c>
      <c r="I890" s="64">
        <f>29.7952 * CHOOSE(CONTROL!$C$22, $C$13, 100%, $E$13)</f>
        <v>29.795200000000001</v>
      </c>
      <c r="J890" s="64">
        <f>18.2974 * CHOOSE(CONTROL!$C$22, $C$13, 100%, $E$13)</f>
        <v>18.2974</v>
      </c>
      <c r="K890" s="64">
        <f>18.2976 * CHOOSE(CONTROL!$C$22, $C$13, 100%, $E$13)</f>
        <v>18.297599999999999</v>
      </c>
    </row>
    <row r="891" spans="1:11" ht="15">
      <c r="A891" s="13">
        <v>68759</v>
      </c>
      <c r="B891" s="63">
        <f>15.5902 * CHOOSE(CONTROL!$C$22, $C$13, 100%, $E$13)</f>
        <v>15.590199999999999</v>
      </c>
      <c r="C891" s="63">
        <f>15.5902 * CHOOSE(CONTROL!$C$22, $C$13, 100%, $E$13)</f>
        <v>15.590199999999999</v>
      </c>
      <c r="D891" s="63">
        <f>15.6075 * CHOOSE(CONTROL!$C$22, $C$13, 100%, $E$13)</f>
        <v>15.6075</v>
      </c>
      <c r="E891" s="64">
        <f>18.4631 * CHOOSE(CONTROL!$C$22, $C$13, 100%, $E$13)</f>
        <v>18.463100000000001</v>
      </c>
      <c r="F891" s="64">
        <f>18.4631 * CHOOSE(CONTROL!$C$22, $C$13, 100%, $E$13)</f>
        <v>18.463100000000001</v>
      </c>
      <c r="G891" s="64">
        <f>18.4633 * CHOOSE(CONTROL!$C$22, $C$13, 100%, $E$13)</f>
        <v>18.4633</v>
      </c>
      <c r="H891" s="64">
        <f>29.8571* CHOOSE(CONTROL!$C$22, $C$13, 100%, $E$13)</f>
        <v>29.857099999999999</v>
      </c>
      <c r="I891" s="64">
        <f>29.8573 * CHOOSE(CONTROL!$C$22, $C$13, 100%, $E$13)</f>
        <v>29.857299999999999</v>
      </c>
      <c r="J891" s="64">
        <f>18.4631 * CHOOSE(CONTROL!$C$22, $C$13, 100%, $E$13)</f>
        <v>18.463100000000001</v>
      </c>
      <c r="K891" s="64">
        <f>18.4633 * CHOOSE(CONTROL!$C$22, $C$13, 100%, $E$13)</f>
        <v>18.4633</v>
      </c>
    </row>
    <row r="892" spans="1:11" ht="15">
      <c r="A892" s="13">
        <v>68789</v>
      </c>
      <c r="B892" s="63">
        <f>15.5902 * CHOOSE(CONTROL!$C$22, $C$13, 100%, $E$13)</f>
        <v>15.590199999999999</v>
      </c>
      <c r="C892" s="63">
        <f>15.5902 * CHOOSE(CONTROL!$C$22, $C$13, 100%, $E$13)</f>
        <v>15.590199999999999</v>
      </c>
      <c r="D892" s="63">
        <f>15.6248 * CHOOSE(CONTROL!$C$22, $C$13, 100%, $E$13)</f>
        <v>15.6248</v>
      </c>
      <c r="E892" s="64">
        <f>18.5269 * CHOOSE(CONTROL!$C$22, $C$13, 100%, $E$13)</f>
        <v>18.526900000000001</v>
      </c>
      <c r="F892" s="64">
        <f>18.5269 * CHOOSE(CONTROL!$C$22, $C$13, 100%, $E$13)</f>
        <v>18.526900000000001</v>
      </c>
      <c r="G892" s="64">
        <f>18.529 * CHOOSE(CONTROL!$C$22, $C$13, 100%, $E$13)</f>
        <v>18.529</v>
      </c>
      <c r="H892" s="64">
        <f>29.9193* CHOOSE(CONTROL!$C$22, $C$13, 100%, $E$13)</f>
        <v>29.9193</v>
      </c>
      <c r="I892" s="64">
        <f>29.9214 * CHOOSE(CONTROL!$C$22, $C$13, 100%, $E$13)</f>
        <v>29.921399999999998</v>
      </c>
      <c r="J892" s="64">
        <f>18.5269 * CHOOSE(CONTROL!$C$22, $C$13, 100%, $E$13)</f>
        <v>18.526900000000001</v>
      </c>
      <c r="K892" s="64">
        <f>18.529 * CHOOSE(CONTROL!$C$22, $C$13, 100%, $E$13)</f>
        <v>18.529</v>
      </c>
    </row>
    <row r="893" spans="1:11" ht="15">
      <c r="A893" s="13">
        <v>68820</v>
      </c>
      <c r="B893" s="63">
        <f>15.5963 * CHOOSE(CONTROL!$C$22, $C$13, 100%, $E$13)</f>
        <v>15.596299999999999</v>
      </c>
      <c r="C893" s="63">
        <f>15.5963 * CHOOSE(CONTROL!$C$22, $C$13, 100%, $E$13)</f>
        <v>15.596299999999999</v>
      </c>
      <c r="D893" s="63">
        <f>15.6309 * CHOOSE(CONTROL!$C$22, $C$13, 100%, $E$13)</f>
        <v>15.6309</v>
      </c>
      <c r="E893" s="64">
        <f>18.4674 * CHOOSE(CONTROL!$C$22, $C$13, 100%, $E$13)</f>
        <v>18.467400000000001</v>
      </c>
      <c r="F893" s="64">
        <f>18.4674 * CHOOSE(CONTROL!$C$22, $C$13, 100%, $E$13)</f>
        <v>18.467400000000001</v>
      </c>
      <c r="G893" s="64">
        <f>18.4695 * CHOOSE(CONTROL!$C$22, $C$13, 100%, $E$13)</f>
        <v>18.4695</v>
      </c>
      <c r="H893" s="64">
        <f>29.9816* CHOOSE(CONTROL!$C$22, $C$13, 100%, $E$13)</f>
        <v>29.9816</v>
      </c>
      <c r="I893" s="64">
        <f>29.9838 * CHOOSE(CONTROL!$C$22, $C$13, 100%, $E$13)</f>
        <v>29.983799999999999</v>
      </c>
      <c r="J893" s="64">
        <f>18.4674 * CHOOSE(CONTROL!$C$22, $C$13, 100%, $E$13)</f>
        <v>18.467400000000001</v>
      </c>
      <c r="K893" s="64">
        <f>18.4695 * CHOOSE(CONTROL!$C$22, $C$13, 100%, $E$13)</f>
        <v>18.4695</v>
      </c>
    </row>
    <row r="894" spans="1:11" ht="15">
      <c r="A894" s="13">
        <v>68850</v>
      </c>
      <c r="B894" s="63">
        <f>15.8401 * CHOOSE(CONTROL!$C$22, $C$13, 100%, $E$13)</f>
        <v>15.8401</v>
      </c>
      <c r="C894" s="63">
        <f>15.8401 * CHOOSE(CONTROL!$C$22, $C$13, 100%, $E$13)</f>
        <v>15.8401</v>
      </c>
      <c r="D894" s="63">
        <f>15.8747 * CHOOSE(CONTROL!$C$22, $C$13, 100%, $E$13)</f>
        <v>15.874700000000001</v>
      </c>
      <c r="E894" s="64">
        <f>18.8181 * CHOOSE(CONTROL!$C$22, $C$13, 100%, $E$13)</f>
        <v>18.818100000000001</v>
      </c>
      <c r="F894" s="64">
        <f>18.8181 * CHOOSE(CONTROL!$C$22, $C$13, 100%, $E$13)</f>
        <v>18.818100000000001</v>
      </c>
      <c r="G894" s="64">
        <f>18.8203 * CHOOSE(CONTROL!$C$22, $C$13, 100%, $E$13)</f>
        <v>18.8203</v>
      </c>
      <c r="H894" s="64">
        <f>30.0441* CHOOSE(CONTROL!$C$22, $C$13, 100%, $E$13)</f>
        <v>30.0441</v>
      </c>
      <c r="I894" s="64">
        <f>30.0462 * CHOOSE(CONTROL!$C$22, $C$13, 100%, $E$13)</f>
        <v>30.046199999999999</v>
      </c>
      <c r="J894" s="64">
        <f>18.8181 * CHOOSE(CONTROL!$C$22, $C$13, 100%, $E$13)</f>
        <v>18.818100000000001</v>
      </c>
      <c r="K894" s="64">
        <f>18.8203 * CHOOSE(CONTROL!$C$22, $C$13, 100%, $E$13)</f>
        <v>18.8203</v>
      </c>
    </row>
    <row r="895" spans="1:11" ht="15">
      <c r="A895" s="13">
        <v>68881</v>
      </c>
      <c r="B895" s="63">
        <f>15.8468 * CHOOSE(CONTROL!$C$22, $C$13, 100%, $E$13)</f>
        <v>15.8468</v>
      </c>
      <c r="C895" s="63">
        <f>15.8468 * CHOOSE(CONTROL!$C$22, $C$13, 100%, $E$13)</f>
        <v>15.8468</v>
      </c>
      <c r="D895" s="63">
        <f>15.8814 * CHOOSE(CONTROL!$C$22, $C$13, 100%, $E$13)</f>
        <v>15.881399999999999</v>
      </c>
      <c r="E895" s="64">
        <f>18.6315 * CHOOSE(CONTROL!$C$22, $C$13, 100%, $E$13)</f>
        <v>18.631499999999999</v>
      </c>
      <c r="F895" s="64">
        <f>18.6315 * CHOOSE(CONTROL!$C$22, $C$13, 100%, $E$13)</f>
        <v>18.631499999999999</v>
      </c>
      <c r="G895" s="64">
        <f>18.6337 * CHOOSE(CONTROL!$C$22, $C$13, 100%, $E$13)</f>
        <v>18.633700000000001</v>
      </c>
      <c r="H895" s="64">
        <f>30.1067* CHOOSE(CONTROL!$C$22, $C$13, 100%, $E$13)</f>
        <v>30.1067</v>
      </c>
      <c r="I895" s="64">
        <f>30.1088 * CHOOSE(CONTROL!$C$22, $C$13, 100%, $E$13)</f>
        <v>30.108799999999999</v>
      </c>
      <c r="J895" s="64">
        <f>18.6315 * CHOOSE(CONTROL!$C$22, $C$13, 100%, $E$13)</f>
        <v>18.631499999999999</v>
      </c>
      <c r="K895" s="64">
        <f>18.6337 * CHOOSE(CONTROL!$C$22, $C$13, 100%, $E$13)</f>
        <v>18.633700000000001</v>
      </c>
    </row>
    <row r="896" spans="1:11" ht="15">
      <c r="A896" s="13">
        <v>68912</v>
      </c>
      <c r="B896" s="63">
        <f>15.8437 * CHOOSE(CONTROL!$C$22, $C$13, 100%, $E$13)</f>
        <v>15.8437</v>
      </c>
      <c r="C896" s="63">
        <f>15.8437 * CHOOSE(CONTROL!$C$22, $C$13, 100%, $E$13)</f>
        <v>15.8437</v>
      </c>
      <c r="D896" s="63">
        <f>15.8784 * CHOOSE(CONTROL!$C$22, $C$13, 100%, $E$13)</f>
        <v>15.878399999999999</v>
      </c>
      <c r="E896" s="64">
        <f>18.6082 * CHOOSE(CONTROL!$C$22, $C$13, 100%, $E$13)</f>
        <v>18.6082</v>
      </c>
      <c r="F896" s="64">
        <f>18.6082 * CHOOSE(CONTROL!$C$22, $C$13, 100%, $E$13)</f>
        <v>18.6082</v>
      </c>
      <c r="G896" s="64">
        <f>18.6103 * CHOOSE(CONTROL!$C$22, $C$13, 100%, $E$13)</f>
        <v>18.610299999999999</v>
      </c>
      <c r="H896" s="64">
        <f>30.1694* CHOOSE(CONTROL!$C$22, $C$13, 100%, $E$13)</f>
        <v>30.1694</v>
      </c>
      <c r="I896" s="64">
        <f>30.1715 * CHOOSE(CONTROL!$C$22, $C$13, 100%, $E$13)</f>
        <v>30.171500000000002</v>
      </c>
      <c r="J896" s="64">
        <f>18.6082 * CHOOSE(CONTROL!$C$22, $C$13, 100%, $E$13)</f>
        <v>18.6082</v>
      </c>
      <c r="K896" s="64">
        <f>18.6103 * CHOOSE(CONTROL!$C$22, $C$13, 100%, $E$13)</f>
        <v>18.610299999999999</v>
      </c>
    </row>
    <row r="897" spans="1:11" ht="15">
      <c r="A897" s="13">
        <v>68942</v>
      </c>
      <c r="B897" s="63">
        <f>15.8776 * CHOOSE(CONTROL!$C$22, $C$13, 100%, $E$13)</f>
        <v>15.877599999999999</v>
      </c>
      <c r="C897" s="63">
        <f>15.8776 * CHOOSE(CONTROL!$C$22, $C$13, 100%, $E$13)</f>
        <v>15.877599999999999</v>
      </c>
      <c r="D897" s="63">
        <f>15.8949 * CHOOSE(CONTROL!$C$22, $C$13, 100%, $E$13)</f>
        <v>15.8949</v>
      </c>
      <c r="E897" s="64">
        <f>18.6798 * CHOOSE(CONTROL!$C$22, $C$13, 100%, $E$13)</f>
        <v>18.6798</v>
      </c>
      <c r="F897" s="64">
        <f>18.6798 * CHOOSE(CONTROL!$C$22, $C$13, 100%, $E$13)</f>
        <v>18.6798</v>
      </c>
      <c r="G897" s="64">
        <f>18.6799 * CHOOSE(CONTROL!$C$22, $C$13, 100%, $E$13)</f>
        <v>18.6799</v>
      </c>
      <c r="H897" s="64">
        <f>30.2323* CHOOSE(CONTROL!$C$22, $C$13, 100%, $E$13)</f>
        <v>30.232299999999999</v>
      </c>
      <c r="I897" s="64">
        <f>30.2324 * CHOOSE(CONTROL!$C$22, $C$13, 100%, $E$13)</f>
        <v>30.232399999999998</v>
      </c>
      <c r="J897" s="64">
        <f>18.6798 * CHOOSE(CONTROL!$C$22, $C$13, 100%, $E$13)</f>
        <v>18.6798</v>
      </c>
      <c r="K897" s="64">
        <f>18.6799 * CHOOSE(CONTROL!$C$22, $C$13, 100%, $E$13)</f>
        <v>18.6799</v>
      </c>
    </row>
    <row r="898" spans="1:11" ht="15">
      <c r="A898" s="13">
        <v>68973</v>
      </c>
      <c r="B898" s="63">
        <f>15.8806 * CHOOSE(CONTROL!$C$22, $C$13, 100%, $E$13)</f>
        <v>15.880599999999999</v>
      </c>
      <c r="C898" s="63">
        <f>15.8806 * CHOOSE(CONTROL!$C$22, $C$13, 100%, $E$13)</f>
        <v>15.880599999999999</v>
      </c>
      <c r="D898" s="63">
        <f>15.898 * CHOOSE(CONTROL!$C$22, $C$13, 100%, $E$13)</f>
        <v>15.898</v>
      </c>
      <c r="E898" s="64">
        <f>18.7244 * CHOOSE(CONTROL!$C$22, $C$13, 100%, $E$13)</f>
        <v>18.724399999999999</v>
      </c>
      <c r="F898" s="64">
        <f>18.7244 * CHOOSE(CONTROL!$C$22, $C$13, 100%, $E$13)</f>
        <v>18.724399999999999</v>
      </c>
      <c r="G898" s="64">
        <f>18.7245 * CHOOSE(CONTROL!$C$22, $C$13, 100%, $E$13)</f>
        <v>18.724499999999999</v>
      </c>
      <c r="H898" s="64">
        <f>30.2952* CHOOSE(CONTROL!$C$22, $C$13, 100%, $E$13)</f>
        <v>30.295200000000001</v>
      </c>
      <c r="I898" s="64">
        <f>30.2954 * CHOOSE(CONTROL!$C$22, $C$13, 100%, $E$13)</f>
        <v>30.295400000000001</v>
      </c>
      <c r="J898" s="64">
        <f>18.7244 * CHOOSE(CONTROL!$C$22, $C$13, 100%, $E$13)</f>
        <v>18.724399999999999</v>
      </c>
      <c r="K898" s="64">
        <f>18.7245 * CHOOSE(CONTROL!$C$22, $C$13, 100%, $E$13)</f>
        <v>18.724499999999999</v>
      </c>
    </row>
    <row r="899" spans="1:11" ht="15">
      <c r="A899" s="13">
        <v>69003</v>
      </c>
      <c r="B899" s="63">
        <f>15.8806 * CHOOSE(CONTROL!$C$22, $C$13, 100%, $E$13)</f>
        <v>15.880599999999999</v>
      </c>
      <c r="C899" s="63">
        <f>15.8806 * CHOOSE(CONTROL!$C$22, $C$13, 100%, $E$13)</f>
        <v>15.880599999999999</v>
      </c>
      <c r="D899" s="63">
        <f>15.898 * CHOOSE(CONTROL!$C$22, $C$13, 100%, $E$13)</f>
        <v>15.898</v>
      </c>
      <c r="E899" s="64">
        <f>18.6181 * CHOOSE(CONTROL!$C$22, $C$13, 100%, $E$13)</f>
        <v>18.618099999999998</v>
      </c>
      <c r="F899" s="64">
        <f>18.6181 * CHOOSE(CONTROL!$C$22, $C$13, 100%, $E$13)</f>
        <v>18.618099999999998</v>
      </c>
      <c r="G899" s="64">
        <f>18.6183 * CHOOSE(CONTROL!$C$22, $C$13, 100%, $E$13)</f>
        <v>18.618300000000001</v>
      </c>
      <c r="H899" s="64">
        <f>30.3584* CHOOSE(CONTROL!$C$22, $C$13, 100%, $E$13)</f>
        <v>30.3584</v>
      </c>
      <c r="I899" s="64">
        <f>30.3585 * CHOOSE(CONTROL!$C$22, $C$13, 100%, $E$13)</f>
        <v>30.358499999999999</v>
      </c>
      <c r="J899" s="64">
        <f>18.6181 * CHOOSE(CONTROL!$C$22, $C$13, 100%, $E$13)</f>
        <v>18.618099999999998</v>
      </c>
      <c r="K899" s="64">
        <f>18.6183 * CHOOSE(CONTROL!$C$22, $C$13, 100%, $E$13)</f>
        <v>18.618300000000001</v>
      </c>
    </row>
    <row r="900" spans="1:11" ht="15">
      <c r="A900" s="13">
        <v>69034</v>
      </c>
      <c r="B900" s="63">
        <f>15.834 * CHOOSE(CONTROL!$C$22, $C$13, 100%, $E$13)</f>
        <v>15.834</v>
      </c>
      <c r="C900" s="63">
        <f>15.834 * CHOOSE(CONTROL!$C$22, $C$13, 100%, $E$13)</f>
        <v>15.834</v>
      </c>
      <c r="D900" s="63">
        <f>15.8514 * CHOOSE(CONTROL!$C$22, $C$13, 100%, $E$13)</f>
        <v>15.8514</v>
      </c>
      <c r="E900" s="64">
        <f>18.6365 * CHOOSE(CONTROL!$C$22, $C$13, 100%, $E$13)</f>
        <v>18.636500000000002</v>
      </c>
      <c r="F900" s="64">
        <f>18.6365 * CHOOSE(CONTROL!$C$22, $C$13, 100%, $E$13)</f>
        <v>18.636500000000002</v>
      </c>
      <c r="G900" s="64">
        <f>18.6367 * CHOOSE(CONTROL!$C$22, $C$13, 100%, $E$13)</f>
        <v>18.636700000000001</v>
      </c>
      <c r="H900" s="64">
        <f>30.1172* CHOOSE(CONTROL!$C$22, $C$13, 100%, $E$13)</f>
        <v>30.1172</v>
      </c>
      <c r="I900" s="64">
        <f>30.1173 * CHOOSE(CONTROL!$C$22, $C$13, 100%, $E$13)</f>
        <v>30.1173</v>
      </c>
      <c r="J900" s="64">
        <f>18.6365 * CHOOSE(CONTROL!$C$22, $C$13, 100%, $E$13)</f>
        <v>18.636500000000002</v>
      </c>
      <c r="K900" s="64">
        <f>18.6367 * CHOOSE(CONTROL!$C$22, $C$13, 100%, $E$13)</f>
        <v>18.636700000000001</v>
      </c>
    </row>
    <row r="901" spans="1:11" ht="15">
      <c r="A901" s="13">
        <v>69065</v>
      </c>
      <c r="B901" s="63">
        <f>15.831 * CHOOSE(CONTROL!$C$22, $C$13, 100%, $E$13)</f>
        <v>15.831</v>
      </c>
      <c r="C901" s="63">
        <f>15.831 * CHOOSE(CONTROL!$C$22, $C$13, 100%, $E$13)</f>
        <v>15.831</v>
      </c>
      <c r="D901" s="63">
        <f>15.8483 * CHOOSE(CONTROL!$C$22, $C$13, 100%, $E$13)</f>
        <v>15.8483</v>
      </c>
      <c r="E901" s="64">
        <f>18.4304 * CHOOSE(CONTROL!$C$22, $C$13, 100%, $E$13)</f>
        <v>18.430399999999999</v>
      </c>
      <c r="F901" s="64">
        <f>18.4304 * CHOOSE(CONTROL!$C$22, $C$13, 100%, $E$13)</f>
        <v>18.430399999999999</v>
      </c>
      <c r="G901" s="64">
        <f>18.4306 * CHOOSE(CONTROL!$C$22, $C$13, 100%, $E$13)</f>
        <v>18.430599999999998</v>
      </c>
      <c r="H901" s="64">
        <f>30.1799* CHOOSE(CONTROL!$C$22, $C$13, 100%, $E$13)</f>
        <v>30.1799</v>
      </c>
      <c r="I901" s="64">
        <f>30.1801 * CHOOSE(CONTROL!$C$22, $C$13, 100%, $E$13)</f>
        <v>30.180099999999999</v>
      </c>
      <c r="J901" s="64">
        <f>18.4304 * CHOOSE(CONTROL!$C$22, $C$13, 100%, $E$13)</f>
        <v>18.430399999999999</v>
      </c>
      <c r="K901" s="64">
        <f>18.4306 * CHOOSE(CONTROL!$C$22, $C$13, 100%, $E$13)</f>
        <v>18.430599999999998</v>
      </c>
    </row>
    <row r="902" spans="1:11" ht="15">
      <c r="A902" s="13">
        <v>69093</v>
      </c>
      <c r="B902" s="63">
        <f>15.828 * CHOOSE(CONTROL!$C$22, $C$13, 100%, $E$13)</f>
        <v>15.827999999999999</v>
      </c>
      <c r="C902" s="63">
        <f>15.828 * CHOOSE(CONTROL!$C$22, $C$13, 100%, $E$13)</f>
        <v>15.827999999999999</v>
      </c>
      <c r="D902" s="63">
        <f>15.8453 * CHOOSE(CONTROL!$C$22, $C$13, 100%, $E$13)</f>
        <v>15.8453</v>
      </c>
      <c r="E902" s="64">
        <f>18.5891 * CHOOSE(CONTROL!$C$22, $C$13, 100%, $E$13)</f>
        <v>18.589099999999998</v>
      </c>
      <c r="F902" s="64">
        <f>18.5891 * CHOOSE(CONTROL!$C$22, $C$13, 100%, $E$13)</f>
        <v>18.589099999999998</v>
      </c>
      <c r="G902" s="64">
        <f>18.5893 * CHOOSE(CONTROL!$C$22, $C$13, 100%, $E$13)</f>
        <v>18.589300000000001</v>
      </c>
      <c r="H902" s="64">
        <f>30.2428* CHOOSE(CONTROL!$C$22, $C$13, 100%, $E$13)</f>
        <v>30.242799999999999</v>
      </c>
      <c r="I902" s="64">
        <f>30.2429 * CHOOSE(CONTROL!$C$22, $C$13, 100%, $E$13)</f>
        <v>30.242899999999999</v>
      </c>
      <c r="J902" s="64">
        <f>18.5891 * CHOOSE(CONTROL!$C$22, $C$13, 100%, $E$13)</f>
        <v>18.589099999999998</v>
      </c>
      <c r="K902" s="64">
        <f>18.5893 * CHOOSE(CONTROL!$C$22, $C$13, 100%, $E$13)</f>
        <v>18.589300000000001</v>
      </c>
    </row>
    <row r="903" spans="1:11" ht="15">
      <c r="A903" s="13">
        <v>69124</v>
      </c>
      <c r="B903" s="63">
        <f>15.8357 * CHOOSE(CONTROL!$C$22, $C$13, 100%, $E$13)</f>
        <v>15.835699999999999</v>
      </c>
      <c r="C903" s="63">
        <f>15.8357 * CHOOSE(CONTROL!$C$22, $C$13, 100%, $E$13)</f>
        <v>15.835699999999999</v>
      </c>
      <c r="D903" s="63">
        <f>15.853 * CHOOSE(CONTROL!$C$22, $C$13, 100%, $E$13)</f>
        <v>15.853</v>
      </c>
      <c r="E903" s="64">
        <f>18.7576 * CHOOSE(CONTROL!$C$22, $C$13, 100%, $E$13)</f>
        <v>18.7576</v>
      </c>
      <c r="F903" s="64">
        <f>18.7576 * CHOOSE(CONTROL!$C$22, $C$13, 100%, $E$13)</f>
        <v>18.7576</v>
      </c>
      <c r="G903" s="64">
        <f>18.7578 * CHOOSE(CONTROL!$C$22, $C$13, 100%, $E$13)</f>
        <v>18.7578</v>
      </c>
      <c r="H903" s="64">
        <f>30.3058* CHOOSE(CONTROL!$C$22, $C$13, 100%, $E$13)</f>
        <v>30.305800000000001</v>
      </c>
      <c r="I903" s="64">
        <f>30.306 * CHOOSE(CONTROL!$C$22, $C$13, 100%, $E$13)</f>
        <v>30.306000000000001</v>
      </c>
      <c r="J903" s="64">
        <f>18.7576 * CHOOSE(CONTROL!$C$22, $C$13, 100%, $E$13)</f>
        <v>18.7576</v>
      </c>
      <c r="K903" s="64">
        <f>18.7578 * CHOOSE(CONTROL!$C$22, $C$13, 100%, $E$13)</f>
        <v>18.7578</v>
      </c>
    </row>
    <row r="904" spans="1:11" ht="15">
      <c r="A904" s="13">
        <v>69154</v>
      </c>
      <c r="B904" s="63">
        <f>15.8357 * CHOOSE(CONTROL!$C$22, $C$13, 100%, $E$13)</f>
        <v>15.835699999999999</v>
      </c>
      <c r="C904" s="63">
        <f>15.8357 * CHOOSE(CONTROL!$C$22, $C$13, 100%, $E$13)</f>
        <v>15.835699999999999</v>
      </c>
      <c r="D904" s="63">
        <f>15.8703 * CHOOSE(CONTROL!$C$22, $C$13, 100%, $E$13)</f>
        <v>15.8703</v>
      </c>
      <c r="E904" s="64">
        <f>18.8224 * CHOOSE(CONTROL!$C$22, $C$13, 100%, $E$13)</f>
        <v>18.822399999999998</v>
      </c>
      <c r="F904" s="64">
        <f>18.8224 * CHOOSE(CONTROL!$C$22, $C$13, 100%, $E$13)</f>
        <v>18.822399999999998</v>
      </c>
      <c r="G904" s="64">
        <f>18.8245 * CHOOSE(CONTROL!$C$22, $C$13, 100%, $E$13)</f>
        <v>18.8245</v>
      </c>
      <c r="H904" s="64">
        <f>30.3689* CHOOSE(CONTROL!$C$22, $C$13, 100%, $E$13)</f>
        <v>30.3689</v>
      </c>
      <c r="I904" s="64">
        <f>30.3711 * CHOOSE(CONTROL!$C$22, $C$13, 100%, $E$13)</f>
        <v>30.371099999999998</v>
      </c>
      <c r="J904" s="64">
        <f>18.8224 * CHOOSE(CONTROL!$C$22, $C$13, 100%, $E$13)</f>
        <v>18.822399999999998</v>
      </c>
      <c r="K904" s="64">
        <f>18.8245 * CHOOSE(CONTROL!$C$22, $C$13, 100%, $E$13)</f>
        <v>18.8245</v>
      </c>
    </row>
    <row r="905" spans="1:11" ht="15">
      <c r="A905" s="13">
        <v>69185</v>
      </c>
      <c r="B905" s="63">
        <f>15.8418 * CHOOSE(CONTROL!$C$22, $C$13, 100%, $E$13)</f>
        <v>15.841799999999999</v>
      </c>
      <c r="C905" s="63">
        <f>15.8418 * CHOOSE(CONTROL!$C$22, $C$13, 100%, $E$13)</f>
        <v>15.841799999999999</v>
      </c>
      <c r="D905" s="63">
        <f>15.8764 * CHOOSE(CONTROL!$C$22, $C$13, 100%, $E$13)</f>
        <v>15.8764</v>
      </c>
      <c r="E905" s="64">
        <f>18.7618 * CHOOSE(CONTROL!$C$22, $C$13, 100%, $E$13)</f>
        <v>18.761800000000001</v>
      </c>
      <c r="F905" s="64">
        <f>18.7618 * CHOOSE(CONTROL!$C$22, $C$13, 100%, $E$13)</f>
        <v>18.761800000000001</v>
      </c>
      <c r="G905" s="64">
        <f>18.764 * CHOOSE(CONTROL!$C$22, $C$13, 100%, $E$13)</f>
        <v>18.763999999999999</v>
      </c>
      <c r="H905" s="64">
        <f>30.4322* CHOOSE(CONTROL!$C$22, $C$13, 100%, $E$13)</f>
        <v>30.432200000000002</v>
      </c>
      <c r="I905" s="64">
        <f>30.4343 * CHOOSE(CONTROL!$C$22, $C$13, 100%, $E$13)</f>
        <v>30.4343</v>
      </c>
      <c r="J905" s="64">
        <f>18.7618 * CHOOSE(CONTROL!$C$22, $C$13, 100%, $E$13)</f>
        <v>18.761800000000001</v>
      </c>
      <c r="K905" s="64">
        <f>18.764 * CHOOSE(CONTROL!$C$22, $C$13, 100%, $E$13)</f>
        <v>18.763999999999999</v>
      </c>
    </row>
    <row r="906" spans="1:11" ht="15">
      <c r="A906" s="13">
        <v>69215</v>
      </c>
      <c r="B906" s="63">
        <f>16.0893 * CHOOSE(CONTROL!$C$22, $C$13, 100%, $E$13)</f>
        <v>16.089300000000001</v>
      </c>
      <c r="C906" s="63">
        <f>16.0893 * CHOOSE(CONTROL!$C$22, $C$13, 100%, $E$13)</f>
        <v>16.089300000000001</v>
      </c>
      <c r="D906" s="63">
        <f>16.124 * CHOOSE(CONTROL!$C$22, $C$13, 100%, $E$13)</f>
        <v>16.123999999999999</v>
      </c>
      <c r="E906" s="64">
        <f>19.118 * CHOOSE(CONTROL!$C$22, $C$13, 100%, $E$13)</f>
        <v>19.117999999999999</v>
      </c>
      <c r="F906" s="64">
        <f>19.118 * CHOOSE(CONTROL!$C$22, $C$13, 100%, $E$13)</f>
        <v>19.117999999999999</v>
      </c>
      <c r="G906" s="64">
        <f>19.1202 * CHOOSE(CONTROL!$C$22, $C$13, 100%, $E$13)</f>
        <v>19.120200000000001</v>
      </c>
      <c r="H906" s="64">
        <f>30.4956* CHOOSE(CONTROL!$C$22, $C$13, 100%, $E$13)</f>
        <v>30.4956</v>
      </c>
      <c r="I906" s="64">
        <f>30.4977 * CHOOSE(CONTROL!$C$22, $C$13, 100%, $E$13)</f>
        <v>30.497699999999998</v>
      </c>
      <c r="J906" s="64">
        <f>19.118 * CHOOSE(CONTROL!$C$22, $C$13, 100%, $E$13)</f>
        <v>19.117999999999999</v>
      </c>
      <c r="K906" s="64">
        <f>19.1202 * CHOOSE(CONTROL!$C$22, $C$13, 100%, $E$13)</f>
        <v>19.120200000000001</v>
      </c>
    </row>
    <row r="907" spans="1:11" ht="15">
      <c r="A907" s="13">
        <v>69246</v>
      </c>
      <c r="B907" s="63">
        <f>16.096 * CHOOSE(CONTROL!$C$22, $C$13, 100%, $E$13)</f>
        <v>16.096</v>
      </c>
      <c r="C907" s="63">
        <f>16.096 * CHOOSE(CONTROL!$C$22, $C$13, 100%, $E$13)</f>
        <v>16.096</v>
      </c>
      <c r="D907" s="63">
        <f>16.1306 * CHOOSE(CONTROL!$C$22, $C$13, 100%, $E$13)</f>
        <v>16.130600000000001</v>
      </c>
      <c r="E907" s="64">
        <f>18.9284 * CHOOSE(CONTROL!$C$22, $C$13, 100%, $E$13)</f>
        <v>18.9284</v>
      </c>
      <c r="F907" s="64">
        <f>18.9284 * CHOOSE(CONTROL!$C$22, $C$13, 100%, $E$13)</f>
        <v>18.9284</v>
      </c>
      <c r="G907" s="64">
        <f>18.9305 * CHOOSE(CONTROL!$C$22, $C$13, 100%, $E$13)</f>
        <v>18.930499999999999</v>
      </c>
      <c r="H907" s="64">
        <f>30.5591* CHOOSE(CONTROL!$C$22, $C$13, 100%, $E$13)</f>
        <v>30.559100000000001</v>
      </c>
      <c r="I907" s="64">
        <f>30.5613 * CHOOSE(CONTROL!$C$22, $C$13, 100%, $E$13)</f>
        <v>30.561299999999999</v>
      </c>
      <c r="J907" s="64">
        <f>18.9284 * CHOOSE(CONTROL!$C$22, $C$13, 100%, $E$13)</f>
        <v>18.9284</v>
      </c>
      <c r="K907" s="64">
        <f>18.9305 * CHOOSE(CONTROL!$C$22, $C$13, 100%, $E$13)</f>
        <v>18.930499999999999</v>
      </c>
    </row>
    <row r="908" spans="1:11" ht="15">
      <c r="A908" s="13">
        <v>69277</v>
      </c>
      <c r="B908" s="63">
        <f>16.093 * CHOOSE(CONTROL!$C$22, $C$13, 100%, $E$13)</f>
        <v>16.093</v>
      </c>
      <c r="C908" s="63">
        <f>16.093 * CHOOSE(CONTROL!$C$22, $C$13, 100%, $E$13)</f>
        <v>16.093</v>
      </c>
      <c r="D908" s="63">
        <f>16.1276 * CHOOSE(CONTROL!$C$22, $C$13, 100%, $E$13)</f>
        <v>16.127600000000001</v>
      </c>
      <c r="E908" s="64">
        <f>18.9047 * CHOOSE(CONTROL!$C$22, $C$13, 100%, $E$13)</f>
        <v>18.904699999999998</v>
      </c>
      <c r="F908" s="64">
        <f>18.9047 * CHOOSE(CONTROL!$C$22, $C$13, 100%, $E$13)</f>
        <v>18.904699999999998</v>
      </c>
      <c r="G908" s="64">
        <f>18.9068 * CHOOSE(CONTROL!$C$22, $C$13, 100%, $E$13)</f>
        <v>18.9068</v>
      </c>
      <c r="H908" s="64">
        <f>30.6228* CHOOSE(CONTROL!$C$22, $C$13, 100%, $E$13)</f>
        <v>30.622800000000002</v>
      </c>
      <c r="I908" s="64">
        <f>30.6249 * CHOOSE(CONTROL!$C$22, $C$13, 100%, $E$13)</f>
        <v>30.6249</v>
      </c>
      <c r="J908" s="64">
        <f>18.9047 * CHOOSE(CONTROL!$C$22, $C$13, 100%, $E$13)</f>
        <v>18.904699999999998</v>
      </c>
      <c r="K908" s="64">
        <f>18.9068 * CHOOSE(CONTROL!$C$22, $C$13, 100%, $E$13)</f>
        <v>18.9068</v>
      </c>
    </row>
    <row r="909" spans="1:11" ht="15">
      <c r="A909" s="13">
        <v>69307</v>
      </c>
      <c r="B909" s="63">
        <f>16.1276 * CHOOSE(CONTROL!$C$22, $C$13, 100%, $E$13)</f>
        <v>16.127600000000001</v>
      </c>
      <c r="C909" s="63">
        <f>16.1276 * CHOOSE(CONTROL!$C$22, $C$13, 100%, $E$13)</f>
        <v>16.127600000000001</v>
      </c>
      <c r="D909" s="63">
        <f>16.1449 * CHOOSE(CONTROL!$C$22, $C$13, 100%, $E$13)</f>
        <v>16.1449</v>
      </c>
      <c r="E909" s="64">
        <f>18.9776 * CHOOSE(CONTROL!$C$22, $C$13, 100%, $E$13)</f>
        <v>18.977599999999999</v>
      </c>
      <c r="F909" s="64">
        <f>18.9776 * CHOOSE(CONTROL!$C$22, $C$13, 100%, $E$13)</f>
        <v>18.977599999999999</v>
      </c>
      <c r="G909" s="64">
        <f>18.9778 * CHOOSE(CONTROL!$C$22, $C$13, 100%, $E$13)</f>
        <v>18.977799999999998</v>
      </c>
      <c r="H909" s="64">
        <f>30.6866* CHOOSE(CONTROL!$C$22, $C$13, 100%, $E$13)</f>
        <v>30.686599999999999</v>
      </c>
      <c r="I909" s="64">
        <f>30.6868 * CHOOSE(CONTROL!$C$22, $C$13, 100%, $E$13)</f>
        <v>30.686800000000002</v>
      </c>
      <c r="J909" s="64">
        <f>18.9776 * CHOOSE(CONTROL!$C$22, $C$13, 100%, $E$13)</f>
        <v>18.977599999999999</v>
      </c>
      <c r="K909" s="64">
        <f>18.9778 * CHOOSE(CONTROL!$C$22, $C$13, 100%, $E$13)</f>
        <v>18.977799999999998</v>
      </c>
    </row>
    <row r="910" spans="1:11" ht="15">
      <c r="A910" s="13">
        <v>69338</v>
      </c>
      <c r="B910" s="63">
        <f>16.1306 * CHOOSE(CONTROL!$C$22, $C$13, 100%, $E$13)</f>
        <v>16.130600000000001</v>
      </c>
      <c r="C910" s="63">
        <f>16.1306 * CHOOSE(CONTROL!$C$22, $C$13, 100%, $E$13)</f>
        <v>16.130600000000001</v>
      </c>
      <c r="D910" s="63">
        <f>16.148 * CHOOSE(CONTROL!$C$22, $C$13, 100%, $E$13)</f>
        <v>16.148</v>
      </c>
      <c r="E910" s="64">
        <f>19.0229 * CHOOSE(CONTROL!$C$22, $C$13, 100%, $E$13)</f>
        <v>19.0229</v>
      </c>
      <c r="F910" s="64">
        <f>19.0229 * CHOOSE(CONTROL!$C$22, $C$13, 100%, $E$13)</f>
        <v>19.0229</v>
      </c>
      <c r="G910" s="64">
        <f>19.0231 * CHOOSE(CONTROL!$C$22, $C$13, 100%, $E$13)</f>
        <v>19.023099999999999</v>
      </c>
      <c r="H910" s="64">
        <f>30.7505* CHOOSE(CONTROL!$C$22, $C$13, 100%, $E$13)</f>
        <v>30.750499999999999</v>
      </c>
      <c r="I910" s="64">
        <f>30.7507 * CHOOSE(CONTROL!$C$22, $C$13, 100%, $E$13)</f>
        <v>30.750699999999998</v>
      </c>
      <c r="J910" s="64">
        <f>19.0229 * CHOOSE(CONTROL!$C$22, $C$13, 100%, $E$13)</f>
        <v>19.0229</v>
      </c>
      <c r="K910" s="64">
        <f>19.0231 * CHOOSE(CONTROL!$C$22, $C$13, 100%, $E$13)</f>
        <v>19.023099999999999</v>
      </c>
    </row>
    <row r="911" spans="1:11" ht="15">
      <c r="A911" s="13">
        <v>69368</v>
      </c>
      <c r="B911" s="63">
        <f>16.1306 * CHOOSE(CONTROL!$C$22, $C$13, 100%, $E$13)</f>
        <v>16.130600000000001</v>
      </c>
      <c r="C911" s="63">
        <f>16.1306 * CHOOSE(CONTROL!$C$22, $C$13, 100%, $E$13)</f>
        <v>16.130600000000001</v>
      </c>
      <c r="D911" s="63">
        <f>16.148 * CHOOSE(CONTROL!$C$22, $C$13, 100%, $E$13)</f>
        <v>16.148</v>
      </c>
      <c r="E911" s="64">
        <f>18.915 * CHOOSE(CONTROL!$C$22, $C$13, 100%, $E$13)</f>
        <v>18.914999999999999</v>
      </c>
      <c r="F911" s="64">
        <f>18.915 * CHOOSE(CONTROL!$C$22, $C$13, 100%, $E$13)</f>
        <v>18.914999999999999</v>
      </c>
      <c r="G911" s="64">
        <f>18.9151 * CHOOSE(CONTROL!$C$22, $C$13, 100%, $E$13)</f>
        <v>18.915099999999999</v>
      </c>
      <c r="H911" s="64">
        <f>30.8146* CHOOSE(CONTROL!$C$22, $C$13, 100%, $E$13)</f>
        <v>30.814599999999999</v>
      </c>
      <c r="I911" s="64">
        <f>30.8147 * CHOOSE(CONTROL!$C$22, $C$13, 100%, $E$13)</f>
        <v>30.814699999999998</v>
      </c>
      <c r="J911" s="64">
        <f>18.915 * CHOOSE(CONTROL!$C$22, $C$13, 100%, $E$13)</f>
        <v>18.914999999999999</v>
      </c>
      <c r="K911" s="64">
        <f>18.9151 * CHOOSE(CONTROL!$C$22, $C$13, 100%, $E$13)</f>
        <v>18.915099999999999</v>
      </c>
    </row>
    <row r="912" spans="1:11" ht="15">
      <c r="A912" s="13">
        <v>69399</v>
      </c>
      <c r="B912" s="63">
        <f>16.0794 * CHOOSE(CONTROL!$C$22, $C$13, 100%, $E$13)</f>
        <v>16.0794</v>
      </c>
      <c r="C912" s="63">
        <f>16.0794 * CHOOSE(CONTROL!$C$22, $C$13, 100%, $E$13)</f>
        <v>16.0794</v>
      </c>
      <c r="D912" s="63">
        <f>16.0967 * CHOOSE(CONTROL!$C$22, $C$13, 100%, $E$13)</f>
        <v>16.096699999999998</v>
      </c>
      <c r="E912" s="64">
        <f>18.9289 * CHOOSE(CONTROL!$C$22, $C$13, 100%, $E$13)</f>
        <v>18.928899999999999</v>
      </c>
      <c r="F912" s="64">
        <f>18.9289 * CHOOSE(CONTROL!$C$22, $C$13, 100%, $E$13)</f>
        <v>18.928899999999999</v>
      </c>
      <c r="G912" s="64">
        <f>18.9291 * CHOOSE(CONTROL!$C$22, $C$13, 100%, $E$13)</f>
        <v>18.929099999999998</v>
      </c>
      <c r="H912" s="64">
        <f>30.563* CHOOSE(CONTROL!$C$22, $C$13, 100%, $E$13)</f>
        <v>30.562999999999999</v>
      </c>
      <c r="I912" s="64">
        <f>30.5632 * CHOOSE(CONTROL!$C$22, $C$13, 100%, $E$13)</f>
        <v>30.563199999999998</v>
      </c>
      <c r="J912" s="64">
        <f>18.9289 * CHOOSE(CONTROL!$C$22, $C$13, 100%, $E$13)</f>
        <v>18.928899999999999</v>
      </c>
      <c r="K912" s="64">
        <f>18.9291 * CHOOSE(CONTROL!$C$22, $C$13, 100%, $E$13)</f>
        <v>18.929099999999998</v>
      </c>
    </row>
    <row r="913" spans="1:11" ht="15">
      <c r="A913" s="13">
        <v>69430</v>
      </c>
      <c r="B913" s="63">
        <f>16.0763 * CHOOSE(CONTROL!$C$22, $C$13, 100%, $E$13)</f>
        <v>16.0763</v>
      </c>
      <c r="C913" s="63">
        <f>16.0763 * CHOOSE(CONTROL!$C$22, $C$13, 100%, $E$13)</f>
        <v>16.0763</v>
      </c>
      <c r="D913" s="63">
        <f>16.0937 * CHOOSE(CONTROL!$C$22, $C$13, 100%, $E$13)</f>
        <v>16.093699999999998</v>
      </c>
      <c r="E913" s="64">
        <f>18.7196 * CHOOSE(CONTROL!$C$22, $C$13, 100%, $E$13)</f>
        <v>18.7196</v>
      </c>
      <c r="F913" s="64">
        <f>18.7196 * CHOOSE(CONTROL!$C$22, $C$13, 100%, $E$13)</f>
        <v>18.7196</v>
      </c>
      <c r="G913" s="64">
        <f>18.7198 * CHOOSE(CONTROL!$C$22, $C$13, 100%, $E$13)</f>
        <v>18.719799999999999</v>
      </c>
      <c r="H913" s="64">
        <f>30.6267* CHOOSE(CONTROL!$C$22, $C$13, 100%, $E$13)</f>
        <v>30.6267</v>
      </c>
      <c r="I913" s="64">
        <f>30.6269 * CHOOSE(CONTROL!$C$22, $C$13, 100%, $E$13)</f>
        <v>30.626899999999999</v>
      </c>
      <c r="J913" s="64">
        <f>18.7196 * CHOOSE(CONTROL!$C$22, $C$13, 100%, $E$13)</f>
        <v>18.7196</v>
      </c>
      <c r="K913" s="64">
        <f>18.7198 * CHOOSE(CONTROL!$C$22, $C$13, 100%, $E$13)</f>
        <v>18.719799999999999</v>
      </c>
    </row>
    <row r="914" spans="1:11" ht="15">
      <c r="A914" s="13">
        <v>69458</v>
      </c>
      <c r="B914" s="63">
        <f>16.0733 * CHOOSE(CONTROL!$C$22, $C$13, 100%, $E$13)</f>
        <v>16.0733</v>
      </c>
      <c r="C914" s="63">
        <f>16.0733 * CHOOSE(CONTROL!$C$22, $C$13, 100%, $E$13)</f>
        <v>16.0733</v>
      </c>
      <c r="D914" s="63">
        <f>16.0906 * CHOOSE(CONTROL!$C$22, $C$13, 100%, $E$13)</f>
        <v>16.090599999999998</v>
      </c>
      <c r="E914" s="64">
        <f>18.8809 * CHOOSE(CONTROL!$C$22, $C$13, 100%, $E$13)</f>
        <v>18.8809</v>
      </c>
      <c r="F914" s="64">
        <f>18.8809 * CHOOSE(CONTROL!$C$22, $C$13, 100%, $E$13)</f>
        <v>18.8809</v>
      </c>
      <c r="G914" s="64">
        <f>18.881 * CHOOSE(CONTROL!$C$22, $C$13, 100%, $E$13)</f>
        <v>18.881</v>
      </c>
      <c r="H914" s="64">
        <f>30.6905* CHOOSE(CONTROL!$C$22, $C$13, 100%, $E$13)</f>
        <v>30.6905</v>
      </c>
      <c r="I914" s="64">
        <f>30.6907 * CHOOSE(CONTROL!$C$22, $C$13, 100%, $E$13)</f>
        <v>30.6907</v>
      </c>
      <c r="J914" s="64">
        <f>18.8809 * CHOOSE(CONTROL!$C$22, $C$13, 100%, $E$13)</f>
        <v>18.8809</v>
      </c>
      <c r="K914" s="64">
        <f>18.881 * CHOOSE(CONTROL!$C$22, $C$13, 100%, $E$13)</f>
        <v>18.881</v>
      </c>
    </row>
    <row r="915" spans="1:11" ht="15">
      <c r="A915" s="13">
        <v>69489</v>
      </c>
      <c r="B915" s="63">
        <f>16.0812 * CHOOSE(CONTROL!$C$22, $C$13, 100%, $E$13)</f>
        <v>16.081199999999999</v>
      </c>
      <c r="C915" s="63">
        <f>16.0812 * CHOOSE(CONTROL!$C$22, $C$13, 100%, $E$13)</f>
        <v>16.081199999999999</v>
      </c>
      <c r="D915" s="63">
        <f>16.0985 * CHOOSE(CONTROL!$C$22, $C$13, 100%, $E$13)</f>
        <v>16.098500000000001</v>
      </c>
      <c r="E915" s="64">
        <f>19.052 * CHOOSE(CONTROL!$C$22, $C$13, 100%, $E$13)</f>
        <v>19.052</v>
      </c>
      <c r="F915" s="64">
        <f>19.052 * CHOOSE(CONTROL!$C$22, $C$13, 100%, $E$13)</f>
        <v>19.052</v>
      </c>
      <c r="G915" s="64">
        <f>19.0522 * CHOOSE(CONTROL!$C$22, $C$13, 100%, $E$13)</f>
        <v>19.052199999999999</v>
      </c>
      <c r="H915" s="64">
        <f>30.7545* CHOOSE(CONTROL!$C$22, $C$13, 100%, $E$13)</f>
        <v>30.7545</v>
      </c>
      <c r="I915" s="64">
        <f>30.7546 * CHOOSE(CONTROL!$C$22, $C$13, 100%, $E$13)</f>
        <v>30.7546</v>
      </c>
      <c r="J915" s="64">
        <f>19.052 * CHOOSE(CONTROL!$C$22, $C$13, 100%, $E$13)</f>
        <v>19.052</v>
      </c>
      <c r="K915" s="64">
        <f>19.0522 * CHOOSE(CONTROL!$C$22, $C$13, 100%, $E$13)</f>
        <v>19.052199999999999</v>
      </c>
    </row>
    <row r="916" spans="1:11" ht="15">
      <c r="A916" s="13">
        <v>69519</v>
      </c>
      <c r="B916" s="63">
        <f>16.0812 * CHOOSE(CONTROL!$C$22, $C$13, 100%, $E$13)</f>
        <v>16.081199999999999</v>
      </c>
      <c r="C916" s="63">
        <f>16.0812 * CHOOSE(CONTROL!$C$22, $C$13, 100%, $E$13)</f>
        <v>16.081199999999999</v>
      </c>
      <c r="D916" s="63">
        <f>16.1159 * CHOOSE(CONTROL!$C$22, $C$13, 100%, $E$13)</f>
        <v>16.1159</v>
      </c>
      <c r="E916" s="64">
        <f>19.1178 * CHOOSE(CONTROL!$C$22, $C$13, 100%, $E$13)</f>
        <v>19.117799999999999</v>
      </c>
      <c r="F916" s="64">
        <f>19.1178 * CHOOSE(CONTROL!$C$22, $C$13, 100%, $E$13)</f>
        <v>19.117799999999999</v>
      </c>
      <c r="G916" s="64">
        <f>19.12 * CHOOSE(CONTROL!$C$22, $C$13, 100%, $E$13)</f>
        <v>19.12</v>
      </c>
      <c r="H916" s="64">
        <f>30.8185* CHOOSE(CONTROL!$C$22, $C$13, 100%, $E$13)</f>
        <v>30.8185</v>
      </c>
      <c r="I916" s="64">
        <f>30.8207 * CHOOSE(CONTROL!$C$22, $C$13, 100%, $E$13)</f>
        <v>30.820699999999999</v>
      </c>
      <c r="J916" s="64">
        <f>19.1178 * CHOOSE(CONTROL!$C$22, $C$13, 100%, $E$13)</f>
        <v>19.117799999999999</v>
      </c>
      <c r="K916" s="64">
        <f>19.12 * CHOOSE(CONTROL!$C$22, $C$13, 100%, $E$13)</f>
        <v>19.12</v>
      </c>
    </row>
    <row r="917" spans="1:11" ht="15">
      <c r="A917" s="13">
        <v>69550</v>
      </c>
      <c r="B917" s="63">
        <f>16.0873 * CHOOSE(CONTROL!$C$22, $C$13, 100%, $E$13)</f>
        <v>16.087299999999999</v>
      </c>
      <c r="C917" s="63">
        <f>16.0873 * CHOOSE(CONTROL!$C$22, $C$13, 100%, $E$13)</f>
        <v>16.087299999999999</v>
      </c>
      <c r="D917" s="63">
        <f>16.122 * CHOOSE(CONTROL!$C$22, $C$13, 100%, $E$13)</f>
        <v>16.122</v>
      </c>
      <c r="E917" s="64">
        <f>19.0563 * CHOOSE(CONTROL!$C$22, $C$13, 100%, $E$13)</f>
        <v>19.0563</v>
      </c>
      <c r="F917" s="64">
        <f>19.0563 * CHOOSE(CONTROL!$C$22, $C$13, 100%, $E$13)</f>
        <v>19.0563</v>
      </c>
      <c r="G917" s="64">
        <f>19.0584 * CHOOSE(CONTROL!$C$22, $C$13, 100%, $E$13)</f>
        <v>19.058399999999999</v>
      </c>
      <c r="H917" s="64">
        <f>30.8827* CHOOSE(CONTROL!$C$22, $C$13, 100%, $E$13)</f>
        <v>30.8827</v>
      </c>
      <c r="I917" s="64">
        <f>30.8849 * CHOOSE(CONTROL!$C$22, $C$13, 100%, $E$13)</f>
        <v>30.884899999999998</v>
      </c>
      <c r="J917" s="64">
        <f>19.0563 * CHOOSE(CONTROL!$C$22, $C$13, 100%, $E$13)</f>
        <v>19.0563</v>
      </c>
      <c r="K917" s="64">
        <f>19.0584 * CHOOSE(CONTROL!$C$22, $C$13, 100%, $E$13)</f>
        <v>19.058399999999999</v>
      </c>
    </row>
    <row r="918" spans="1:11" ht="15">
      <c r="A918" s="13">
        <v>69580</v>
      </c>
      <c r="B918" s="63">
        <f>16.3385 * CHOOSE(CONTROL!$C$22, $C$13, 100%, $E$13)</f>
        <v>16.3385</v>
      </c>
      <c r="C918" s="63">
        <f>16.3385 * CHOOSE(CONTROL!$C$22, $C$13, 100%, $E$13)</f>
        <v>16.3385</v>
      </c>
      <c r="D918" s="63">
        <f>16.3732 * CHOOSE(CONTROL!$C$22, $C$13, 100%, $E$13)</f>
        <v>16.373200000000001</v>
      </c>
      <c r="E918" s="64">
        <f>19.4179 * CHOOSE(CONTROL!$C$22, $C$13, 100%, $E$13)</f>
        <v>19.417899999999999</v>
      </c>
      <c r="F918" s="64">
        <f>19.4179 * CHOOSE(CONTROL!$C$22, $C$13, 100%, $E$13)</f>
        <v>19.417899999999999</v>
      </c>
      <c r="G918" s="64">
        <f>19.42 * CHOOSE(CONTROL!$C$22, $C$13, 100%, $E$13)</f>
        <v>19.420000000000002</v>
      </c>
      <c r="H918" s="64">
        <f>30.9471* CHOOSE(CONTROL!$C$22, $C$13, 100%, $E$13)</f>
        <v>30.947099999999999</v>
      </c>
      <c r="I918" s="64">
        <f>30.9492 * CHOOSE(CONTROL!$C$22, $C$13, 100%, $E$13)</f>
        <v>30.949200000000001</v>
      </c>
      <c r="J918" s="64">
        <f>19.4179 * CHOOSE(CONTROL!$C$22, $C$13, 100%, $E$13)</f>
        <v>19.417899999999999</v>
      </c>
      <c r="K918" s="64">
        <f>19.42 * CHOOSE(CONTROL!$C$22, $C$13, 100%, $E$13)</f>
        <v>19.420000000000002</v>
      </c>
    </row>
    <row r="919" spans="1:11" ht="15">
      <c r="A919" s="13">
        <v>69611</v>
      </c>
      <c r="B919" s="63">
        <f>16.3452 * CHOOSE(CONTROL!$C$22, $C$13, 100%, $E$13)</f>
        <v>16.345199999999998</v>
      </c>
      <c r="C919" s="63">
        <f>16.3452 * CHOOSE(CONTROL!$C$22, $C$13, 100%, $E$13)</f>
        <v>16.345199999999998</v>
      </c>
      <c r="D919" s="63">
        <f>16.3799 * CHOOSE(CONTROL!$C$22, $C$13, 100%, $E$13)</f>
        <v>16.379899999999999</v>
      </c>
      <c r="E919" s="64">
        <f>19.2252 * CHOOSE(CONTROL!$C$22, $C$13, 100%, $E$13)</f>
        <v>19.225200000000001</v>
      </c>
      <c r="F919" s="64">
        <f>19.2252 * CHOOSE(CONTROL!$C$22, $C$13, 100%, $E$13)</f>
        <v>19.225200000000001</v>
      </c>
      <c r="G919" s="64">
        <f>19.2273 * CHOOSE(CONTROL!$C$22, $C$13, 100%, $E$13)</f>
        <v>19.2273</v>
      </c>
      <c r="H919" s="64">
        <f>31.0115* CHOOSE(CONTROL!$C$22, $C$13, 100%, $E$13)</f>
        <v>31.011500000000002</v>
      </c>
      <c r="I919" s="64">
        <f>31.0137 * CHOOSE(CONTROL!$C$22, $C$13, 100%, $E$13)</f>
        <v>31.0137</v>
      </c>
      <c r="J919" s="64">
        <f>19.2252 * CHOOSE(CONTROL!$C$22, $C$13, 100%, $E$13)</f>
        <v>19.225200000000001</v>
      </c>
      <c r="K919" s="64">
        <f>19.2273 * CHOOSE(CONTROL!$C$22, $C$13, 100%, $E$13)</f>
        <v>19.2273</v>
      </c>
    </row>
    <row r="920" spans="1:11" ht="15">
      <c r="A920" s="13">
        <v>69642</v>
      </c>
      <c r="B920" s="63">
        <f>16.3422 * CHOOSE(CONTROL!$C$22, $C$13, 100%, $E$13)</f>
        <v>16.342199999999998</v>
      </c>
      <c r="C920" s="63">
        <f>16.3422 * CHOOSE(CONTROL!$C$22, $C$13, 100%, $E$13)</f>
        <v>16.342199999999998</v>
      </c>
      <c r="D920" s="63">
        <f>16.3768 * CHOOSE(CONTROL!$C$22, $C$13, 100%, $E$13)</f>
        <v>16.376799999999999</v>
      </c>
      <c r="E920" s="64">
        <f>19.2012 * CHOOSE(CONTROL!$C$22, $C$13, 100%, $E$13)</f>
        <v>19.2012</v>
      </c>
      <c r="F920" s="64">
        <f>19.2012 * CHOOSE(CONTROL!$C$22, $C$13, 100%, $E$13)</f>
        <v>19.2012</v>
      </c>
      <c r="G920" s="64">
        <f>19.2033 * CHOOSE(CONTROL!$C$22, $C$13, 100%, $E$13)</f>
        <v>19.203299999999999</v>
      </c>
      <c r="H920" s="64">
        <f>31.0762* CHOOSE(CONTROL!$C$22, $C$13, 100%, $E$13)</f>
        <v>31.0762</v>
      </c>
      <c r="I920" s="64">
        <f>31.0783 * CHOOSE(CONTROL!$C$22, $C$13, 100%, $E$13)</f>
        <v>31.078299999999999</v>
      </c>
      <c r="J920" s="64">
        <f>19.2012 * CHOOSE(CONTROL!$C$22, $C$13, 100%, $E$13)</f>
        <v>19.2012</v>
      </c>
      <c r="K920" s="64">
        <f>19.2033 * CHOOSE(CONTROL!$C$22, $C$13, 100%, $E$13)</f>
        <v>19.203299999999999</v>
      </c>
    </row>
    <row r="921" spans="1:11" ht="15">
      <c r="A921" s="13">
        <v>69672</v>
      </c>
      <c r="B921" s="63">
        <f>16.3776 * CHOOSE(CONTROL!$C$22, $C$13, 100%, $E$13)</f>
        <v>16.377600000000001</v>
      </c>
      <c r="C921" s="63">
        <f>16.3776 * CHOOSE(CONTROL!$C$22, $C$13, 100%, $E$13)</f>
        <v>16.377600000000001</v>
      </c>
      <c r="D921" s="63">
        <f>16.3949 * CHOOSE(CONTROL!$C$22, $C$13, 100%, $E$13)</f>
        <v>16.3949</v>
      </c>
      <c r="E921" s="64">
        <f>19.2754 * CHOOSE(CONTROL!$C$22, $C$13, 100%, $E$13)</f>
        <v>19.275400000000001</v>
      </c>
      <c r="F921" s="64">
        <f>19.2754 * CHOOSE(CONTROL!$C$22, $C$13, 100%, $E$13)</f>
        <v>19.275400000000001</v>
      </c>
      <c r="G921" s="64">
        <f>19.2756 * CHOOSE(CONTROL!$C$22, $C$13, 100%, $E$13)</f>
        <v>19.275600000000001</v>
      </c>
      <c r="H921" s="64">
        <f>31.1409* CHOOSE(CONTROL!$C$22, $C$13, 100%, $E$13)</f>
        <v>31.140899999999998</v>
      </c>
      <c r="I921" s="64">
        <f>31.1411 * CHOOSE(CONTROL!$C$22, $C$13, 100%, $E$13)</f>
        <v>31.141100000000002</v>
      </c>
      <c r="J921" s="64">
        <f>19.2754 * CHOOSE(CONTROL!$C$22, $C$13, 100%, $E$13)</f>
        <v>19.275400000000001</v>
      </c>
      <c r="K921" s="64">
        <f>19.2756 * CHOOSE(CONTROL!$C$22, $C$13, 100%, $E$13)</f>
        <v>19.275600000000001</v>
      </c>
    </row>
    <row r="922" spans="1:11" ht="15">
      <c r="A922" s="13">
        <v>69703</v>
      </c>
      <c r="B922" s="63">
        <f>16.3807 * CHOOSE(CONTROL!$C$22, $C$13, 100%, $E$13)</f>
        <v>16.380700000000001</v>
      </c>
      <c r="C922" s="63">
        <f>16.3807 * CHOOSE(CONTROL!$C$22, $C$13, 100%, $E$13)</f>
        <v>16.380700000000001</v>
      </c>
      <c r="D922" s="63">
        <f>16.398 * CHOOSE(CONTROL!$C$22, $C$13, 100%, $E$13)</f>
        <v>16.398</v>
      </c>
      <c r="E922" s="64">
        <f>19.3214 * CHOOSE(CONTROL!$C$22, $C$13, 100%, $E$13)</f>
        <v>19.321400000000001</v>
      </c>
      <c r="F922" s="64">
        <f>19.3214 * CHOOSE(CONTROL!$C$22, $C$13, 100%, $E$13)</f>
        <v>19.321400000000001</v>
      </c>
      <c r="G922" s="64">
        <f>19.3216 * CHOOSE(CONTROL!$C$22, $C$13, 100%, $E$13)</f>
        <v>19.3216</v>
      </c>
      <c r="H922" s="64">
        <f>31.2058* CHOOSE(CONTROL!$C$22, $C$13, 100%, $E$13)</f>
        <v>31.2058</v>
      </c>
      <c r="I922" s="64">
        <f>31.206 * CHOOSE(CONTROL!$C$22, $C$13, 100%, $E$13)</f>
        <v>31.206</v>
      </c>
      <c r="J922" s="64">
        <f>19.3214 * CHOOSE(CONTROL!$C$22, $C$13, 100%, $E$13)</f>
        <v>19.321400000000001</v>
      </c>
      <c r="K922" s="64">
        <f>19.3216 * CHOOSE(CONTROL!$C$22, $C$13, 100%, $E$13)</f>
        <v>19.3216</v>
      </c>
    </row>
    <row r="923" spans="1:11" ht="15">
      <c r="A923" s="13">
        <v>69733</v>
      </c>
      <c r="B923" s="63">
        <f>16.3807 * CHOOSE(CONTROL!$C$22, $C$13, 100%, $E$13)</f>
        <v>16.380700000000001</v>
      </c>
      <c r="C923" s="63">
        <f>16.3807 * CHOOSE(CONTROL!$C$22, $C$13, 100%, $E$13)</f>
        <v>16.380700000000001</v>
      </c>
      <c r="D923" s="63">
        <f>16.398 * CHOOSE(CONTROL!$C$22, $C$13, 100%, $E$13)</f>
        <v>16.398</v>
      </c>
      <c r="E923" s="64">
        <f>19.2118 * CHOOSE(CONTROL!$C$22, $C$13, 100%, $E$13)</f>
        <v>19.2118</v>
      </c>
      <c r="F923" s="64">
        <f>19.2118 * CHOOSE(CONTROL!$C$22, $C$13, 100%, $E$13)</f>
        <v>19.2118</v>
      </c>
      <c r="G923" s="64">
        <f>19.212 * CHOOSE(CONTROL!$C$22, $C$13, 100%, $E$13)</f>
        <v>19.212</v>
      </c>
      <c r="H923" s="64">
        <f>31.2708* CHOOSE(CONTROL!$C$22, $C$13, 100%, $E$13)</f>
        <v>31.270800000000001</v>
      </c>
      <c r="I923" s="64">
        <f>31.271 * CHOOSE(CONTROL!$C$22, $C$13, 100%, $E$13)</f>
        <v>31.271000000000001</v>
      </c>
      <c r="J923" s="64">
        <f>19.2118 * CHOOSE(CONTROL!$C$22, $C$13, 100%, $E$13)</f>
        <v>19.2118</v>
      </c>
      <c r="K923" s="64">
        <f>19.212 * CHOOSE(CONTROL!$C$22, $C$13, 100%, $E$13)</f>
        <v>19.212</v>
      </c>
    </row>
    <row r="924" spans="1:11" ht="15">
      <c r="A924" s="13">
        <v>69764</v>
      </c>
      <c r="B924" s="63">
        <f>16.3247 * CHOOSE(CONTROL!$C$22, $C$13, 100%, $E$13)</f>
        <v>16.3247</v>
      </c>
      <c r="C924" s="63">
        <f>16.3247 * CHOOSE(CONTROL!$C$22, $C$13, 100%, $E$13)</f>
        <v>16.3247</v>
      </c>
      <c r="D924" s="63">
        <f>16.342 * CHOOSE(CONTROL!$C$22, $C$13, 100%, $E$13)</f>
        <v>16.341999999999999</v>
      </c>
      <c r="E924" s="64">
        <f>19.2214 * CHOOSE(CONTROL!$C$22, $C$13, 100%, $E$13)</f>
        <v>19.221399999999999</v>
      </c>
      <c r="F924" s="64">
        <f>19.2214 * CHOOSE(CONTROL!$C$22, $C$13, 100%, $E$13)</f>
        <v>19.221399999999999</v>
      </c>
      <c r="G924" s="64">
        <f>19.2215 * CHOOSE(CONTROL!$C$22, $C$13, 100%, $E$13)</f>
        <v>19.221499999999999</v>
      </c>
      <c r="H924" s="64">
        <f>31.0089* CHOOSE(CONTROL!$C$22, $C$13, 100%, $E$13)</f>
        <v>31.008900000000001</v>
      </c>
      <c r="I924" s="64">
        <f>31.0091 * CHOOSE(CONTROL!$C$22, $C$13, 100%, $E$13)</f>
        <v>31.0091</v>
      </c>
      <c r="J924" s="64">
        <f>19.2214 * CHOOSE(CONTROL!$C$22, $C$13, 100%, $E$13)</f>
        <v>19.221399999999999</v>
      </c>
      <c r="K924" s="64">
        <f>19.2215 * CHOOSE(CONTROL!$C$22, $C$13, 100%, $E$13)</f>
        <v>19.221499999999999</v>
      </c>
    </row>
    <row r="925" spans="1:11" ht="15">
      <c r="A925" s="13">
        <v>69795</v>
      </c>
      <c r="B925" s="63">
        <f>16.3216 * CHOOSE(CONTROL!$C$22, $C$13, 100%, $E$13)</f>
        <v>16.3216</v>
      </c>
      <c r="C925" s="63">
        <f>16.3216 * CHOOSE(CONTROL!$C$22, $C$13, 100%, $E$13)</f>
        <v>16.3216</v>
      </c>
      <c r="D925" s="63">
        <f>16.339 * CHOOSE(CONTROL!$C$22, $C$13, 100%, $E$13)</f>
        <v>16.338999999999999</v>
      </c>
      <c r="E925" s="64">
        <f>19.0088 * CHOOSE(CONTROL!$C$22, $C$13, 100%, $E$13)</f>
        <v>19.008800000000001</v>
      </c>
      <c r="F925" s="64">
        <f>19.0088 * CHOOSE(CONTROL!$C$22, $C$13, 100%, $E$13)</f>
        <v>19.008800000000001</v>
      </c>
      <c r="G925" s="64">
        <f>19.009 * CHOOSE(CONTROL!$C$22, $C$13, 100%, $E$13)</f>
        <v>19.009</v>
      </c>
      <c r="H925" s="64">
        <f>31.0735* CHOOSE(CONTROL!$C$22, $C$13, 100%, $E$13)</f>
        <v>31.073499999999999</v>
      </c>
      <c r="I925" s="64">
        <f>31.0737 * CHOOSE(CONTROL!$C$22, $C$13, 100%, $E$13)</f>
        <v>31.073699999999999</v>
      </c>
      <c r="J925" s="64">
        <f>19.0088 * CHOOSE(CONTROL!$C$22, $C$13, 100%, $E$13)</f>
        <v>19.008800000000001</v>
      </c>
      <c r="K925" s="64">
        <f>19.009 * CHOOSE(CONTROL!$C$22, $C$13, 100%, $E$13)</f>
        <v>19.009</v>
      </c>
    </row>
    <row r="926" spans="1:11" ht="15">
      <c r="A926" s="13">
        <v>69823</v>
      </c>
      <c r="B926" s="63">
        <f>16.3186 * CHOOSE(CONTROL!$C$22, $C$13, 100%, $E$13)</f>
        <v>16.3186</v>
      </c>
      <c r="C926" s="63">
        <f>16.3186 * CHOOSE(CONTROL!$C$22, $C$13, 100%, $E$13)</f>
        <v>16.3186</v>
      </c>
      <c r="D926" s="63">
        <f>16.3359 * CHOOSE(CONTROL!$C$22, $C$13, 100%, $E$13)</f>
        <v>16.335899999999999</v>
      </c>
      <c r="E926" s="64">
        <f>19.1726 * CHOOSE(CONTROL!$C$22, $C$13, 100%, $E$13)</f>
        <v>19.172599999999999</v>
      </c>
      <c r="F926" s="64">
        <f>19.1726 * CHOOSE(CONTROL!$C$22, $C$13, 100%, $E$13)</f>
        <v>19.172599999999999</v>
      </c>
      <c r="G926" s="64">
        <f>19.1728 * CHOOSE(CONTROL!$C$22, $C$13, 100%, $E$13)</f>
        <v>19.172799999999999</v>
      </c>
      <c r="H926" s="64">
        <f>31.1383* CHOOSE(CONTROL!$C$22, $C$13, 100%, $E$13)</f>
        <v>31.138300000000001</v>
      </c>
      <c r="I926" s="64">
        <f>31.1384 * CHOOSE(CONTROL!$C$22, $C$13, 100%, $E$13)</f>
        <v>31.138400000000001</v>
      </c>
      <c r="J926" s="64">
        <f>19.1726 * CHOOSE(CONTROL!$C$22, $C$13, 100%, $E$13)</f>
        <v>19.172599999999999</v>
      </c>
      <c r="K926" s="64">
        <f>19.1728 * CHOOSE(CONTROL!$C$22, $C$13, 100%, $E$13)</f>
        <v>19.172799999999999</v>
      </c>
    </row>
    <row r="927" spans="1:11" ht="15">
      <c r="A927" s="13">
        <v>69854</v>
      </c>
      <c r="B927" s="63">
        <f>16.3267 * CHOOSE(CONTROL!$C$22, $C$13, 100%, $E$13)</f>
        <v>16.326699999999999</v>
      </c>
      <c r="C927" s="63">
        <f>16.3267 * CHOOSE(CONTROL!$C$22, $C$13, 100%, $E$13)</f>
        <v>16.326699999999999</v>
      </c>
      <c r="D927" s="63">
        <f>16.3441 * CHOOSE(CONTROL!$C$22, $C$13, 100%, $E$13)</f>
        <v>16.344100000000001</v>
      </c>
      <c r="E927" s="64">
        <f>19.3465 * CHOOSE(CONTROL!$C$22, $C$13, 100%, $E$13)</f>
        <v>19.346499999999999</v>
      </c>
      <c r="F927" s="64">
        <f>19.3465 * CHOOSE(CONTROL!$C$22, $C$13, 100%, $E$13)</f>
        <v>19.346499999999999</v>
      </c>
      <c r="G927" s="64">
        <f>19.3467 * CHOOSE(CONTROL!$C$22, $C$13, 100%, $E$13)</f>
        <v>19.346699999999998</v>
      </c>
      <c r="H927" s="64">
        <f>31.2031* CHOOSE(CONTROL!$C$22, $C$13, 100%, $E$13)</f>
        <v>31.203099999999999</v>
      </c>
      <c r="I927" s="64">
        <f>31.2033 * CHOOSE(CONTROL!$C$22, $C$13, 100%, $E$13)</f>
        <v>31.203299999999999</v>
      </c>
      <c r="J927" s="64">
        <f>19.3465 * CHOOSE(CONTROL!$C$22, $C$13, 100%, $E$13)</f>
        <v>19.346499999999999</v>
      </c>
      <c r="K927" s="64">
        <f>19.3467 * CHOOSE(CONTROL!$C$22, $C$13, 100%, $E$13)</f>
        <v>19.346699999999998</v>
      </c>
    </row>
    <row r="928" spans="1:11" ht="15">
      <c r="A928" s="13">
        <v>69884</v>
      </c>
      <c r="B928" s="63">
        <f>16.3267 * CHOOSE(CONTROL!$C$22, $C$13, 100%, $E$13)</f>
        <v>16.326699999999999</v>
      </c>
      <c r="C928" s="63">
        <f>16.3267 * CHOOSE(CONTROL!$C$22, $C$13, 100%, $E$13)</f>
        <v>16.326699999999999</v>
      </c>
      <c r="D928" s="63">
        <f>16.3614 * CHOOSE(CONTROL!$C$22, $C$13, 100%, $E$13)</f>
        <v>16.3614</v>
      </c>
      <c r="E928" s="64">
        <f>19.4133 * CHOOSE(CONTROL!$C$22, $C$13, 100%, $E$13)</f>
        <v>19.4133</v>
      </c>
      <c r="F928" s="64">
        <f>19.4133 * CHOOSE(CONTROL!$C$22, $C$13, 100%, $E$13)</f>
        <v>19.4133</v>
      </c>
      <c r="G928" s="64">
        <f>19.4154 * CHOOSE(CONTROL!$C$22, $C$13, 100%, $E$13)</f>
        <v>19.415400000000002</v>
      </c>
      <c r="H928" s="64">
        <f>31.2681* CHOOSE(CONTROL!$C$22, $C$13, 100%, $E$13)</f>
        <v>31.2681</v>
      </c>
      <c r="I928" s="64">
        <f>31.2703 * CHOOSE(CONTROL!$C$22, $C$13, 100%, $E$13)</f>
        <v>31.270299999999999</v>
      </c>
      <c r="J928" s="64">
        <f>19.4133 * CHOOSE(CONTROL!$C$22, $C$13, 100%, $E$13)</f>
        <v>19.4133</v>
      </c>
      <c r="K928" s="64">
        <f>19.4154 * CHOOSE(CONTROL!$C$22, $C$13, 100%, $E$13)</f>
        <v>19.415400000000002</v>
      </c>
    </row>
    <row r="929" spans="1:11" ht="15">
      <c r="A929" s="13">
        <v>69915</v>
      </c>
      <c r="B929" s="63">
        <f>16.3328 * CHOOSE(CONTROL!$C$22, $C$13, 100%, $E$13)</f>
        <v>16.332799999999999</v>
      </c>
      <c r="C929" s="63">
        <f>16.3328 * CHOOSE(CONTROL!$C$22, $C$13, 100%, $E$13)</f>
        <v>16.332799999999999</v>
      </c>
      <c r="D929" s="63">
        <f>16.3675 * CHOOSE(CONTROL!$C$22, $C$13, 100%, $E$13)</f>
        <v>16.3675</v>
      </c>
      <c r="E929" s="64">
        <f>19.3507 * CHOOSE(CONTROL!$C$22, $C$13, 100%, $E$13)</f>
        <v>19.3507</v>
      </c>
      <c r="F929" s="64">
        <f>19.3507 * CHOOSE(CONTROL!$C$22, $C$13, 100%, $E$13)</f>
        <v>19.3507</v>
      </c>
      <c r="G929" s="64">
        <f>19.3529 * CHOOSE(CONTROL!$C$22, $C$13, 100%, $E$13)</f>
        <v>19.352900000000002</v>
      </c>
      <c r="H929" s="64">
        <f>31.3333* CHOOSE(CONTROL!$C$22, $C$13, 100%, $E$13)</f>
        <v>31.333300000000001</v>
      </c>
      <c r="I929" s="64">
        <f>31.3354 * CHOOSE(CONTROL!$C$22, $C$13, 100%, $E$13)</f>
        <v>31.3354</v>
      </c>
      <c r="J929" s="64">
        <f>19.3507 * CHOOSE(CONTROL!$C$22, $C$13, 100%, $E$13)</f>
        <v>19.3507</v>
      </c>
      <c r="K929" s="64">
        <f>19.3529 * CHOOSE(CONTROL!$C$22, $C$13, 100%, $E$13)</f>
        <v>19.352900000000002</v>
      </c>
    </row>
    <row r="930" spans="1:11" ht="15">
      <c r="A930" s="13">
        <v>69945</v>
      </c>
      <c r="B930" s="63">
        <f>16.5877 * CHOOSE(CONTROL!$C$22, $C$13, 100%, $E$13)</f>
        <v>16.587700000000002</v>
      </c>
      <c r="C930" s="63">
        <f>16.5877 * CHOOSE(CONTROL!$C$22, $C$13, 100%, $E$13)</f>
        <v>16.587700000000002</v>
      </c>
      <c r="D930" s="63">
        <f>16.6224 * CHOOSE(CONTROL!$C$22, $C$13, 100%, $E$13)</f>
        <v>16.622399999999999</v>
      </c>
      <c r="E930" s="64">
        <f>19.7178 * CHOOSE(CONTROL!$C$22, $C$13, 100%, $E$13)</f>
        <v>19.7178</v>
      </c>
      <c r="F930" s="64">
        <f>19.7178 * CHOOSE(CONTROL!$C$22, $C$13, 100%, $E$13)</f>
        <v>19.7178</v>
      </c>
      <c r="G930" s="64">
        <f>19.7199 * CHOOSE(CONTROL!$C$22, $C$13, 100%, $E$13)</f>
        <v>19.719899999999999</v>
      </c>
      <c r="H930" s="64">
        <f>31.3986* CHOOSE(CONTROL!$C$22, $C$13, 100%, $E$13)</f>
        <v>31.398599999999998</v>
      </c>
      <c r="I930" s="64">
        <f>31.4007 * CHOOSE(CONTROL!$C$22, $C$13, 100%, $E$13)</f>
        <v>31.400700000000001</v>
      </c>
      <c r="J930" s="64">
        <f>19.7178 * CHOOSE(CONTROL!$C$22, $C$13, 100%, $E$13)</f>
        <v>19.7178</v>
      </c>
      <c r="K930" s="64">
        <f>19.7199 * CHOOSE(CONTROL!$C$22, $C$13, 100%, $E$13)</f>
        <v>19.719899999999999</v>
      </c>
    </row>
    <row r="931" spans="1:11" ht="15">
      <c r="A931" s="13">
        <v>69976</v>
      </c>
      <c r="B931" s="63">
        <f>16.5944 * CHOOSE(CONTROL!$C$22, $C$13, 100%, $E$13)</f>
        <v>16.5944</v>
      </c>
      <c r="C931" s="63">
        <f>16.5944 * CHOOSE(CONTROL!$C$22, $C$13, 100%, $E$13)</f>
        <v>16.5944</v>
      </c>
      <c r="D931" s="63">
        <f>16.6291 * CHOOSE(CONTROL!$C$22, $C$13, 100%, $E$13)</f>
        <v>16.629100000000001</v>
      </c>
      <c r="E931" s="64">
        <f>19.522 * CHOOSE(CONTROL!$C$22, $C$13, 100%, $E$13)</f>
        <v>19.521999999999998</v>
      </c>
      <c r="F931" s="64">
        <f>19.522 * CHOOSE(CONTROL!$C$22, $C$13, 100%, $E$13)</f>
        <v>19.521999999999998</v>
      </c>
      <c r="G931" s="64">
        <f>19.5242 * CHOOSE(CONTROL!$C$22, $C$13, 100%, $E$13)</f>
        <v>19.5242</v>
      </c>
      <c r="H931" s="64">
        <f>31.464* CHOOSE(CONTROL!$C$22, $C$13, 100%, $E$13)</f>
        <v>31.463999999999999</v>
      </c>
      <c r="I931" s="64">
        <f>31.4661 * CHOOSE(CONTROL!$C$22, $C$13, 100%, $E$13)</f>
        <v>31.466100000000001</v>
      </c>
      <c r="J931" s="64">
        <f>19.522 * CHOOSE(CONTROL!$C$22, $C$13, 100%, $E$13)</f>
        <v>19.521999999999998</v>
      </c>
      <c r="K931" s="64">
        <f>19.5242 * CHOOSE(CONTROL!$C$22, $C$13, 100%, $E$13)</f>
        <v>19.5242</v>
      </c>
    </row>
    <row r="932" spans="1:11" ht="15">
      <c r="A932" s="13">
        <v>70007</v>
      </c>
      <c r="B932" s="63">
        <f>16.5914 * CHOOSE(CONTROL!$C$22, $C$13, 100%, $E$13)</f>
        <v>16.5914</v>
      </c>
      <c r="C932" s="63">
        <f>16.5914 * CHOOSE(CONTROL!$C$22, $C$13, 100%, $E$13)</f>
        <v>16.5914</v>
      </c>
      <c r="D932" s="63">
        <f>16.626 * CHOOSE(CONTROL!$C$22, $C$13, 100%, $E$13)</f>
        <v>16.626000000000001</v>
      </c>
      <c r="E932" s="64">
        <f>19.4976 * CHOOSE(CONTROL!$C$22, $C$13, 100%, $E$13)</f>
        <v>19.497599999999998</v>
      </c>
      <c r="F932" s="64">
        <f>19.4976 * CHOOSE(CONTROL!$C$22, $C$13, 100%, $E$13)</f>
        <v>19.497599999999998</v>
      </c>
      <c r="G932" s="64">
        <f>19.4998 * CHOOSE(CONTROL!$C$22, $C$13, 100%, $E$13)</f>
        <v>19.4998</v>
      </c>
      <c r="H932" s="64">
        <f>31.5295* CHOOSE(CONTROL!$C$22, $C$13, 100%, $E$13)</f>
        <v>31.529499999999999</v>
      </c>
      <c r="I932" s="64">
        <f>31.5317 * CHOOSE(CONTROL!$C$22, $C$13, 100%, $E$13)</f>
        <v>31.531700000000001</v>
      </c>
      <c r="J932" s="64">
        <f>19.4976 * CHOOSE(CONTROL!$C$22, $C$13, 100%, $E$13)</f>
        <v>19.497599999999998</v>
      </c>
      <c r="K932" s="64">
        <f>19.4998 * CHOOSE(CONTROL!$C$22, $C$13, 100%, $E$13)</f>
        <v>19.4998</v>
      </c>
    </row>
    <row r="933" spans="1:11" ht="15">
      <c r="A933" s="13">
        <v>70037</v>
      </c>
      <c r="B933" s="63">
        <f>16.6276 * CHOOSE(CONTROL!$C$22, $C$13, 100%, $E$13)</f>
        <v>16.627600000000001</v>
      </c>
      <c r="C933" s="63">
        <f>16.6276 * CHOOSE(CONTROL!$C$22, $C$13, 100%, $E$13)</f>
        <v>16.627600000000001</v>
      </c>
      <c r="D933" s="63">
        <f>16.645 * CHOOSE(CONTROL!$C$22, $C$13, 100%, $E$13)</f>
        <v>16.645</v>
      </c>
      <c r="E933" s="64">
        <f>19.5733 * CHOOSE(CONTROL!$C$22, $C$13, 100%, $E$13)</f>
        <v>19.5733</v>
      </c>
      <c r="F933" s="64">
        <f>19.5733 * CHOOSE(CONTROL!$C$22, $C$13, 100%, $E$13)</f>
        <v>19.5733</v>
      </c>
      <c r="G933" s="64">
        <f>19.5735 * CHOOSE(CONTROL!$C$22, $C$13, 100%, $E$13)</f>
        <v>19.573499999999999</v>
      </c>
      <c r="H933" s="64">
        <f>31.5952* CHOOSE(CONTROL!$C$22, $C$13, 100%, $E$13)</f>
        <v>31.595199999999998</v>
      </c>
      <c r="I933" s="64">
        <f>31.5954 * CHOOSE(CONTROL!$C$22, $C$13, 100%, $E$13)</f>
        <v>31.595400000000001</v>
      </c>
      <c r="J933" s="64">
        <f>19.5733 * CHOOSE(CONTROL!$C$22, $C$13, 100%, $E$13)</f>
        <v>19.5733</v>
      </c>
      <c r="K933" s="64">
        <f>19.5735 * CHOOSE(CONTROL!$C$22, $C$13, 100%, $E$13)</f>
        <v>19.573499999999999</v>
      </c>
    </row>
    <row r="934" spans="1:11" ht="15">
      <c r="A934" s="13">
        <v>70068</v>
      </c>
      <c r="B934" s="63">
        <f>16.6307 * CHOOSE(CONTROL!$C$22, $C$13, 100%, $E$13)</f>
        <v>16.630700000000001</v>
      </c>
      <c r="C934" s="63">
        <f>16.6307 * CHOOSE(CONTROL!$C$22, $C$13, 100%, $E$13)</f>
        <v>16.630700000000001</v>
      </c>
      <c r="D934" s="63">
        <f>16.648 * CHOOSE(CONTROL!$C$22, $C$13, 100%, $E$13)</f>
        <v>16.648</v>
      </c>
      <c r="E934" s="64">
        <f>19.6199 * CHOOSE(CONTROL!$C$22, $C$13, 100%, $E$13)</f>
        <v>19.619900000000001</v>
      </c>
      <c r="F934" s="64">
        <f>19.6199 * CHOOSE(CONTROL!$C$22, $C$13, 100%, $E$13)</f>
        <v>19.619900000000001</v>
      </c>
      <c r="G934" s="64">
        <f>19.6201 * CHOOSE(CONTROL!$C$22, $C$13, 100%, $E$13)</f>
        <v>19.620100000000001</v>
      </c>
      <c r="H934" s="64">
        <f>31.661* CHOOSE(CONTROL!$C$22, $C$13, 100%, $E$13)</f>
        <v>31.661000000000001</v>
      </c>
      <c r="I934" s="64">
        <f>31.6612 * CHOOSE(CONTROL!$C$22, $C$13, 100%, $E$13)</f>
        <v>31.661200000000001</v>
      </c>
      <c r="J934" s="64">
        <f>19.6199 * CHOOSE(CONTROL!$C$22, $C$13, 100%, $E$13)</f>
        <v>19.619900000000001</v>
      </c>
      <c r="K934" s="64">
        <f>19.6201 * CHOOSE(CONTROL!$C$22, $C$13, 100%, $E$13)</f>
        <v>19.620100000000001</v>
      </c>
    </row>
    <row r="935" spans="1:11" ht="15">
      <c r="A935" s="13">
        <v>70098</v>
      </c>
      <c r="B935" s="63">
        <f>16.6307 * CHOOSE(CONTROL!$C$22, $C$13, 100%, $E$13)</f>
        <v>16.630700000000001</v>
      </c>
      <c r="C935" s="63">
        <f>16.6307 * CHOOSE(CONTROL!$C$22, $C$13, 100%, $E$13)</f>
        <v>16.630700000000001</v>
      </c>
      <c r="D935" s="63">
        <f>16.648 * CHOOSE(CONTROL!$C$22, $C$13, 100%, $E$13)</f>
        <v>16.648</v>
      </c>
      <c r="E935" s="64">
        <f>19.5086 * CHOOSE(CONTROL!$C$22, $C$13, 100%, $E$13)</f>
        <v>19.508600000000001</v>
      </c>
      <c r="F935" s="64">
        <f>19.5086 * CHOOSE(CONTROL!$C$22, $C$13, 100%, $E$13)</f>
        <v>19.508600000000001</v>
      </c>
      <c r="G935" s="64">
        <f>19.5088 * CHOOSE(CONTROL!$C$22, $C$13, 100%, $E$13)</f>
        <v>19.508800000000001</v>
      </c>
      <c r="H935" s="64">
        <f>31.727* CHOOSE(CONTROL!$C$22, $C$13, 100%, $E$13)</f>
        <v>31.727</v>
      </c>
      <c r="I935" s="64">
        <f>31.7272 * CHOOSE(CONTROL!$C$22, $C$13, 100%, $E$13)</f>
        <v>31.7272</v>
      </c>
      <c r="J935" s="64">
        <f>19.5086 * CHOOSE(CONTROL!$C$22, $C$13, 100%, $E$13)</f>
        <v>19.508600000000001</v>
      </c>
      <c r="K935" s="64">
        <f>19.5088 * CHOOSE(CONTROL!$C$22, $C$13, 100%, $E$13)</f>
        <v>19.508800000000001</v>
      </c>
    </row>
    <row r="936" spans="1:11" ht="15">
      <c r="A936" s="13">
        <v>70129</v>
      </c>
      <c r="B936" s="63">
        <f>16.57 * CHOOSE(CONTROL!$C$22, $C$13, 100%, $E$13)</f>
        <v>16.57</v>
      </c>
      <c r="C936" s="63">
        <f>16.57 * CHOOSE(CONTROL!$C$22, $C$13, 100%, $E$13)</f>
        <v>16.57</v>
      </c>
      <c r="D936" s="63">
        <f>16.5873 * CHOOSE(CONTROL!$C$22, $C$13, 100%, $E$13)</f>
        <v>16.587299999999999</v>
      </c>
      <c r="E936" s="64">
        <f>19.5138 * CHOOSE(CONTROL!$C$22, $C$13, 100%, $E$13)</f>
        <v>19.5138</v>
      </c>
      <c r="F936" s="64">
        <f>19.5138 * CHOOSE(CONTROL!$C$22, $C$13, 100%, $E$13)</f>
        <v>19.5138</v>
      </c>
      <c r="G936" s="64">
        <f>19.5139 * CHOOSE(CONTROL!$C$22, $C$13, 100%, $E$13)</f>
        <v>19.5139</v>
      </c>
      <c r="H936" s="64">
        <f>31.4548* CHOOSE(CONTROL!$C$22, $C$13, 100%, $E$13)</f>
        <v>31.454799999999999</v>
      </c>
      <c r="I936" s="64">
        <f>31.455 * CHOOSE(CONTROL!$C$22, $C$13, 100%, $E$13)</f>
        <v>31.454999999999998</v>
      </c>
      <c r="J936" s="64">
        <f>19.5138 * CHOOSE(CONTROL!$C$22, $C$13, 100%, $E$13)</f>
        <v>19.5138</v>
      </c>
      <c r="K936" s="64">
        <f>19.5139 * CHOOSE(CONTROL!$C$22, $C$13, 100%, $E$13)</f>
        <v>19.5139</v>
      </c>
    </row>
    <row r="937" spans="1:11" ht="15">
      <c r="A937" s="13">
        <v>70160</v>
      </c>
      <c r="B937" s="63">
        <f>16.567 * CHOOSE(CONTROL!$C$22, $C$13, 100%, $E$13)</f>
        <v>16.567</v>
      </c>
      <c r="C937" s="63">
        <f>16.567 * CHOOSE(CONTROL!$C$22, $C$13, 100%, $E$13)</f>
        <v>16.567</v>
      </c>
      <c r="D937" s="63">
        <f>16.5843 * CHOOSE(CONTROL!$C$22, $C$13, 100%, $E$13)</f>
        <v>16.584299999999999</v>
      </c>
      <c r="E937" s="64">
        <f>19.298 * CHOOSE(CONTROL!$C$22, $C$13, 100%, $E$13)</f>
        <v>19.297999999999998</v>
      </c>
      <c r="F937" s="64">
        <f>19.298 * CHOOSE(CONTROL!$C$22, $C$13, 100%, $E$13)</f>
        <v>19.297999999999998</v>
      </c>
      <c r="G937" s="64">
        <f>19.2982 * CHOOSE(CONTROL!$C$22, $C$13, 100%, $E$13)</f>
        <v>19.298200000000001</v>
      </c>
      <c r="H937" s="64">
        <f>31.5204* CHOOSE(CONTROL!$C$22, $C$13, 100%, $E$13)</f>
        <v>31.520399999999999</v>
      </c>
      <c r="I937" s="64">
        <f>31.5205 * CHOOSE(CONTROL!$C$22, $C$13, 100%, $E$13)</f>
        <v>31.520499999999998</v>
      </c>
      <c r="J937" s="64">
        <f>19.298 * CHOOSE(CONTROL!$C$22, $C$13, 100%, $E$13)</f>
        <v>19.297999999999998</v>
      </c>
      <c r="K937" s="64">
        <f>19.2982 * CHOOSE(CONTROL!$C$22, $C$13, 100%, $E$13)</f>
        <v>19.298200000000001</v>
      </c>
    </row>
    <row r="938" spans="1:11" ht="15">
      <c r="A938" s="13">
        <v>70189</v>
      </c>
      <c r="B938" s="63">
        <f>16.5639 * CHOOSE(CONTROL!$C$22, $C$13, 100%, $E$13)</f>
        <v>16.5639</v>
      </c>
      <c r="C938" s="63">
        <f>16.5639 * CHOOSE(CONTROL!$C$22, $C$13, 100%, $E$13)</f>
        <v>16.5639</v>
      </c>
      <c r="D938" s="63">
        <f>16.5813 * CHOOSE(CONTROL!$C$22, $C$13, 100%, $E$13)</f>
        <v>16.581299999999999</v>
      </c>
      <c r="E938" s="64">
        <f>19.4643 * CHOOSE(CONTROL!$C$22, $C$13, 100%, $E$13)</f>
        <v>19.464300000000001</v>
      </c>
      <c r="F938" s="64">
        <f>19.4643 * CHOOSE(CONTROL!$C$22, $C$13, 100%, $E$13)</f>
        <v>19.464300000000001</v>
      </c>
      <c r="G938" s="64">
        <f>19.4645 * CHOOSE(CONTROL!$C$22, $C$13, 100%, $E$13)</f>
        <v>19.464500000000001</v>
      </c>
      <c r="H938" s="64">
        <f>31.586* CHOOSE(CONTROL!$C$22, $C$13, 100%, $E$13)</f>
        <v>31.585999999999999</v>
      </c>
      <c r="I938" s="64">
        <f>31.5862 * CHOOSE(CONTROL!$C$22, $C$13, 100%, $E$13)</f>
        <v>31.586200000000002</v>
      </c>
      <c r="J938" s="64">
        <f>19.4643 * CHOOSE(CONTROL!$C$22, $C$13, 100%, $E$13)</f>
        <v>19.464300000000001</v>
      </c>
      <c r="K938" s="64">
        <f>19.4645 * CHOOSE(CONTROL!$C$22, $C$13, 100%, $E$13)</f>
        <v>19.464500000000001</v>
      </c>
    </row>
    <row r="939" spans="1:11" ht="15">
      <c r="A939" s="13">
        <v>70220</v>
      </c>
      <c r="B939" s="63">
        <f>16.5723 * CHOOSE(CONTROL!$C$22, $C$13, 100%, $E$13)</f>
        <v>16.572299999999998</v>
      </c>
      <c r="C939" s="63">
        <f>16.5723 * CHOOSE(CONTROL!$C$22, $C$13, 100%, $E$13)</f>
        <v>16.572299999999998</v>
      </c>
      <c r="D939" s="63">
        <f>16.5896 * CHOOSE(CONTROL!$C$22, $C$13, 100%, $E$13)</f>
        <v>16.589600000000001</v>
      </c>
      <c r="E939" s="64">
        <f>19.6409 * CHOOSE(CONTROL!$C$22, $C$13, 100%, $E$13)</f>
        <v>19.640899999999998</v>
      </c>
      <c r="F939" s="64">
        <f>19.6409 * CHOOSE(CONTROL!$C$22, $C$13, 100%, $E$13)</f>
        <v>19.640899999999998</v>
      </c>
      <c r="G939" s="64">
        <f>19.6411 * CHOOSE(CONTROL!$C$22, $C$13, 100%, $E$13)</f>
        <v>19.641100000000002</v>
      </c>
      <c r="H939" s="64">
        <f>31.6518* CHOOSE(CONTROL!$C$22, $C$13, 100%, $E$13)</f>
        <v>31.651800000000001</v>
      </c>
      <c r="I939" s="64">
        <f>31.652 * CHOOSE(CONTROL!$C$22, $C$13, 100%, $E$13)</f>
        <v>31.652000000000001</v>
      </c>
      <c r="J939" s="64">
        <f>19.6409 * CHOOSE(CONTROL!$C$22, $C$13, 100%, $E$13)</f>
        <v>19.640899999999998</v>
      </c>
      <c r="K939" s="64">
        <f>19.6411 * CHOOSE(CONTROL!$C$22, $C$13, 100%, $E$13)</f>
        <v>19.641100000000002</v>
      </c>
    </row>
    <row r="940" spans="1:11" ht="15">
      <c r="A940" s="13">
        <v>70250</v>
      </c>
      <c r="B940" s="63">
        <f>16.5723 * CHOOSE(CONTROL!$C$22, $C$13, 100%, $E$13)</f>
        <v>16.572299999999998</v>
      </c>
      <c r="C940" s="63">
        <f>16.5723 * CHOOSE(CONTROL!$C$22, $C$13, 100%, $E$13)</f>
        <v>16.572299999999998</v>
      </c>
      <c r="D940" s="63">
        <f>16.6069 * CHOOSE(CONTROL!$C$22, $C$13, 100%, $E$13)</f>
        <v>16.6069</v>
      </c>
      <c r="E940" s="64">
        <f>19.7087 * CHOOSE(CONTROL!$C$22, $C$13, 100%, $E$13)</f>
        <v>19.7087</v>
      </c>
      <c r="F940" s="64">
        <f>19.7087 * CHOOSE(CONTROL!$C$22, $C$13, 100%, $E$13)</f>
        <v>19.7087</v>
      </c>
      <c r="G940" s="64">
        <f>19.7109 * CHOOSE(CONTROL!$C$22, $C$13, 100%, $E$13)</f>
        <v>19.710899999999999</v>
      </c>
      <c r="H940" s="64">
        <f>31.7178* CHOOSE(CONTROL!$C$22, $C$13, 100%, $E$13)</f>
        <v>31.7178</v>
      </c>
      <c r="I940" s="64">
        <f>31.7199 * CHOOSE(CONTROL!$C$22, $C$13, 100%, $E$13)</f>
        <v>31.719899999999999</v>
      </c>
      <c r="J940" s="64">
        <f>19.7087 * CHOOSE(CONTROL!$C$22, $C$13, 100%, $E$13)</f>
        <v>19.7087</v>
      </c>
      <c r="K940" s="64">
        <f>19.7109 * CHOOSE(CONTROL!$C$22, $C$13, 100%, $E$13)</f>
        <v>19.710899999999999</v>
      </c>
    </row>
    <row r="941" spans="1:11" ht="15">
      <c r="A941" s="13">
        <v>70281</v>
      </c>
      <c r="B941" s="63">
        <f>16.5784 * CHOOSE(CONTROL!$C$22, $C$13, 100%, $E$13)</f>
        <v>16.578399999999998</v>
      </c>
      <c r="C941" s="63">
        <f>16.5784 * CHOOSE(CONTROL!$C$22, $C$13, 100%, $E$13)</f>
        <v>16.578399999999998</v>
      </c>
      <c r="D941" s="63">
        <f>16.613 * CHOOSE(CONTROL!$C$22, $C$13, 100%, $E$13)</f>
        <v>16.613</v>
      </c>
      <c r="E941" s="64">
        <f>19.6452 * CHOOSE(CONTROL!$C$22, $C$13, 100%, $E$13)</f>
        <v>19.645199999999999</v>
      </c>
      <c r="F941" s="64">
        <f>19.6452 * CHOOSE(CONTROL!$C$22, $C$13, 100%, $E$13)</f>
        <v>19.645199999999999</v>
      </c>
      <c r="G941" s="64">
        <f>19.6473 * CHOOSE(CONTROL!$C$22, $C$13, 100%, $E$13)</f>
        <v>19.647300000000001</v>
      </c>
      <c r="H941" s="64">
        <f>31.7838* CHOOSE(CONTROL!$C$22, $C$13, 100%, $E$13)</f>
        <v>31.783799999999999</v>
      </c>
      <c r="I941" s="64">
        <f>31.786 * CHOOSE(CONTROL!$C$22, $C$13, 100%, $E$13)</f>
        <v>31.786000000000001</v>
      </c>
      <c r="J941" s="64">
        <f>19.6452 * CHOOSE(CONTROL!$C$22, $C$13, 100%, $E$13)</f>
        <v>19.645199999999999</v>
      </c>
      <c r="K941" s="64">
        <f>19.6473 * CHOOSE(CONTROL!$C$22, $C$13, 100%, $E$13)</f>
        <v>19.647300000000001</v>
      </c>
    </row>
    <row r="942" spans="1:11" ht="15">
      <c r="A942" s="13">
        <v>70311</v>
      </c>
      <c r="B942" s="63">
        <f>16.837 * CHOOSE(CONTROL!$C$22, $C$13, 100%, $E$13)</f>
        <v>16.837</v>
      </c>
      <c r="C942" s="63">
        <f>16.837 * CHOOSE(CONTROL!$C$22, $C$13, 100%, $E$13)</f>
        <v>16.837</v>
      </c>
      <c r="D942" s="63">
        <f>16.8716 * CHOOSE(CONTROL!$C$22, $C$13, 100%, $E$13)</f>
        <v>16.871600000000001</v>
      </c>
      <c r="E942" s="64">
        <f>20.0177 * CHOOSE(CONTROL!$C$22, $C$13, 100%, $E$13)</f>
        <v>20.017700000000001</v>
      </c>
      <c r="F942" s="64">
        <f>20.0177 * CHOOSE(CONTROL!$C$22, $C$13, 100%, $E$13)</f>
        <v>20.017700000000001</v>
      </c>
      <c r="G942" s="64">
        <f>20.0198 * CHOOSE(CONTROL!$C$22, $C$13, 100%, $E$13)</f>
        <v>20.0198</v>
      </c>
      <c r="H942" s="64">
        <f>31.8501* CHOOSE(CONTROL!$C$22, $C$13, 100%, $E$13)</f>
        <v>31.850100000000001</v>
      </c>
      <c r="I942" s="64">
        <f>31.8522 * CHOOSE(CONTROL!$C$22, $C$13, 100%, $E$13)</f>
        <v>31.8522</v>
      </c>
      <c r="J942" s="64">
        <f>20.0177 * CHOOSE(CONTROL!$C$22, $C$13, 100%, $E$13)</f>
        <v>20.017700000000001</v>
      </c>
      <c r="K942" s="64">
        <f>20.0198 * CHOOSE(CONTROL!$C$22, $C$13, 100%, $E$13)</f>
        <v>20.0198</v>
      </c>
    </row>
    <row r="943" spans="1:11" ht="15">
      <c r="A943" s="13">
        <v>70342</v>
      </c>
      <c r="B943" s="63">
        <f>16.8436 * CHOOSE(CONTROL!$C$22, $C$13, 100%, $E$13)</f>
        <v>16.843599999999999</v>
      </c>
      <c r="C943" s="63">
        <f>16.8436 * CHOOSE(CONTROL!$C$22, $C$13, 100%, $E$13)</f>
        <v>16.843599999999999</v>
      </c>
      <c r="D943" s="63">
        <f>16.8783 * CHOOSE(CONTROL!$C$22, $C$13, 100%, $E$13)</f>
        <v>16.878299999999999</v>
      </c>
      <c r="E943" s="64">
        <f>19.8189 * CHOOSE(CONTROL!$C$22, $C$13, 100%, $E$13)</f>
        <v>19.818899999999999</v>
      </c>
      <c r="F943" s="64">
        <f>19.8189 * CHOOSE(CONTROL!$C$22, $C$13, 100%, $E$13)</f>
        <v>19.818899999999999</v>
      </c>
      <c r="G943" s="64">
        <f>19.821 * CHOOSE(CONTROL!$C$22, $C$13, 100%, $E$13)</f>
        <v>19.821000000000002</v>
      </c>
      <c r="H943" s="64">
        <f>31.9164* CHOOSE(CONTROL!$C$22, $C$13, 100%, $E$13)</f>
        <v>31.916399999999999</v>
      </c>
      <c r="I943" s="64">
        <f>31.9186 * CHOOSE(CONTROL!$C$22, $C$13, 100%, $E$13)</f>
        <v>31.918600000000001</v>
      </c>
      <c r="J943" s="64">
        <f>19.8189 * CHOOSE(CONTROL!$C$22, $C$13, 100%, $E$13)</f>
        <v>19.818899999999999</v>
      </c>
      <c r="K943" s="64">
        <f>19.821 * CHOOSE(CONTROL!$C$22, $C$13, 100%, $E$13)</f>
        <v>19.821000000000002</v>
      </c>
    </row>
    <row r="944" spans="1:11" ht="15">
      <c r="A944" s="13">
        <v>70373</v>
      </c>
      <c r="B944" s="63">
        <f>16.8406 * CHOOSE(CONTROL!$C$22, $C$13, 100%, $E$13)</f>
        <v>16.840599999999998</v>
      </c>
      <c r="C944" s="63">
        <f>16.8406 * CHOOSE(CONTROL!$C$22, $C$13, 100%, $E$13)</f>
        <v>16.840599999999998</v>
      </c>
      <c r="D944" s="63">
        <f>16.8753 * CHOOSE(CONTROL!$C$22, $C$13, 100%, $E$13)</f>
        <v>16.875299999999999</v>
      </c>
      <c r="E944" s="64">
        <f>19.7941 * CHOOSE(CONTROL!$C$22, $C$13, 100%, $E$13)</f>
        <v>19.7941</v>
      </c>
      <c r="F944" s="64">
        <f>19.7941 * CHOOSE(CONTROL!$C$22, $C$13, 100%, $E$13)</f>
        <v>19.7941</v>
      </c>
      <c r="G944" s="64">
        <f>19.7963 * CHOOSE(CONTROL!$C$22, $C$13, 100%, $E$13)</f>
        <v>19.796299999999999</v>
      </c>
      <c r="H944" s="64">
        <f>31.9829* CHOOSE(CONTROL!$C$22, $C$13, 100%, $E$13)</f>
        <v>31.982900000000001</v>
      </c>
      <c r="I944" s="64">
        <f>31.9851 * CHOOSE(CONTROL!$C$22, $C$13, 100%, $E$13)</f>
        <v>31.985099999999999</v>
      </c>
      <c r="J944" s="64">
        <f>19.7941 * CHOOSE(CONTROL!$C$22, $C$13, 100%, $E$13)</f>
        <v>19.7941</v>
      </c>
      <c r="K944" s="64">
        <f>19.7963 * CHOOSE(CONTROL!$C$22, $C$13, 100%, $E$13)</f>
        <v>19.796299999999999</v>
      </c>
    </row>
    <row r="945" spans="1:11" ht="15">
      <c r="A945" s="13">
        <v>70403</v>
      </c>
      <c r="B945" s="63">
        <f>16.8777 * CHOOSE(CONTROL!$C$22, $C$13, 100%, $E$13)</f>
        <v>16.877700000000001</v>
      </c>
      <c r="C945" s="63">
        <f>16.8777 * CHOOSE(CONTROL!$C$22, $C$13, 100%, $E$13)</f>
        <v>16.877700000000001</v>
      </c>
      <c r="D945" s="63">
        <f>16.895 * CHOOSE(CONTROL!$C$22, $C$13, 100%, $E$13)</f>
        <v>16.895</v>
      </c>
      <c r="E945" s="64">
        <f>19.8711 * CHOOSE(CONTROL!$C$22, $C$13, 100%, $E$13)</f>
        <v>19.871099999999998</v>
      </c>
      <c r="F945" s="64">
        <f>19.8711 * CHOOSE(CONTROL!$C$22, $C$13, 100%, $E$13)</f>
        <v>19.871099999999998</v>
      </c>
      <c r="G945" s="64">
        <f>19.8713 * CHOOSE(CONTROL!$C$22, $C$13, 100%, $E$13)</f>
        <v>19.871300000000002</v>
      </c>
      <c r="H945" s="64">
        <f>32.0495* CHOOSE(CONTROL!$C$22, $C$13, 100%, $E$13)</f>
        <v>32.049500000000002</v>
      </c>
      <c r="I945" s="64">
        <f>32.0497 * CHOOSE(CONTROL!$C$22, $C$13, 100%, $E$13)</f>
        <v>32.049700000000001</v>
      </c>
      <c r="J945" s="64">
        <f>19.8711 * CHOOSE(CONTROL!$C$22, $C$13, 100%, $E$13)</f>
        <v>19.871099999999998</v>
      </c>
      <c r="K945" s="64">
        <f>19.8713 * CHOOSE(CONTROL!$C$22, $C$13, 100%, $E$13)</f>
        <v>19.871300000000002</v>
      </c>
    </row>
    <row r="946" spans="1:11" ht="15">
      <c r="A946" s="13">
        <v>70434</v>
      </c>
      <c r="B946" s="63">
        <f>16.8807 * CHOOSE(CONTROL!$C$22, $C$13, 100%, $E$13)</f>
        <v>16.880700000000001</v>
      </c>
      <c r="C946" s="63">
        <f>16.8807 * CHOOSE(CONTROL!$C$22, $C$13, 100%, $E$13)</f>
        <v>16.880700000000001</v>
      </c>
      <c r="D946" s="63">
        <f>16.898 * CHOOSE(CONTROL!$C$22, $C$13, 100%, $E$13)</f>
        <v>16.898</v>
      </c>
      <c r="E946" s="64">
        <f>19.9185 * CHOOSE(CONTROL!$C$22, $C$13, 100%, $E$13)</f>
        <v>19.918500000000002</v>
      </c>
      <c r="F946" s="64">
        <f>19.9185 * CHOOSE(CONTROL!$C$22, $C$13, 100%, $E$13)</f>
        <v>19.918500000000002</v>
      </c>
      <c r="G946" s="64">
        <f>19.9187 * CHOOSE(CONTROL!$C$22, $C$13, 100%, $E$13)</f>
        <v>19.918700000000001</v>
      </c>
      <c r="H946" s="64">
        <f>32.1163* CHOOSE(CONTROL!$C$22, $C$13, 100%, $E$13)</f>
        <v>32.116300000000003</v>
      </c>
      <c r="I946" s="64">
        <f>32.1165 * CHOOSE(CONTROL!$C$22, $C$13, 100%, $E$13)</f>
        <v>32.116500000000002</v>
      </c>
      <c r="J946" s="64">
        <f>19.9185 * CHOOSE(CONTROL!$C$22, $C$13, 100%, $E$13)</f>
        <v>19.918500000000002</v>
      </c>
      <c r="K946" s="64">
        <f>19.9187 * CHOOSE(CONTROL!$C$22, $C$13, 100%, $E$13)</f>
        <v>19.918700000000001</v>
      </c>
    </row>
    <row r="947" spans="1:11" ht="15">
      <c r="A947" s="13">
        <v>70464</v>
      </c>
      <c r="B947" s="63">
        <f>16.8807 * CHOOSE(CONTROL!$C$22, $C$13, 100%, $E$13)</f>
        <v>16.880700000000001</v>
      </c>
      <c r="C947" s="63">
        <f>16.8807 * CHOOSE(CONTROL!$C$22, $C$13, 100%, $E$13)</f>
        <v>16.880700000000001</v>
      </c>
      <c r="D947" s="63">
        <f>16.898 * CHOOSE(CONTROL!$C$22, $C$13, 100%, $E$13)</f>
        <v>16.898</v>
      </c>
      <c r="E947" s="64">
        <f>19.8054 * CHOOSE(CONTROL!$C$22, $C$13, 100%, $E$13)</f>
        <v>19.805399999999999</v>
      </c>
      <c r="F947" s="64">
        <f>19.8054 * CHOOSE(CONTROL!$C$22, $C$13, 100%, $E$13)</f>
        <v>19.805399999999999</v>
      </c>
      <c r="G947" s="64">
        <f>19.8056 * CHOOSE(CONTROL!$C$22, $C$13, 100%, $E$13)</f>
        <v>19.805599999999998</v>
      </c>
      <c r="H947" s="64">
        <f>32.1832* CHOOSE(CONTROL!$C$22, $C$13, 100%, $E$13)</f>
        <v>32.183199999999999</v>
      </c>
      <c r="I947" s="64">
        <f>32.1834 * CHOOSE(CONTROL!$C$22, $C$13, 100%, $E$13)</f>
        <v>32.183399999999999</v>
      </c>
      <c r="J947" s="64">
        <f>19.8054 * CHOOSE(CONTROL!$C$22, $C$13, 100%, $E$13)</f>
        <v>19.805399999999999</v>
      </c>
      <c r="K947" s="64">
        <f>19.8056 * CHOOSE(CONTROL!$C$22, $C$13, 100%, $E$13)</f>
        <v>19.805599999999998</v>
      </c>
    </row>
    <row r="948" spans="1:11" ht="15">
      <c r="A948" s="13">
        <v>70495</v>
      </c>
      <c r="B948" s="63">
        <f>16.8153 * CHOOSE(CONTROL!$C$22, $C$13, 100%, $E$13)</f>
        <v>16.815300000000001</v>
      </c>
      <c r="C948" s="63">
        <f>16.8153 * CHOOSE(CONTROL!$C$22, $C$13, 100%, $E$13)</f>
        <v>16.815300000000001</v>
      </c>
      <c r="D948" s="63">
        <f>16.8327 * CHOOSE(CONTROL!$C$22, $C$13, 100%, $E$13)</f>
        <v>16.832699999999999</v>
      </c>
      <c r="E948" s="64">
        <f>19.8062 * CHOOSE(CONTROL!$C$22, $C$13, 100%, $E$13)</f>
        <v>19.8062</v>
      </c>
      <c r="F948" s="64">
        <f>19.8062 * CHOOSE(CONTROL!$C$22, $C$13, 100%, $E$13)</f>
        <v>19.8062</v>
      </c>
      <c r="G948" s="64">
        <f>19.8064 * CHOOSE(CONTROL!$C$22, $C$13, 100%, $E$13)</f>
        <v>19.8064</v>
      </c>
      <c r="H948" s="64">
        <f>31.9007* CHOOSE(CONTROL!$C$22, $C$13, 100%, $E$13)</f>
        <v>31.900700000000001</v>
      </c>
      <c r="I948" s="64">
        <f>31.9009 * CHOOSE(CONTROL!$C$22, $C$13, 100%, $E$13)</f>
        <v>31.9009</v>
      </c>
      <c r="J948" s="64">
        <f>19.8062 * CHOOSE(CONTROL!$C$22, $C$13, 100%, $E$13)</f>
        <v>19.8062</v>
      </c>
      <c r="K948" s="64">
        <f>19.8064 * CHOOSE(CONTROL!$C$22, $C$13, 100%, $E$13)</f>
        <v>19.8064</v>
      </c>
    </row>
    <row r="949" spans="1:11" ht="15">
      <c r="A949" s="13">
        <v>70526</v>
      </c>
      <c r="B949" s="63">
        <f>16.8123 * CHOOSE(CONTROL!$C$22, $C$13, 100%, $E$13)</f>
        <v>16.8123</v>
      </c>
      <c r="C949" s="63">
        <f>16.8123 * CHOOSE(CONTROL!$C$22, $C$13, 100%, $E$13)</f>
        <v>16.8123</v>
      </c>
      <c r="D949" s="63">
        <f>16.8296 * CHOOSE(CONTROL!$C$22, $C$13, 100%, $E$13)</f>
        <v>16.829599999999999</v>
      </c>
      <c r="E949" s="64">
        <f>19.5872 * CHOOSE(CONTROL!$C$22, $C$13, 100%, $E$13)</f>
        <v>19.587199999999999</v>
      </c>
      <c r="F949" s="64">
        <f>19.5872 * CHOOSE(CONTROL!$C$22, $C$13, 100%, $E$13)</f>
        <v>19.587199999999999</v>
      </c>
      <c r="G949" s="64">
        <f>19.5874 * CHOOSE(CONTROL!$C$22, $C$13, 100%, $E$13)</f>
        <v>19.587399999999999</v>
      </c>
      <c r="H949" s="64">
        <f>31.9672* CHOOSE(CONTROL!$C$22, $C$13, 100%, $E$13)</f>
        <v>31.967199999999998</v>
      </c>
      <c r="I949" s="64">
        <f>31.9674 * CHOOSE(CONTROL!$C$22, $C$13, 100%, $E$13)</f>
        <v>31.967400000000001</v>
      </c>
      <c r="J949" s="64">
        <f>19.5872 * CHOOSE(CONTROL!$C$22, $C$13, 100%, $E$13)</f>
        <v>19.587199999999999</v>
      </c>
      <c r="K949" s="64">
        <f>19.5874 * CHOOSE(CONTROL!$C$22, $C$13, 100%, $E$13)</f>
        <v>19.587399999999999</v>
      </c>
    </row>
    <row r="950" spans="1:11" ht="15">
      <c r="A950" s="13">
        <v>70554</v>
      </c>
      <c r="B950" s="63">
        <f>16.8092 * CHOOSE(CONTROL!$C$22, $C$13, 100%, $E$13)</f>
        <v>16.809200000000001</v>
      </c>
      <c r="C950" s="63">
        <f>16.8092 * CHOOSE(CONTROL!$C$22, $C$13, 100%, $E$13)</f>
        <v>16.809200000000001</v>
      </c>
      <c r="D950" s="63">
        <f>16.8266 * CHOOSE(CONTROL!$C$22, $C$13, 100%, $E$13)</f>
        <v>16.826599999999999</v>
      </c>
      <c r="E950" s="64">
        <f>19.756 * CHOOSE(CONTROL!$C$22, $C$13, 100%, $E$13)</f>
        <v>19.756</v>
      </c>
      <c r="F950" s="64">
        <f>19.756 * CHOOSE(CONTROL!$C$22, $C$13, 100%, $E$13)</f>
        <v>19.756</v>
      </c>
      <c r="G950" s="64">
        <f>19.7562 * CHOOSE(CONTROL!$C$22, $C$13, 100%, $E$13)</f>
        <v>19.7562</v>
      </c>
      <c r="H950" s="64">
        <f>32.0338* CHOOSE(CONTROL!$C$22, $C$13, 100%, $E$13)</f>
        <v>32.033799999999999</v>
      </c>
      <c r="I950" s="64">
        <f>32.034 * CHOOSE(CONTROL!$C$22, $C$13, 100%, $E$13)</f>
        <v>32.033999999999999</v>
      </c>
      <c r="J950" s="64">
        <f>19.756 * CHOOSE(CONTROL!$C$22, $C$13, 100%, $E$13)</f>
        <v>19.756</v>
      </c>
      <c r="K950" s="64">
        <f>19.7562 * CHOOSE(CONTROL!$C$22, $C$13, 100%, $E$13)</f>
        <v>19.7562</v>
      </c>
    </row>
    <row r="951" spans="1:11" ht="15">
      <c r="A951" s="13">
        <v>70585</v>
      </c>
      <c r="B951" s="63">
        <f>16.8178 * CHOOSE(CONTROL!$C$22, $C$13, 100%, $E$13)</f>
        <v>16.817799999999998</v>
      </c>
      <c r="C951" s="63">
        <f>16.8178 * CHOOSE(CONTROL!$C$22, $C$13, 100%, $E$13)</f>
        <v>16.817799999999998</v>
      </c>
      <c r="D951" s="63">
        <f>16.8351 * CHOOSE(CONTROL!$C$22, $C$13, 100%, $E$13)</f>
        <v>16.835100000000001</v>
      </c>
      <c r="E951" s="64">
        <f>19.9354 * CHOOSE(CONTROL!$C$22, $C$13, 100%, $E$13)</f>
        <v>19.935400000000001</v>
      </c>
      <c r="F951" s="64">
        <f>19.9354 * CHOOSE(CONTROL!$C$22, $C$13, 100%, $E$13)</f>
        <v>19.935400000000001</v>
      </c>
      <c r="G951" s="64">
        <f>19.9356 * CHOOSE(CONTROL!$C$22, $C$13, 100%, $E$13)</f>
        <v>19.935600000000001</v>
      </c>
      <c r="H951" s="64">
        <f>32.1005* CHOOSE(CONTROL!$C$22, $C$13, 100%, $E$13)</f>
        <v>32.100499999999997</v>
      </c>
      <c r="I951" s="64">
        <f>32.1007 * CHOOSE(CONTROL!$C$22, $C$13, 100%, $E$13)</f>
        <v>32.100700000000003</v>
      </c>
      <c r="J951" s="64">
        <f>19.9354 * CHOOSE(CONTROL!$C$22, $C$13, 100%, $E$13)</f>
        <v>19.935400000000001</v>
      </c>
      <c r="K951" s="64">
        <f>19.9356 * CHOOSE(CONTROL!$C$22, $C$13, 100%, $E$13)</f>
        <v>19.935600000000001</v>
      </c>
    </row>
    <row r="952" spans="1:11" ht="15">
      <c r="A952" s="13">
        <v>70615</v>
      </c>
      <c r="B952" s="63">
        <f>16.8178 * CHOOSE(CONTROL!$C$22, $C$13, 100%, $E$13)</f>
        <v>16.817799999999998</v>
      </c>
      <c r="C952" s="63">
        <f>16.8178 * CHOOSE(CONTROL!$C$22, $C$13, 100%, $E$13)</f>
        <v>16.817799999999998</v>
      </c>
      <c r="D952" s="63">
        <f>16.8524 * CHOOSE(CONTROL!$C$22, $C$13, 100%, $E$13)</f>
        <v>16.852399999999999</v>
      </c>
      <c r="E952" s="64">
        <f>20.0042 * CHOOSE(CONTROL!$C$22, $C$13, 100%, $E$13)</f>
        <v>20.004200000000001</v>
      </c>
      <c r="F952" s="64">
        <f>20.0042 * CHOOSE(CONTROL!$C$22, $C$13, 100%, $E$13)</f>
        <v>20.004200000000001</v>
      </c>
      <c r="G952" s="64">
        <f>20.0064 * CHOOSE(CONTROL!$C$22, $C$13, 100%, $E$13)</f>
        <v>20.006399999999999</v>
      </c>
      <c r="H952" s="64">
        <f>32.1674* CHOOSE(CONTROL!$C$22, $C$13, 100%, $E$13)</f>
        <v>32.167400000000001</v>
      </c>
      <c r="I952" s="64">
        <f>32.1695 * CHOOSE(CONTROL!$C$22, $C$13, 100%, $E$13)</f>
        <v>32.169499999999999</v>
      </c>
      <c r="J952" s="64">
        <f>20.0042 * CHOOSE(CONTROL!$C$22, $C$13, 100%, $E$13)</f>
        <v>20.004200000000001</v>
      </c>
      <c r="K952" s="64">
        <f>20.0064 * CHOOSE(CONTROL!$C$22, $C$13, 100%, $E$13)</f>
        <v>20.006399999999999</v>
      </c>
    </row>
    <row r="953" spans="1:11" ht="15">
      <c r="A953" s="13">
        <v>70646</v>
      </c>
      <c r="B953" s="63">
        <f>16.8239 * CHOOSE(CONTROL!$C$22, $C$13, 100%, $E$13)</f>
        <v>16.823899999999998</v>
      </c>
      <c r="C953" s="63">
        <f>16.8239 * CHOOSE(CONTROL!$C$22, $C$13, 100%, $E$13)</f>
        <v>16.823899999999998</v>
      </c>
      <c r="D953" s="63">
        <f>16.8585 * CHOOSE(CONTROL!$C$22, $C$13, 100%, $E$13)</f>
        <v>16.858499999999999</v>
      </c>
      <c r="E953" s="64">
        <f>19.9396 * CHOOSE(CONTROL!$C$22, $C$13, 100%, $E$13)</f>
        <v>19.939599999999999</v>
      </c>
      <c r="F953" s="64">
        <f>19.9396 * CHOOSE(CONTROL!$C$22, $C$13, 100%, $E$13)</f>
        <v>19.939599999999999</v>
      </c>
      <c r="G953" s="64">
        <f>19.9418 * CHOOSE(CONTROL!$C$22, $C$13, 100%, $E$13)</f>
        <v>19.941800000000001</v>
      </c>
      <c r="H953" s="64">
        <f>32.2344* CHOOSE(CONTROL!$C$22, $C$13, 100%, $E$13)</f>
        <v>32.234400000000001</v>
      </c>
      <c r="I953" s="64">
        <f>32.2365 * CHOOSE(CONTROL!$C$22, $C$13, 100%, $E$13)</f>
        <v>32.236499999999999</v>
      </c>
      <c r="J953" s="64">
        <f>19.9396 * CHOOSE(CONTROL!$C$22, $C$13, 100%, $E$13)</f>
        <v>19.939599999999999</v>
      </c>
      <c r="K953" s="64">
        <f>19.9418 * CHOOSE(CONTROL!$C$22, $C$13, 100%, $E$13)</f>
        <v>19.941800000000001</v>
      </c>
    </row>
    <row r="954" spans="1:11" ht="15">
      <c r="A954" s="13">
        <v>70676</v>
      </c>
      <c r="B954" s="63">
        <f>17.0862 * CHOOSE(CONTROL!$C$22, $C$13, 100%, $E$13)</f>
        <v>17.086200000000002</v>
      </c>
      <c r="C954" s="63">
        <f>17.0862 * CHOOSE(CONTROL!$C$22, $C$13, 100%, $E$13)</f>
        <v>17.086200000000002</v>
      </c>
      <c r="D954" s="63">
        <f>17.1208 * CHOOSE(CONTROL!$C$22, $C$13, 100%, $E$13)</f>
        <v>17.120799999999999</v>
      </c>
      <c r="E954" s="64">
        <f>20.3175 * CHOOSE(CONTROL!$C$22, $C$13, 100%, $E$13)</f>
        <v>20.317499999999999</v>
      </c>
      <c r="F954" s="64">
        <f>20.3175 * CHOOSE(CONTROL!$C$22, $C$13, 100%, $E$13)</f>
        <v>20.317499999999999</v>
      </c>
      <c r="G954" s="64">
        <f>20.3197 * CHOOSE(CONTROL!$C$22, $C$13, 100%, $E$13)</f>
        <v>20.319700000000001</v>
      </c>
      <c r="H954" s="64">
        <f>32.3016* CHOOSE(CONTROL!$C$22, $C$13, 100%, $E$13)</f>
        <v>32.301600000000001</v>
      </c>
      <c r="I954" s="64">
        <f>32.3037 * CHOOSE(CONTROL!$C$22, $C$13, 100%, $E$13)</f>
        <v>32.303699999999999</v>
      </c>
      <c r="J954" s="64">
        <f>20.3175 * CHOOSE(CONTROL!$C$22, $C$13, 100%, $E$13)</f>
        <v>20.317499999999999</v>
      </c>
      <c r="K954" s="64">
        <f>20.3197 * CHOOSE(CONTROL!$C$22, $C$13, 100%, $E$13)</f>
        <v>20.319700000000001</v>
      </c>
    </row>
    <row r="955" spans="1:11" ht="15">
      <c r="A955" s="13">
        <v>70707</v>
      </c>
      <c r="B955" s="63">
        <f>17.0929 * CHOOSE(CONTROL!$C$22, $C$13, 100%, $E$13)</f>
        <v>17.0929</v>
      </c>
      <c r="C955" s="63">
        <f>17.0929 * CHOOSE(CONTROL!$C$22, $C$13, 100%, $E$13)</f>
        <v>17.0929</v>
      </c>
      <c r="D955" s="63">
        <f>17.1275 * CHOOSE(CONTROL!$C$22, $C$13, 100%, $E$13)</f>
        <v>17.127500000000001</v>
      </c>
      <c r="E955" s="64">
        <f>20.1157 * CHOOSE(CONTROL!$C$22, $C$13, 100%, $E$13)</f>
        <v>20.1157</v>
      </c>
      <c r="F955" s="64">
        <f>20.1157 * CHOOSE(CONTROL!$C$22, $C$13, 100%, $E$13)</f>
        <v>20.1157</v>
      </c>
      <c r="G955" s="64">
        <f>20.1178 * CHOOSE(CONTROL!$C$22, $C$13, 100%, $E$13)</f>
        <v>20.117799999999999</v>
      </c>
      <c r="H955" s="64">
        <f>32.3689* CHOOSE(CONTROL!$C$22, $C$13, 100%, $E$13)</f>
        <v>32.368899999999996</v>
      </c>
      <c r="I955" s="64">
        <f>32.371 * CHOOSE(CONTROL!$C$22, $C$13, 100%, $E$13)</f>
        <v>32.371000000000002</v>
      </c>
      <c r="J955" s="64">
        <f>20.1157 * CHOOSE(CONTROL!$C$22, $C$13, 100%, $E$13)</f>
        <v>20.1157</v>
      </c>
      <c r="K955" s="64">
        <f>20.1178 * CHOOSE(CONTROL!$C$22, $C$13, 100%, $E$13)</f>
        <v>20.117799999999999</v>
      </c>
    </row>
    <row r="956" spans="1:11" ht="15">
      <c r="A956" s="13">
        <v>70738</v>
      </c>
      <c r="B956" s="63">
        <f>17.0898 * CHOOSE(CONTROL!$C$22, $C$13, 100%, $E$13)</f>
        <v>17.0898</v>
      </c>
      <c r="C956" s="63">
        <f>17.0898 * CHOOSE(CONTROL!$C$22, $C$13, 100%, $E$13)</f>
        <v>17.0898</v>
      </c>
      <c r="D956" s="63">
        <f>17.1245 * CHOOSE(CONTROL!$C$22, $C$13, 100%, $E$13)</f>
        <v>17.124500000000001</v>
      </c>
      <c r="E956" s="64">
        <f>20.0906 * CHOOSE(CONTROL!$C$22, $C$13, 100%, $E$13)</f>
        <v>20.090599999999998</v>
      </c>
      <c r="F956" s="64">
        <f>20.0906 * CHOOSE(CONTROL!$C$22, $C$13, 100%, $E$13)</f>
        <v>20.090599999999998</v>
      </c>
      <c r="G956" s="64">
        <f>20.0928 * CHOOSE(CONTROL!$C$22, $C$13, 100%, $E$13)</f>
        <v>20.0928</v>
      </c>
      <c r="H956" s="64">
        <f>32.4363* CHOOSE(CONTROL!$C$22, $C$13, 100%, $E$13)</f>
        <v>32.436300000000003</v>
      </c>
      <c r="I956" s="64">
        <f>32.4384 * CHOOSE(CONTROL!$C$22, $C$13, 100%, $E$13)</f>
        <v>32.438400000000001</v>
      </c>
      <c r="J956" s="64">
        <f>20.0906 * CHOOSE(CONTROL!$C$22, $C$13, 100%, $E$13)</f>
        <v>20.090599999999998</v>
      </c>
      <c r="K956" s="64">
        <f>20.0928 * CHOOSE(CONTROL!$C$22, $C$13, 100%, $E$13)</f>
        <v>20.0928</v>
      </c>
    </row>
    <row r="957" spans="1:11" ht="15">
      <c r="A957" s="13">
        <v>70768</v>
      </c>
      <c r="B957" s="63">
        <f>17.1277 * CHOOSE(CONTROL!$C$22, $C$13, 100%, $E$13)</f>
        <v>17.127700000000001</v>
      </c>
      <c r="C957" s="63">
        <f>17.1277 * CHOOSE(CONTROL!$C$22, $C$13, 100%, $E$13)</f>
        <v>17.127700000000001</v>
      </c>
      <c r="D957" s="63">
        <f>17.145 * CHOOSE(CONTROL!$C$22, $C$13, 100%, $E$13)</f>
        <v>17.145</v>
      </c>
      <c r="E957" s="64">
        <f>20.169 * CHOOSE(CONTROL!$C$22, $C$13, 100%, $E$13)</f>
        <v>20.169</v>
      </c>
      <c r="F957" s="64">
        <f>20.169 * CHOOSE(CONTROL!$C$22, $C$13, 100%, $E$13)</f>
        <v>20.169</v>
      </c>
      <c r="G957" s="64">
        <f>20.1692 * CHOOSE(CONTROL!$C$22, $C$13, 100%, $E$13)</f>
        <v>20.1692</v>
      </c>
      <c r="H957" s="64">
        <f>32.5039* CHOOSE(CONTROL!$C$22, $C$13, 100%, $E$13)</f>
        <v>32.503900000000002</v>
      </c>
      <c r="I957" s="64">
        <f>32.504 * CHOOSE(CONTROL!$C$22, $C$13, 100%, $E$13)</f>
        <v>32.503999999999998</v>
      </c>
      <c r="J957" s="64">
        <f>20.169 * CHOOSE(CONTROL!$C$22, $C$13, 100%, $E$13)</f>
        <v>20.169</v>
      </c>
      <c r="K957" s="64">
        <f>20.1692 * CHOOSE(CONTROL!$C$22, $C$13, 100%, $E$13)</f>
        <v>20.1692</v>
      </c>
    </row>
    <row r="958" spans="1:11" ht="15">
      <c r="A958" s="13">
        <v>70799</v>
      </c>
      <c r="B958" s="63">
        <f>17.1307 * CHOOSE(CONTROL!$C$22, $C$13, 100%, $E$13)</f>
        <v>17.130700000000001</v>
      </c>
      <c r="C958" s="63">
        <f>17.1307 * CHOOSE(CONTROL!$C$22, $C$13, 100%, $E$13)</f>
        <v>17.130700000000001</v>
      </c>
      <c r="D958" s="63">
        <f>17.148 * CHOOSE(CONTROL!$C$22, $C$13, 100%, $E$13)</f>
        <v>17.148</v>
      </c>
      <c r="E958" s="64">
        <f>20.217 * CHOOSE(CONTROL!$C$22, $C$13, 100%, $E$13)</f>
        <v>20.216999999999999</v>
      </c>
      <c r="F958" s="64">
        <f>20.217 * CHOOSE(CONTROL!$C$22, $C$13, 100%, $E$13)</f>
        <v>20.216999999999999</v>
      </c>
      <c r="G958" s="64">
        <f>20.2172 * CHOOSE(CONTROL!$C$22, $C$13, 100%, $E$13)</f>
        <v>20.217199999999998</v>
      </c>
      <c r="H958" s="64">
        <f>32.5716* CHOOSE(CONTROL!$C$22, $C$13, 100%, $E$13)</f>
        <v>32.571599999999997</v>
      </c>
      <c r="I958" s="64">
        <f>32.5718 * CHOOSE(CONTROL!$C$22, $C$13, 100%, $E$13)</f>
        <v>32.571800000000003</v>
      </c>
      <c r="J958" s="64">
        <f>20.217 * CHOOSE(CONTROL!$C$22, $C$13, 100%, $E$13)</f>
        <v>20.216999999999999</v>
      </c>
      <c r="K958" s="64">
        <f>20.2172 * CHOOSE(CONTROL!$C$22, $C$13, 100%, $E$13)</f>
        <v>20.217199999999998</v>
      </c>
    </row>
    <row r="959" spans="1:11" ht="15">
      <c r="A959" s="13">
        <v>70829</v>
      </c>
      <c r="B959" s="63">
        <f>17.1307 * CHOOSE(CONTROL!$C$22, $C$13, 100%, $E$13)</f>
        <v>17.130700000000001</v>
      </c>
      <c r="C959" s="63">
        <f>17.1307 * CHOOSE(CONTROL!$C$22, $C$13, 100%, $E$13)</f>
        <v>17.130700000000001</v>
      </c>
      <c r="D959" s="63">
        <f>17.148 * CHOOSE(CONTROL!$C$22, $C$13, 100%, $E$13)</f>
        <v>17.148</v>
      </c>
      <c r="E959" s="64">
        <f>20.1023 * CHOOSE(CONTROL!$C$22, $C$13, 100%, $E$13)</f>
        <v>20.1023</v>
      </c>
      <c r="F959" s="64">
        <f>20.1023 * CHOOSE(CONTROL!$C$22, $C$13, 100%, $E$13)</f>
        <v>20.1023</v>
      </c>
      <c r="G959" s="64">
        <f>20.1024 * CHOOSE(CONTROL!$C$22, $C$13, 100%, $E$13)</f>
        <v>20.102399999999999</v>
      </c>
      <c r="H959" s="64">
        <f>32.6394* CHOOSE(CONTROL!$C$22, $C$13, 100%, $E$13)</f>
        <v>32.639400000000002</v>
      </c>
      <c r="I959" s="64">
        <f>32.6396 * CHOOSE(CONTROL!$C$22, $C$13, 100%, $E$13)</f>
        <v>32.639600000000002</v>
      </c>
      <c r="J959" s="64">
        <f>20.1023 * CHOOSE(CONTROL!$C$22, $C$13, 100%, $E$13)</f>
        <v>20.1023</v>
      </c>
      <c r="K959" s="64">
        <f>20.1024 * CHOOSE(CONTROL!$C$22, $C$13, 100%, $E$13)</f>
        <v>20.102399999999999</v>
      </c>
    </row>
    <row r="960" spans="1:11" ht="15">
      <c r="A960" s="13">
        <v>70860</v>
      </c>
      <c r="B960" s="63">
        <f>17.0606 * CHOOSE(CONTROL!$C$22, $C$13, 100%, $E$13)</f>
        <v>17.060600000000001</v>
      </c>
      <c r="C960" s="63">
        <f>17.0606 * CHOOSE(CONTROL!$C$22, $C$13, 100%, $E$13)</f>
        <v>17.060600000000001</v>
      </c>
      <c r="D960" s="63">
        <f>17.078 * CHOOSE(CONTROL!$C$22, $C$13, 100%, $E$13)</f>
        <v>17.077999999999999</v>
      </c>
      <c r="E960" s="64">
        <f>20.0986 * CHOOSE(CONTROL!$C$22, $C$13, 100%, $E$13)</f>
        <v>20.098600000000001</v>
      </c>
      <c r="F960" s="64">
        <f>20.0986 * CHOOSE(CONTROL!$C$22, $C$13, 100%, $E$13)</f>
        <v>20.098600000000001</v>
      </c>
      <c r="G960" s="64">
        <f>20.0988 * CHOOSE(CONTROL!$C$22, $C$13, 100%, $E$13)</f>
        <v>20.098800000000001</v>
      </c>
      <c r="H960" s="64">
        <f>32.3466* CHOOSE(CONTROL!$C$22, $C$13, 100%, $E$13)</f>
        <v>32.346600000000002</v>
      </c>
      <c r="I960" s="64">
        <f>32.3468 * CHOOSE(CONTROL!$C$22, $C$13, 100%, $E$13)</f>
        <v>32.346800000000002</v>
      </c>
      <c r="J960" s="64">
        <f>20.0986 * CHOOSE(CONTROL!$C$22, $C$13, 100%, $E$13)</f>
        <v>20.098600000000001</v>
      </c>
      <c r="K960" s="64">
        <f>20.0988 * CHOOSE(CONTROL!$C$22, $C$13, 100%, $E$13)</f>
        <v>20.098800000000001</v>
      </c>
    </row>
    <row r="961" spans="1:11" ht="15">
      <c r="A961" s="13">
        <v>70891</v>
      </c>
      <c r="B961" s="63">
        <f>17.0576 * CHOOSE(CONTROL!$C$22, $C$13, 100%, $E$13)</f>
        <v>17.057600000000001</v>
      </c>
      <c r="C961" s="63">
        <f>17.0576 * CHOOSE(CONTROL!$C$22, $C$13, 100%, $E$13)</f>
        <v>17.057600000000001</v>
      </c>
      <c r="D961" s="63">
        <f>17.0749 * CHOOSE(CONTROL!$C$22, $C$13, 100%, $E$13)</f>
        <v>17.0749</v>
      </c>
      <c r="E961" s="64">
        <f>19.8764 * CHOOSE(CONTROL!$C$22, $C$13, 100%, $E$13)</f>
        <v>19.8764</v>
      </c>
      <c r="F961" s="64">
        <f>19.8764 * CHOOSE(CONTROL!$C$22, $C$13, 100%, $E$13)</f>
        <v>19.8764</v>
      </c>
      <c r="G961" s="64">
        <f>19.8766 * CHOOSE(CONTROL!$C$22, $C$13, 100%, $E$13)</f>
        <v>19.8766</v>
      </c>
      <c r="H961" s="64">
        <f>32.414* CHOOSE(CONTROL!$C$22, $C$13, 100%, $E$13)</f>
        <v>32.414000000000001</v>
      </c>
      <c r="I961" s="64">
        <f>32.4142 * CHOOSE(CONTROL!$C$22, $C$13, 100%, $E$13)</f>
        <v>32.414200000000001</v>
      </c>
      <c r="J961" s="64">
        <f>19.8764 * CHOOSE(CONTROL!$C$22, $C$13, 100%, $E$13)</f>
        <v>19.8764</v>
      </c>
      <c r="K961" s="64">
        <f>19.8766 * CHOOSE(CONTROL!$C$22, $C$13, 100%, $E$13)</f>
        <v>19.8766</v>
      </c>
    </row>
    <row r="962" spans="1:11" ht="15">
      <c r="A962" s="13">
        <v>70919</v>
      </c>
      <c r="B962" s="63">
        <f>17.0546 * CHOOSE(CONTROL!$C$22, $C$13, 100%, $E$13)</f>
        <v>17.054600000000001</v>
      </c>
      <c r="C962" s="63">
        <f>17.0546 * CHOOSE(CONTROL!$C$22, $C$13, 100%, $E$13)</f>
        <v>17.054600000000001</v>
      </c>
      <c r="D962" s="63">
        <f>17.0719 * CHOOSE(CONTROL!$C$22, $C$13, 100%, $E$13)</f>
        <v>17.071899999999999</v>
      </c>
      <c r="E962" s="64">
        <f>20.0478 * CHOOSE(CONTROL!$C$22, $C$13, 100%, $E$13)</f>
        <v>20.047799999999999</v>
      </c>
      <c r="F962" s="64">
        <f>20.0478 * CHOOSE(CONTROL!$C$22, $C$13, 100%, $E$13)</f>
        <v>20.047799999999999</v>
      </c>
      <c r="G962" s="64">
        <f>20.048 * CHOOSE(CONTROL!$C$22, $C$13, 100%, $E$13)</f>
        <v>20.047999999999998</v>
      </c>
      <c r="H962" s="64">
        <f>32.4815* CHOOSE(CONTROL!$C$22, $C$13, 100%, $E$13)</f>
        <v>32.481499999999997</v>
      </c>
      <c r="I962" s="64">
        <f>32.4817 * CHOOSE(CONTROL!$C$22, $C$13, 100%, $E$13)</f>
        <v>32.481699999999996</v>
      </c>
      <c r="J962" s="64">
        <f>20.0478 * CHOOSE(CONTROL!$C$22, $C$13, 100%, $E$13)</f>
        <v>20.047799999999999</v>
      </c>
      <c r="K962" s="64">
        <f>20.048 * CHOOSE(CONTROL!$C$22, $C$13, 100%, $E$13)</f>
        <v>20.047999999999998</v>
      </c>
    </row>
    <row r="963" spans="1:11" ht="15">
      <c r="A963" s="13">
        <v>70950</v>
      </c>
      <c r="B963" s="63">
        <f>17.0633 * CHOOSE(CONTROL!$C$22, $C$13, 100%, $E$13)</f>
        <v>17.063300000000002</v>
      </c>
      <c r="C963" s="63">
        <f>17.0633 * CHOOSE(CONTROL!$C$22, $C$13, 100%, $E$13)</f>
        <v>17.063300000000002</v>
      </c>
      <c r="D963" s="63">
        <f>17.0806 * CHOOSE(CONTROL!$C$22, $C$13, 100%, $E$13)</f>
        <v>17.0806</v>
      </c>
      <c r="E963" s="64">
        <f>20.2298 * CHOOSE(CONTROL!$C$22, $C$13, 100%, $E$13)</f>
        <v>20.229800000000001</v>
      </c>
      <c r="F963" s="64">
        <f>20.2298 * CHOOSE(CONTROL!$C$22, $C$13, 100%, $E$13)</f>
        <v>20.229800000000001</v>
      </c>
      <c r="G963" s="64">
        <f>20.23 * CHOOSE(CONTROL!$C$22, $C$13, 100%, $E$13)</f>
        <v>20.23</v>
      </c>
      <c r="H963" s="64">
        <f>32.5492* CHOOSE(CONTROL!$C$22, $C$13, 100%, $E$13)</f>
        <v>32.549199999999999</v>
      </c>
      <c r="I963" s="64">
        <f>32.5494 * CHOOSE(CONTROL!$C$22, $C$13, 100%, $E$13)</f>
        <v>32.549399999999999</v>
      </c>
      <c r="J963" s="64">
        <f>20.2298 * CHOOSE(CONTROL!$C$22, $C$13, 100%, $E$13)</f>
        <v>20.229800000000001</v>
      </c>
      <c r="K963" s="64">
        <f>20.23 * CHOOSE(CONTROL!$C$22, $C$13, 100%, $E$13)</f>
        <v>20.23</v>
      </c>
    </row>
    <row r="964" spans="1:11" ht="15">
      <c r="A964" s="13">
        <v>70980</v>
      </c>
      <c r="B964" s="63">
        <f>17.0633 * CHOOSE(CONTROL!$C$22, $C$13, 100%, $E$13)</f>
        <v>17.063300000000002</v>
      </c>
      <c r="C964" s="63">
        <f>17.0633 * CHOOSE(CONTROL!$C$22, $C$13, 100%, $E$13)</f>
        <v>17.063300000000002</v>
      </c>
      <c r="D964" s="63">
        <f>17.098 * CHOOSE(CONTROL!$C$22, $C$13, 100%, $E$13)</f>
        <v>17.097999999999999</v>
      </c>
      <c r="E964" s="64">
        <f>20.2997 * CHOOSE(CONTROL!$C$22, $C$13, 100%, $E$13)</f>
        <v>20.299700000000001</v>
      </c>
      <c r="F964" s="64">
        <f>20.2997 * CHOOSE(CONTROL!$C$22, $C$13, 100%, $E$13)</f>
        <v>20.299700000000001</v>
      </c>
      <c r="G964" s="64">
        <f>20.3018 * CHOOSE(CONTROL!$C$22, $C$13, 100%, $E$13)</f>
        <v>20.3018</v>
      </c>
      <c r="H964" s="64">
        <f>32.617* CHOOSE(CONTROL!$C$22, $C$13, 100%, $E$13)</f>
        <v>32.616999999999997</v>
      </c>
      <c r="I964" s="64">
        <f>32.6192 * CHOOSE(CONTROL!$C$22, $C$13, 100%, $E$13)</f>
        <v>32.619199999999999</v>
      </c>
      <c r="J964" s="64">
        <f>20.2997 * CHOOSE(CONTROL!$C$22, $C$13, 100%, $E$13)</f>
        <v>20.299700000000001</v>
      </c>
      <c r="K964" s="64">
        <f>20.3018 * CHOOSE(CONTROL!$C$22, $C$13, 100%, $E$13)</f>
        <v>20.3018</v>
      </c>
    </row>
    <row r="965" spans="1:11" ht="15">
      <c r="A965" s="13">
        <v>71011</v>
      </c>
      <c r="B965" s="63">
        <f>17.0694 * CHOOSE(CONTROL!$C$22, $C$13, 100%, $E$13)</f>
        <v>17.069400000000002</v>
      </c>
      <c r="C965" s="63">
        <f>17.0694 * CHOOSE(CONTROL!$C$22, $C$13, 100%, $E$13)</f>
        <v>17.069400000000002</v>
      </c>
      <c r="D965" s="63">
        <f>17.1041 * CHOOSE(CONTROL!$C$22, $C$13, 100%, $E$13)</f>
        <v>17.104099999999999</v>
      </c>
      <c r="E965" s="64">
        <f>20.2341 * CHOOSE(CONTROL!$C$22, $C$13, 100%, $E$13)</f>
        <v>20.234100000000002</v>
      </c>
      <c r="F965" s="64">
        <f>20.2341 * CHOOSE(CONTROL!$C$22, $C$13, 100%, $E$13)</f>
        <v>20.234100000000002</v>
      </c>
      <c r="G965" s="64">
        <f>20.2362 * CHOOSE(CONTROL!$C$22, $C$13, 100%, $E$13)</f>
        <v>20.2362</v>
      </c>
      <c r="H965" s="64">
        <f>32.685* CHOOSE(CONTROL!$C$22, $C$13, 100%, $E$13)</f>
        <v>32.685000000000002</v>
      </c>
      <c r="I965" s="64">
        <f>32.6871 * CHOOSE(CONTROL!$C$22, $C$13, 100%, $E$13)</f>
        <v>32.687100000000001</v>
      </c>
      <c r="J965" s="64">
        <f>20.2341 * CHOOSE(CONTROL!$C$22, $C$13, 100%, $E$13)</f>
        <v>20.234100000000002</v>
      </c>
      <c r="K965" s="64">
        <f>20.2362 * CHOOSE(CONTROL!$C$22, $C$13, 100%, $E$13)</f>
        <v>20.2362</v>
      </c>
    </row>
    <row r="966" spans="1:11" ht="15">
      <c r="A966" s="13">
        <v>71041</v>
      </c>
      <c r="B966" s="63">
        <f>17.3354 * CHOOSE(CONTROL!$C$22, $C$13, 100%, $E$13)</f>
        <v>17.3354</v>
      </c>
      <c r="C966" s="63">
        <f>17.3354 * CHOOSE(CONTROL!$C$22, $C$13, 100%, $E$13)</f>
        <v>17.3354</v>
      </c>
      <c r="D966" s="63">
        <f>17.37 * CHOOSE(CONTROL!$C$22, $C$13, 100%, $E$13)</f>
        <v>17.37</v>
      </c>
      <c r="E966" s="64">
        <f>20.6174 * CHOOSE(CONTROL!$C$22, $C$13, 100%, $E$13)</f>
        <v>20.6174</v>
      </c>
      <c r="F966" s="64">
        <f>20.6174 * CHOOSE(CONTROL!$C$22, $C$13, 100%, $E$13)</f>
        <v>20.6174</v>
      </c>
      <c r="G966" s="64">
        <f>20.6196 * CHOOSE(CONTROL!$C$22, $C$13, 100%, $E$13)</f>
        <v>20.619599999999998</v>
      </c>
      <c r="H966" s="64">
        <f>32.7531* CHOOSE(CONTROL!$C$22, $C$13, 100%, $E$13)</f>
        <v>32.753100000000003</v>
      </c>
      <c r="I966" s="64">
        <f>32.7552 * CHOOSE(CONTROL!$C$22, $C$13, 100%, $E$13)</f>
        <v>32.755200000000002</v>
      </c>
      <c r="J966" s="64">
        <f>20.6174 * CHOOSE(CONTROL!$C$22, $C$13, 100%, $E$13)</f>
        <v>20.6174</v>
      </c>
      <c r="K966" s="64">
        <f>20.6196 * CHOOSE(CONTROL!$C$22, $C$13, 100%, $E$13)</f>
        <v>20.619599999999998</v>
      </c>
    </row>
    <row r="967" spans="1:11" ht="15">
      <c r="A967" s="13">
        <v>71072</v>
      </c>
      <c r="B967" s="63">
        <f>17.3421 * CHOOSE(CONTROL!$C$22, $C$13, 100%, $E$13)</f>
        <v>17.342099999999999</v>
      </c>
      <c r="C967" s="63">
        <f>17.3421 * CHOOSE(CONTROL!$C$22, $C$13, 100%, $E$13)</f>
        <v>17.342099999999999</v>
      </c>
      <c r="D967" s="63">
        <f>17.3767 * CHOOSE(CONTROL!$C$22, $C$13, 100%, $E$13)</f>
        <v>17.3767</v>
      </c>
      <c r="E967" s="64">
        <f>20.4125 * CHOOSE(CONTROL!$C$22, $C$13, 100%, $E$13)</f>
        <v>20.412500000000001</v>
      </c>
      <c r="F967" s="64">
        <f>20.4125 * CHOOSE(CONTROL!$C$22, $C$13, 100%, $E$13)</f>
        <v>20.412500000000001</v>
      </c>
      <c r="G967" s="64">
        <f>20.4147 * CHOOSE(CONTROL!$C$22, $C$13, 100%, $E$13)</f>
        <v>20.4147</v>
      </c>
      <c r="H967" s="64">
        <f>32.8213* CHOOSE(CONTROL!$C$22, $C$13, 100%, $E$13)</f>
        <v>32.821300000000001</v>
      </c>
      <c r="I967" s="64">
        <f>32.8234 * CHOOSE(CONTROL!$C$22, $C$13, 100%, $E$13)</f>
        <v>32.823399999999999</v>
      </c>
      <c r="J967" s="64">
        <f>20.4125 * CHOOSE(CONTROL!$C$22, $C$13, 100%, $E$13)</f>
        <v>20.412500000000001</v>
      </c>
      <c r="K967" s="64">
        <f>20.4147 * CHOOSE(CONTROL!$C$22, $C$13, 100%, $E$13)</f>
        <v>20.4147</v>
      </c>
    </row>
    <row r="968" spans="1:11" ht="15">
      <c r="A968" s="13">
        <v>71103</v>
      </c>
      <c r="B968" s="63">
        <f>17.339 * CHOOSE(CONTROL!$C$22, $C$13, 100%, $E$13)</f>
        <v>17.338999999999999</v>
      </c>
      <c r="C968" s="63">
        <f>17.339 * CHOOSE(CONTROL!$C$22, $C$13, 100%, $E$13)</f>
        <v>17.338999999999999</v>
      </c>
      <c r="D968" s="63">
        <f>17.3737 * CHOOSE(CONTROL!$C$22, $C$13, 100%, $E$13)</f>
        <v>17.373699999999999</v>
      </c>
      <c r="E968" s="64">
        <f>20.3871 * CHOOSE(CONTROL!$C$22, $C$13, 100%, $E$13)</f>
        <v>20.3871</v>
      </c>
      <c r="F968" s="64">
        <f>20.3871 * CHOOSE(CONTROL!$C$22, $C$13, 100%, $E$13)</f>
        <v>20.3871</v>
      </c>
      <c r="G968" s="64">
        <f>20.3893 * CHOOSE(CONTROL!$C$22, $C$13, 100%, $E$13)</f>
        <v>20.389299999999999</v>
      </c>
      <c r="H968" s="64">
        <f>32.8897* CHOOSE(CONTROL!$C$22, $C$13, 100%, $E$13)</f>
        <v>32.889699999999998</v>
      </c>
      <c r="I968" s="64">
        <f>32.8918 * CHOOSE(CONTROL!$C$22, $C$13, 100%, $E$13)</f>
        <v>32.891800000000003</v>
      </c>
      <c r="J968" s="64">
        <f>20.3871 * CHOOSE(CONTROL!$C$22, $C$13, 100%, $E$13)</f>
        <v>20.3871</v>
      </c>
      <c r="K968" s="64">
        <f>20.3893 * CHOOSE(CONTROL!$C$22, $C$13, 100%, $E$13)</f>
        <v>20.389299999999999</v>
      </c>
    </row>
    <row r="969" spans="1:11" ht="15">
      <c r="A969" s="13">
        <v>71133</v>
      </c>
      <c r="B969" s="63">
        <f>17.3777 * CHOOSE(CONTROL!$C$22, $C$13, 100%, $E$13)</f>
        <v>17.377700000000001</v>
      </c>
      <c r="C969" s="63">
        <f>17.3777 * CHOOSE(CONTROL!$C$22, $C$13, 100%, $E$13)</f>
        <v>17.377700000000001</v>
      </c>
      <c r="D969" s="63">
        <f>17.395 * CHOOSE(CONTROL!$C$22, $C$13, 100%, $E$13)</f>
        <v>17.395</v>
      </c>
      <c r="E969" s="64">
        <f>20.4668 * CHOOSE(CONTROL!$C$22, $C$13, 100%, $E$13)</f>
        <v>20.466799999999999</v>
      </c>
      <c r="F969" s="64">
        <f>20.4668 * CHOOSE(CONTROL!$C$22, $C$13, 100%, $E$13)</f>
        <v>20.466799999999999</v>
      </c>
      <c r="G969" s="64">
        <f>20.467 * CHOOSE(CONTROL!$C$22, $C$13, 100%, $E$13)</f>
        <v>20.466999999999999</v>
      </c>
      <c r="H969" s="64">
        <f>32.9582* CHOOSE(CONTROL!$C$22, $C$13, 100%, $E$13)</f>
        <v>32.958199999999998</v>
      </c>
      <c r="I969" s="64">
        <f>32.9584 * CHOOSE(CONTROL!$C$22, $C$13, 100%, $E$13)</f>
        <v>32.958399999999997</v>
      </c>
      <c r="J969" s="64">
        <f>20.4668 * CHOOSE(CONTROL!$C$22, $C$13, 100%, $E$13)</f>
        <v>20.466799999999999</v>
      </c>
      <c r="K969" s="64">
        <f>20.467 * CHOOSE(CONTROL!$C$22, $C$13, 100%, $E$13)</f>
        <v>20.466999999999999</v>
      </c>
    </row>
    <row r="970" spans="1:11" ht="15">
      <c r="A970" s="13">
        <v>71164</v>
      </c>
      <c r="B970" s="63">
        <f>17.3807 * CHOOSE(CONTROL!$C$22, $C$13, 100%, $E$13)</f>
        <v>17.380700000000001</v>
      </c>
      <c r="C970" s="63">
        <f>17.3807 * CHOOSE(CONTROL!$C$22, $C$13, 100%, $E$13)</f>
        <v>17.380700000000001</v>
      </c>
      <c r="D970" s="63">
        <f>17.3981 * CHOOSE(CONTROL!$C$22, $C$13, 100%, $E$13)</f>
        <v>17.398099999999999</v>
      </c>
      <c r="E970" s="64">
        <f>20.5155 * CHOOSE(CONTROL!$C$22, $C$13, 100%, $E$13)</f>
        <v>20.515499999999999</v>
      </c>
      <c r="F970" s="64">
        <f>20.5155 * CHOOSE(CONTROL!$C$22, $C$13, 100%, $E$13)</f>
        <v>20.515499999999999</v>
      </c>
      <c r="G970" s="64">
        <f>20.5157 * CHOOSE(CONTROL!$C$22, $C$13, 100%, $E$13)</f>
        <v>20.515699999999999</v>
      </c>
      <c r="H970" s="64">
        <f>33.0268* CHOOSE(CONTROL!$C$22, $C$13, 100%, $E$13)</f>
        <v>33.026800000000001</v>
      </c>
      <c r="I970" s="64">
        <f>33.027 * CHOOSE(CONTROL!$C$22, $C$13, 100%, $E$13)</f>
        <v>33.027000000000001</v>
      </c>
      <c r="J970" s="64">
        <f>20.5155 * CHOOSE(CONTROL!$C$22, $C$13, 100%, $E$13)</f>
        <v>20.515499999999999</v>
      </c>
      <c r="K970" s="64">
        <f>20.5157 * CHOOSE(CONTROL!$C$22, $C$13, 100%, $E$13)</f>
        <v>20.515699999999999</v>
      </c>
    </row>
    <row r="971" spans="1:11" ht="15">
      <c r="A971" s="13">
        <v>71194</v>
      </c>
      <c r="B971" s="63">
        <f>17.3807 * CHOOSE(CONTROL!$C$22, $C$13, 100%, $E$13)</f>
        <v>17.380700000000001</v>
      </c>
      <c r="C971" s="63">
        <f>17.3807 * CHOOSE(CONTROL!$C$22, $C$13, 100%, $E$13)</f>
        <v>17.380700000000001</v>
      </c>
      <c r="D971" s="63">
        <f>17.3981 * CHOOSE(CONTROL!$C$22, $C$13, 100%, $E$13)</f>
        <v>17.398099999999999</v>
      </c>
      <c r="E971" s="64">
        <f>20.3991 * CHOOSE(CONTROL!$C$22, $C$13, 100%, $E$13)</f>
        <v>20.399100000000001</v>
      </c>
      <c r="F971" s="64">
        <f>20.3991 * CHOOSE(CONTROL!$C$22, $C$13, 100%, $E$13)</f>
        <v>20.399100000000001</v>
      </c>
      <c r="G971" s="64">
        <f>20.3993 * CHOOSE(CONTROL!$C$22, $C$13, 100%, $E$13)</f>
        <v>20.3993</v>
      </c>
      <c r="H971" s="64">
        <f>33.0957* CHOOSE(CONTROL!$C$22, $C$13, 100%, $E$13)</f>
        <v>33.095700000000001</v>
      </c>
      <c r="I971" s="64">
        <f>33.0958 * CHOOSE(CONTROL!$C$22, $C$13, 100%, $E$13)</f>
        <v>33.095799999999997</v>
      </c>
      <c r="J971" s="64">
        <f>20.3991 * CHOOSE(CONTROL!$C$22, $C$13, 100%, $E$13)</f>
        <v>20.399100000000001</v>
      </c>
      <c r="K971" s="64">
        <f>20.3993 * CHOOSE(CONTROL!$C$22, $C$13, 100%, $E$13)</f>
        <v>20.3993</v>
      </c>
    </row>
    <row r="972" spans="1:11" ht="15">
      <c r="A972" s="13">
        <v>71225</v>
      </c>
      <c r="B972" s="63">
        <f>17.306 * CHOOSE(CONTROL!$C$22, $C$13, 100%, $E$13)</f>
        <v>17.306000000000001</v>
      </c>
      <c r="C972" s="63">
        <f>17.306 * CHOOSE(CONTROL!$C$22, $C$13, 100%, $E$13)</f>
        <v>17.306000000000001</v>
      </c>
      <c r="D972" s="63">
        <f>17.3233 * CHOOSE(CONTROL!$C$22, $C$13, 100%, $E$13)</f>
        <v>17.3233</v>
      </c>
      <c r="E972" s="64">
        <f>20.391 * CHOOSE(CONTROL!$C$22, $C$13, 100%, $E$13)</f>
        <v>20.390999999999998</v>
      </c>
      <c r="F972" s="64">
        <f>20.391 * CHOOSE(CONTROL!$C$22, $C$13, 100%, $E$13)</f>
        <v>20.390999999999998</v>
      </c>
      <c r="G972" s="64">
        <f>20.3912 * CHOOSE(CONTROL!$C$22, $C$13, 100%, $E$13)</f>
        <v>20.391200000000001</v>
      </c>
      <c r="H972" s="64">
        <f>32.7925* CHOOSE(CONTROL!$C$22, $C$13, 100%, $E$13)</f>
        <v>32.792499999999997</v>
      </c>
      <c r="I972" s="64">
        <f>32.7927 * CHOOSE(CONTROL!$C$22, $C$13, 100%, $E$13)</f>
        <v>32.792700000000004</v>
      </c>
      <c r="J972" s="64">
        <f>20.391 * CHOOSE(CONTROL!$C$22, $C$13, 100%, $E$13)</f>
        <v>20.390999999999998</v>
      </c>
      <c r="K972" s="64">
        <f>20.3912 * CHOOSE(CONTROL!$C$22, $C$13, 100%, $E$13)</f>
        <v>20.391200000000001</v>
      </c>
    </row>
    <row r="973" spans="1:11" ht="15">
      <c r="A973" s="13">
        <v>71256</v>
      </c>
      <c r="B973" s="63">
        <f>17.3029 * CHOOSE(CONTROL!$C$22, $C$13, 100%, $E$13)</f>
        <v>17.302900000000001</v>
      </c>
      <c r="C973" s="63">
        <f>17.3029 * CHOOSE(CONTROL!$C$22, $C$13, 100%, $E$13)</f>
        <v>17.302900000000001</v>
      </c>
      <c r="D973" s="63">
        <f>17.3203 * CHOOSE(CONTROL!$C$22, $C$13, 100%, $E$13)</f>
        <v>17.3203</v>
      </c>
      <c r="E973" s="64">
        <f>20.1657 * CHOOSE(CONTROL!$C$22, $C$13, 100%, $E$13)</f>
        <v>20.165700000000001</v>
      </c>
      <c r="F973" s="64">
        <f>20.1657 * CHOOSE(CONTROL!$C$22, $C$13, 100%, $E$13)</f>
        <v>20.165700000000001</v>
      </c>
      <c r="G973" s="64">
        <f>20.1658 * CHOOSE(CONTROL!$C$22, $C$13, 100%, $E$13)</f>
        <v>20.165800000000001</v>
      </c>
      <c r="H973" s="64">
        <f>32.8608* CHOOSE(CONTROL!$C$22, $C$13, 100%, $E$13)</f>
        <v>32.860799999999998</v>
      </c>
      <c r="I973" s="64">
        <f>32.861 * CHOOSE(CONTROL!$C$22, $C$13, 100%, $E$13)</f>
        <v>32.860999999999997</v>
      </c>
      <c r="J973" s="64">
        <f>20.1657 * CHOOSE(CONTROL!$C$22, $C$13, 100%, $E$13)</f>
        <v>20.165700000000001</v>
      </c>
      <c r="K973" s="64">
        <f>20.1658 * CHOOSE(CONTROL!$C$22, $C$13, 100%, $E$13)</f>
        <v>20.165800000000001</v>
      </c>
    </row>
    <row r="974" spans="1:11" ht="15">
      <c r="A974" s="13">
        <v>71284</v>
      </c>
      <c r="B974" s="63">
        <f>17.2999 * CHOOSE(CONTROL!$C$22, $C$13, 100%, $E$13)</f>
        <v>17.299900000000001</v>
      </c>
      <c r="C974" s="63">
        <f>17.2999 * CHOOSE(CONTROL!$C$22, $C$13, 100%, $E$13)</f>
        <v>17.299900000000001</v>
      </c>
      <c r="D974" s="63">
        <f>17.3172 * CHOOSE(CONTROL!$C$22, $C$13, 100%, $E$13)</f>
        <v>17.3172</v>
      </c>
      <c r="E974" s="64">
        <f>20.3395 * CHOOSE(CONTROL!$C$22, $C$13, 100%, $E$13)</f>
        <v>20.339500000000001</v>
      </c>
      <c r="F974" s="64">
        <f>20.3395 * CHOOSE(CONTROL!$C$22, $C$13, 100%, $E$13)</f>
        <v>20.339500000000001</v>
      </c>
      <c r="G974" s="64">
        <f>20.3397 * CHOOSE(CONTROL!$C$22, $C$13, 100%, $E$13)</f>
        <v>20.339700000000001</v>
      </c>
      <c r="H974" s="64">
        <f>32.9293* CHOOSE(CONTROL!$C$22, $C$13, 100%, $E$13)</f>
        <v>32.929299999999998</v>
      </c>
      <c r="I974" s="64">
        <f>32.9295 * CHOOSE(CONTROL!$C$22, $C$13, 100%, $E$13)</f>
        <v>32.929499999999997</v>
      </c>
      <c r="J974" s="64">
        <f>20.3395 * CHOOSE(CONTROL!$C$22, $C$13, 100%, $E$13)</f>
        <v>20.339500000000001</v>
      </c>
      <c r="K974" s="64">
        <f>20.3397 * CHOOSE(CONTROL!$C$22, $C$13, 100%, $E$13)</f>
        <v>20.339700000000001</v>
      </c>
    </row>
    <row r="975" spans="1:11" ht="15">
      <c r="A975" s="13">
        <v>71315</v>
      </c>
      <c r="B975" s="63">
        <f>17.3088 * CHOOSE(CONTROL!$C$22, $C$13, 100%, $E$13)</f>
        <v>17.308800000000002</v>
      </c>
      <c r="C975" s="63">
        <f>17.3088 * CHOOSE(CONTROL!$C$22, $C$13, 100%, $E$13)</f>
        <v>17.308800000000002</v>
      </c>
      <c r="D975" s="63">
        <f>17.3262 * CHOOSE(CONTROL!$C$22, $C$13, 100%, $E$13)</f>
        <v>17.3262</v>
      </c>
      <c r="E975" s="64">
        <f>20.5243 * CHOOSE(CONTROL!$C$22, $C$13, 100%, $E$13)</f>
        <v>20.5243</v>
      </c>
      <c r="F975" s="64">
        <f>20.5243 * CHOOSE(CONTROL!$C$22, $C$13, 100%, $E$13)</f>
        <v>20.5243</v>
      </c>
      <c r="G975" s="64">
        <f>20.5244 * CHOOSE(CONTROL!$C$22, $C$13, 100%, $E$13)</f>
        <v>20.5244</v>
      </c>
      <c r="H975" s="64">
        <f>32.9979* CHOOSE(CONTROL!$C$22, $C$13, 100%, $E$13)</f>
        <v>32.997900000000001</v>
      </c>
      <c r="I975" s="64">
        <f>32.9981 * CHOOSE(CONTROL!$C$22, $C$13, 100%, $E$13)</f>
        <v>32.998100000000001</v>
      </c>
      <c r="J975" s="64">
        <f>20.5243 * CHOOSE(CONTROL!$C$22, $C$13, 100%, $E$13)</f>
        <v>20.5243</v>
      </c>
      <c r="K975" s="64">
        <f>20.5244 * CHOOSE(CONTROL!$C$22, $C$13, 100%, $E$13)</f>
        <v>20.5244</v>
      </c>
    </row>
    <row r="976" spans="1:11" ht="15">
      <c r="A976" s="13">
        <v>71345</v>
      </c>
      <c r="B976" s="63">
        <f>17.3088 * CHOOSE(CONTROL!$C$22, $C$13, 100%, $E$13)</f>
        <v>17.308800000000002</v>
      </c>
      <c r="C976" s="63">
        <f>17.3088 * CHOOSE(CONTROL!$C$22, $C$13, 100%, $E$13)</f>
        <v>17.308800000000002</v>
      </c>
      <c r="D976" s="63">
        <f>17.3435 * CHOOSE(CONTROL!$C$22, $C$13, 100%, $E$13)</f>
        <v>17.343499999999999</v>
      </c>
      <c r="E976" s="64">
        <f>20.5951 * CHOOSE(CONTROL!$C$22, $C$13, 100%, $E$13)</f>
        <v>20.595099999999999</v>
      </c>
      <c r="F976" s="64">
        <f>20.5951 * CHOOSE(CONTROL!$C$22, $C$13, 100%, $E$13)</f>
        <v>20.595099999999999</v>
      </c>
      <c r="G976" s="64">
        <f>20.5973 * CHOOSE(CONTROL!$C$22, $C$13, 100%, $E$13)</f>
        <v>20.597300000000001</v>
      </c>
      <c r="H976" s="64">
        <f>33.0666* CHOOSE(CONTROL!$C$22, $C$13, 100%, $E$13)</f>
        <v>33.066600000000001</v>
      </c>
      <c r="I976" s="64">
        <f>33.0688 * CHOOSE(CONTROL!$C$22, $C$13, 100%, $E$13)</f>
        <v>33.068800000000003</v>
      </c>
      <c r="J976" s="64">
        <f>20.5951 * CHOOSE(CONTROL!$C$22, $C$13, 100%, $E$13)</f>
        <v>20.595099999999999</v>
      </c>
      <c r="K976" s="64">
        <f>20.5973 * CHOOSE(CONTROL!$C$22, $C$13, 100%, $E$13)</f>
        <v>20.597300000000001</v>
      </c>
    </row>
    <row r="977" spans="1:11" ht="15">
      <c r="A977" s="13">
        <v>71376</v>
      </c>
      <c r="B977" s="63">
        <f>17.3149 * CHOOSE(CONTROL!$C$22, $C$13, 100%, $E$13)</f>
        <v>17.314900000000002</v>
      </c>
      <c r="C977" s="63">
        <f>17.3149 * CHOOSE(CONTROL!$C$22, $C$13, 100%, $E$13)</f>
        <v>17.314900000000002</v>
      </c>
      <c r="D977" s="63">
        <f>17.3496 * CHOOSE(CONTROL!$C$22, $C$13, 100%, $E$13)</f>
        <v>17.349599999999999</v>
      </c>
      <c r="E977" s="64">
        <f>20.5285 * CHOOSE(CONTROL!$C$22, $C$13, 100%, $E$13)</f>
        <v>20.528500000000001</v>
      </c>
      <c r="F977" s="64">
        <f>20.5285 * CHOOSE(CONTROL!$C$22, $C$13, 100%, $E$13)</f>
        <v>20.528500000000001</v>
      </c>
      <c r="G977" s="64">
        <f>20.5307 * CHOOSE(CONTROL!$C$22, $C$13, 100%, $E$13)</f>
        <v>20.5307</v>
      </c>
      <c r="H977" s="64">
        <f>33.1355* CHOOSE(CONTROL!$C$22, $C$13, 100%, $E$13)</f>
        <v>33.1355</v>
      </c>
      <c r="I977" s="64">
        <f>33.1377 * CHOOSE(CONTROL!$C$22, $C$13, 100%, $E$13)</f>
        <v>33.137700000000002</v>
      </c>
      <c r="J977" s="64">
        <f>20.5285 * CHOOSE(CONTROL!$C$22, $C$13, 100%, $E$13)</f>
        <v>20.528500000000001</v>
      </c>
      <c r="K977" s="64">
        <f>20.5307 * CHOOSE(CONTROL!$C$22, $C$13, 100%, $E$13)</f>
        <v>20.5307</v>
      </c>
    </row>
    <row r="978" spans="1:11" ht="15">
      <c r="A978" s="13">
        <v>71406</v>
      </c>
      <c r="B978" s="63">
        <f>17.5846 * CHOOSE(CONTROL!$C$22, $C$13, 100%, $E$13)</f>
        <v>17.584599999999998</v>
      </c>
      <c r="C978" s="63">
        <f>17.5846 * CHOOSE(CONTROL!$C$22, $C$13, 100%, $E$13)</f>
        <v>17.584599999999998</v>
      </c>
      <c r="D978" s="63">
        <f>17.6193 * CHOOSE(CONTROL!$C$22, $C$13, 100%, $E$13)</f>
        <v>17.619299999999999</v>
      </c>
      <c r="E978" s="64">
        <f>20.9173 * CHOOSE(CONTROL!$C$22, $C$13, 100%, $E$13)</f>
        <v>20.917300000000001</v>
      </c>
      <c r="F978" s="64">
        <f>20.9173 * CHOOSE(CONTROL!$C$22, $C$13, 100%, $E$13)</f>
        <v>20.917300000000001</v>
      </c>
      <c r="G978" s="64">
        <f>20.9195 * CHOOSE(CONTROL!$C$22, $C$13, 100%, $E$13)</f>
        <v>20.919499999999999</v>
      </c>
      <c r="H978" s="64">
        <f>33.2045* CHOOSE(CONTROL!$C$22, $C$13, 100%, $E$13)</f>
        <v>33.204500000000003</v>
      </c>
      <c r="I978" s="64">
        <f>33.2067 * CHOOSE(CONTROL!$C$22, $C$13, 100%, $E$13)</f>
        <v>33.206699999999998</v>
      </c>
      <c r="J978" s="64">
        <f>20.9173 * CHOOSE(CONTROL!$C$22, $C$13, 100%, $E$13)</f>
        <v>20.917300000000001</v>
      </c>
      <c r="K978" s="64">
        <f>20.9195 * CHOOSE(CONTROL!$C$22, $C$13, 100%, $E$13)</f>
        <v>20.919499999999999</v>
      </c>
    </row>
    <row r="979" spans="1:11" ht="15">
      <c r="A979" s="13">
        <v>71437</v>
      </c>
      <c r="B979" s="63">
        <f>17.5913 * CHOOSE(CONTROL!$C$22, $C$13, 100%, $E$13)</f>
        <v>17.5913</v>
      </c>
      <c r="C979" s="63">
        <f>17.5913 * CHOOSE(CONTROL!$C$22, $C$13, 100%, $E$13)</f>
        <v>17.5913</v>
      </c>
      <c r="D979" s="63">
        <f>17.6259 * CHOOSE(CONTROL!$C$22, $C$13, 100%, $E$13)</f>
        <v>17.625900000000001</v>
      </c>
      <c r="E979" s="64">
        <f>20.7093 * CHOOSE(CONTROL!$C$22, $C$13, 100%, $E$13)</f>
        <v>20.709299999999999</v>
      </c>
      <c r="F979" s="64">
        <f>20.7093 * CHOOSE(CONTROL!$C$22, $C$13, 100%, $E$13)</f>
        <v>20.709299999999999</v>
      </c>
      <c r="G979" s="64">
        <f>20.7115 * CHOOSE(CONTROL!$C$22, $C$13, 100%, $E$13)</f>
        <v>20.711500000000001</v>
      </c>
      <c r="H979" s="64">
        <f>33.2737* CHOOSE(CONTROL!$C$22, $C$13, 100%, $E$13)</f>
        <v>33.273699999999998</v>
      </c>
      <c r="I979" s="64">
        <f>33.2759 * CHOOSE(CONTROL!$C$22, $C$13, 100%, $E$13)</f>
        <v>33.2759</v>
      </c>
      <c r="J979" s="64">
        <f>20.7093 * CHOOSE(CONTROL!$C$22, $C$13, 100%, $E$13)</f>
        <v>20.709299999999999</v>
      </c>
      <c r="K979" s="64">
        <f>20.7115 * CHOOSE(CONTROL!$C$22, $C$13, 100%, $E$13)</f>
        <v>20.711500000000001</v>
      </c>
    </row>
    <row r="980" spans="1:11" ht="15">
      <c r="A980" s="13">
        <v>71468</v>
      </c>
      <c r="B980" s="63">
        <f>17.5882 * CHOOSE(CONTROL!$C$22, $C$13, 100%, $E$13)</f>
        <v>17.588200000000001</v>
      </c>
      <c r="C980" s="63">
        <f>17.5882 * CHOOSE(CONTROL!$C$22, $C$13, 100%, $E$13)</f>
        <v>17.588200000000001</v>
      </c>
      <c r="D980" s="63">
        <f>17.6229 * CHOOSE(CONTROL!$C$22, $C$13, 100%, $E$13)</f>
        <v>17.622900000000001</v>
      </c>
      <c r="E980" s="64">
        <f>20.6836 * CHOOSE(CONTROL!$C$22, $C$13, 100%, $E$13)</f>
        <v>20.683599999999998</v>
      </c>
      <c r="F980" s="64">
        <f>20.6836 * CHOOSE(CONTROL!$C$22, $C$13, 100%, $E$13)</f>
        <v>20.683599999999998</v>
      </c>
      <c r="G980" s="64">
        <f>20.6858 * CHOOSE(CONTROL!$C$22, $C$13, 100%, $E$13)</f>
        <v>20.6858</v>
      </c>
      <c r="H980" s="64">
        <f>33.343* CHOOSE(CONTROL!$C$22, $C$13, 100%, $E$13)</f>
        <v>33.343000000000004</v>
      </c>
      <c r="I980" s="64">
        <f>33.3452 * CHOOSE(CONTROL!$C$22, $C$13, 100%, $E$13)</f>
        <v>33.345199999999998</v>
      </c>
      <c r="J980" s="64">
        <f>20.6836 * CHOOSE(CONTROL!$C$22, $C$13, 100%, $E$13)</f>
        <v>20.683599999999998</v>
      </c>
      <c r="K980" s="64">
        <f>20.6858 * CHOOSE(CONTROL!$C$22, $C$13, 100%, $E$13)</f>
        <v>20.6858</v>
      </c>
    </row>
    <row r="981" spans="1:11" ht="15">
      <c r="A981" s="13">
        <v>71498</v>
      </c>
      <c r="B981" s="63">
        <f>17.6277 * CHOOSE(CONTROL!$C$22, $C$13, 100%, $E$13)</f>
        <v>17.627700000000001</v>
      </c>
      <c r="C981" s="63">
        <f>17.6277 * CHOOSE(CONTROL!$C$22, $C$13, 100%, $E$13)</f>
        <v>17.627700000000001</v>
      </c>
      <c r="D981" s="63">
        <f>17.645 * CHOOSE(CONTROL!$C$22, $C$13, 100%, $E$13)</f>
        <v>17.645</v>
      </c>
      <c r="E981" s="64">
        <f>20.7647 * CHOOSE(CONTROL!$C$22, $C$13, 100%, $E$13)</f>
        <v>20.764700000000001</v>
      </c>
      <c r="F981" s="64">
        <f>20.7647 * CHOOSE(CONTROL!$C$22, $C$13, 100%, $E$13)</f>
        <v>20.764700000000001</v>
      </c>
      <c r="G981" s="64">
        <f>20.7649 * CHOOSE(CONTROL!$C$22, $C$13, 100%, $E$13)</f>
        <v>20.764900000000001</v>
      </c>
      <c r="H981" s="64">
        <f>33.4125* CHOOSE(CONTROL!$C$22, $C$13, 100%, $E$13)</f>
        <v>33.412500000000001</v>
      </c>
      <c r="I981" s="64">
        <f>33.4127 * CHOOSE(CONTROL!$C$22, $C$13, 100%, $E$13)</f>
        <v>33.412700000000001</v>
      </c>
      <c r="J981" s="64">
        <f>20.7647 * CHOOSE(CONTROL!$C$22, $C$13, 100%, $E$13)</f>
        <v>20.764700000000001</v>
      </c>
      <c r="K981" s="64">
        <f>20.7649 * CHOOSE(CONTROL!$C$22, $C$13, 100%, $E$13)</f>
        <v>20.764900000000001</v>
      </c>
    </row>
    <row r="982" spans="1:11" ht="15">
      <c r="A982" s="13">
        <v>71529</v>
      </c>
      <c r="B982" s="63">
        <f>17.6307 * CHOOSE(CONTROL!$C$22, $C$13, 100%, $E$13)</f>
        <v>17.630700000000001</v>
      </c>
      <c r="C982" s="63">
        <f>17.6307 * CHOOSE(CONTROL!$C$22, $C$13, 100%, $E$13)</f>
        <v>17.630700000000001</v>
      </c>
      <c r="D982" s="63">
        <f>17.6481 * CHOOSE(CONTROL!$C$22, $C$13, 100%, $E$13)</f>
        <v>17.648099999999999</v>
      </c>
      <c r="E982" s="64">
        <f>20.8141 * CHOOSE(CONTROL!$C$22, $C$13, 100%, $E$13)</f>
        <v>20.8141</v>
      </c>
      <c r="F982" s="64">
        <f>20.8141 * CHOOSE(CONTROL!$C$22, $C$13, 100%, $E$13)</f>
        <v>20.8141</v>
      </c>
      <c r="G982" s="64">
        <f>20.8142 * CHOOSE(CONTROL!$C$22, $C$13, 100%, $E$13)</f>
        <v>20.8142</v>
      </c>
      <c r="H982" s="64">
        <f>33.4821* CHOOSE(CONTROL!$C$22, $C$13, 100%, $E$13)</f>
        <v>33.482100000000003</v>
      </c>
      <c r="I982" s="64">
        <f>33.4823 * CHOOSE(CONTROL!$C$22, $C$13, 100%, $E$13)</f>
        <v>33.482300000000002</v>
      </c>
      <c r="J982" s="64">
        <f>20.8141 * CHOOSE(CONTROL!$C$22, $C$13, 100%, $E$13)</f>
        <v>20.8141</v>
      </c>
      <c r="K982" s="64">
        <f>20.8142 * CHOOSE(CONTROL!$C$22, $C$13, 100%, $E$13)</f>
        <v>20.8142</v>
      </c>
    </row>
    <row r="983" spans="1:11" ht="15">
      <c r="A983" s="13">
        <v>71559</v>
      </c>
      <c r="B983" s="63">
        <f>17.6307 * CHOOSE(CONTROL!$C$22, $C$13, 100%, $E$13)</f>
        <v>17.630700000000001</v>
      </c>
      <c r="C983" s="63">
        <f>17.6307 * CHOOSE(CONTROL!$C$22, $C$13, 100%, $E$13)</f>
        <v>17.630700000000001</v>
      </c>
      <c r="D983" s="63">
        <f>17.6481 * CHOOSE(CONTROL!$C$22, $C$13, 100%, $E$13)</f>
        <v>17.648099999999999</v>
      </c>
      <c r="E983" s="64">
        <f>20.6959 * CHOOSE(CONTROL!$C$22, $C$13, 100%, $E$13)</f>
        <v>20.695900000000002</v>
      </c>
      <c r="F983" s="64">
        <f>20.6959 * CHOOSE(CONTROL!$C$22, $C$13, 100%, $E$13)</f>
        <v>20.695900000000002</v>
      </c>
      <c r="G983" s="64">
        <f>20.6961 * CHOOSE(CONTROL!$C$22, $C$13, 100%, $E$13)</f>
        <v>20.696100000000001</v>
      </c>
      <c r="H983" s="64">
        <f>33.5519* CHOOSE(CONTROL!$C$22, $C$13, 100%, $E$13)</f>
        <v>33.551900000000003</v>
      </c>
      <c r="I983" s="64">
        <f>33.552 * CHOOSE(CONTROL!$C$22, $C$13, 100%, $E$13)</f>
        <v>33.552</v>
      </c>
      <c r="J983" s="64">
        <f>20.6959 * CHOOSE(CONTROL!$C$22, $C$13, 100%, $E$13)</f>
        <v>20.695900000000002</v>
      </c>
      <c r="K983" s="64">
        <f>20.6961 * CHOOSE(CONTROL!$C$22, $C$13, 100%, $E$13)</f>
        <v>20.696100000000001</v>
      </c>
    </row>
    <row r="984" spans="1:11" ht="15">
      <c r="A984" s="13">
        <v>71590</v>
      </c>
      <c r="B984" s="63">
        <f>17.5513 * CHOOSE(CONTROL!$C$22, $C$13, 100%, $E$13)</f>
        <v>17.551300000000001</v>
      </c>
      <c r="C984" s="63">
        <f>17.5513 * CHOOSE(CONTROL!$C$22, $C$13, 100%, $E$13)</f>
        <v>17.551300000000001</v>
      </c>
      <c r="D984" s="63">
        <f>17.5686 * CHOOSE(CONTROL!$C$22, $C$13, 100%, $E$13)</f>
        <v>17.5686</v>
      </c>
      <c r="E984" s="64">
        <f>20.6834 * CHOOSE(CONTROL!$C$22, $C$13, 100%, $E$13)</f>
        <v>20.683399999999999</v>
      </c>
      <c r="F984" s="64">
        <f>20.6834 * CHOOSE(CONTROL!$C$22, $C$13, 100%, $E$13)</f>
        <v>20.683399999999999</v>
      </c>
      <c r="G984" s="64">
        <f>20.6836 * CHOOSE(CONTROL!$C$22, $C$13, 100%, $E$13)</f>
        <v>20.683599999999998</v>
      </c>
      <c r="H984" s="64">
        <f>33.2384* CHOOSE(CONTROL!$C$22, $C$13, 100%, $E$13)</f>
        <v>33.238399999999999</v>
      </c>
      <c r="I984" s="64">
        <f>33.2386 * CHOOSE(CONTROL!$C$22, $C$13, 100%, $E$13)</f>
        <v>33.238599999999998</v>
      </c>
      <c r="J984" s="64">
        <f>20.6834 * CHOOSE(CONTROL!$C$22, $C$13, 100%, $E$13)</f>
        <v>20.683399999999999</v>
      </c>
      <c r="K984" s="64">
        <f>20.6836 * CHOOSE(CONTROL!$C$22, $C$13, 100%, $E$13)</f>
        <v>20.683599999999998</v>
      </c>
    </row>
    <row r="985" spans="1:11" ht="15">
      <c r="A985" s="13">
        <v>71621</v>
      </c>
      <c r="B985" s="63">
        <f>17.5482 * CHOOSE(CONTROL!$C$22, $C$13, 100%, $E$13)</f>
        <v>17.548200000000001</v>
      </c>
      <c r="C985" s="63">
        <f>17.5482 * CHOOSE(CONTROL!$C$22, $C$13, 100%, $E$13)</f>
        <v>17.548200000000001</v>
      </c>
      <c r="D985" s="63">
        <f>17.5656 * CHOOSE(CONTROL!$C$22, $C$13, 100%, $E$13)</f>
        <v>17.5656</v>
      </c>
      <c r="E985" s="64">
        <f>20.4549 * CHOOSE(CONTROL!$C$22, $C$13, 100%, $E$13)</f>
        <v>20.454899999999999</v>
      </c>
      <c r="F985" s="64">
        <f>20.4549 * CHOOSE(CONTROL!$C$22, $C$13, 100%, $E$13)</f>
        <v>20.454899999999999</v>
      </c>
      <c r="G985" s="64">
        <f>20.455 * CHOOSE(CONTROL!$C$22, $C$13, 100%, $E$13)</f>
        <v>20.454999999999998</v>
      </c>
      <c r="H985" s="64">
        <f>33.3076* CHOOSE(CONTROL!$C$22, $C$13, 100%, $E$13)</f>
        <v>33.307600000000001</v>
      </c>
      <c r="I985" s="64">
        <f>33.3078 * CHOOSE(CONTROL!$C$22, $C$13, 100%, $E$13)</f>
        <v>33.3078</v>
      </c>
      <c r="J985" s="64">
        <f>20.4549 * CHOOSE(CONTROL!$C$22, $C$13, 100%, $E$13)</f>
        <v>20.454899999999999</v>
      </c>
      <c r="K985" s="64">
        <f>20.455 * CHOOSE(CONTROL!$C$22, $C$13, 100%, $E$13)</f>
        <v>20.454999999999998</v>
      </c>
    </row>
    <row r="986" spans="1:11" ht="15">
      <c r="A986" s="13">
        <v>71650</v>
      </c>
      <c r="B986" s="63">
        <f>17.5452 * CHOOSE(CONTROL!$C$22, $C$13, 100%, $E$13)</f>
        <v>17.545200000000001</v>
      </c>
      <c r="C986" s="63">
        <f>17.5452 * CHOOSE(CONTROL!$C$22, $C$13, 100%, $E$13)</f>
        <v>17.545200000000001</v>
      </c>
      <c r="D986" s="63">
        <f>17.5625 * CHOOSE(CONTROL!$C$22, $C$13, 100%, $E$13)</f>
        <v>17.5625</v>
      </c>
      <c r="E986" s="64">
        <f>20.6312 * CHOOSE(CONTROL!$C$22, $C$13, 100%, $E$13)</f>
        <v>20.6312</v>
      </c>
      <c r="F986" s="64">
        <f>20.6312 * CHOOSE(CONTROL!$C$22, $C$13, 100%, $E$13)</f>
        <v>20.6312</v>
      </c>
      <c r="G986" s="64">
        <f>20.6314 * CHOOSE(CONTROL!$C$22, $C$13, 100%, $E$13)</f>
        <v>20.631399999999999</v>
      </c>
      <c r="H986" s="64">
        <f>33.377* CHOOSE(CONTROL!$C$22, $C$13, 100%, $E$13)</f>
        <v>33.377000000000002</v>
      </c>
      <c r="I986" s="64">
        <f>33.3772 * CHOOSE(CONTROL!$C$22, $C$13, 100%, $E$13)</f>
        <v>33.377200000000002</v>
      </c>
      <c r="J986" s="64">
        <f>20.6312 * CHOOSE(CONTROL!$C$22, $C$13, 100%, $E$13)</f>
        <v>20.6312</v>
      </c>
      <c r="K986" s="64">
        <f>20.6314 * CHOOSE(CONTROL!$C$22, $C$13, 100%, $E$13)</f>
        <v>20.631399999999999</v>
      </c>
    </row>
    <row r="987" spans="1:11" ht="15">
      <c r="A987" s="13">
        <v>71681</v>
      </c>
      <c r="B987" s="63">
        <f>17.5544 * CHOOSE(CONTROL!$C$22, $C$13, 100%, $E$13)</f>
        <v>17.554400000000001</v>
      </c>
      <c r="C987" s="63">
        <f>17.5544 * CHOOSE(CONTROL!$C$22, $C$13, 100%, $E$13)</f>
        <v>17.554400000000001</v>
      </c>
      <c r="D987" s="63">
        <f>17.5717 * CHOOSE(CONTROL!$C$22, $C$13, 100%, $E$13)</f>
        <v>17.5717</v>
      </c>
      <c r="E987" s="64">
        <f>20.8187 * CHOOSE(CONTROL!$C$22, $C$13, 100%, $E$13)</f>
        <v>20.8187</v>
      </c>
      <c r="F987" s="64">
        <f>20.8187 * CHOOSE(CONTROL!$C$22, $C$13, 100%, $E$13)</f>
        <v>20.8187</v>
      </c>
      <c r="G987" s="64">
        <f>20.8189 * CHOOSE(CONTROL!$C$22, $C$13, 100%, $E$13)</f>
        <v>20.818899999999999</v>
      </c>
      <c r="H987" s="64">
        <f>33.4466* CHOOSE(CONTROL!$C$22, $C$13, 100%, $E$13)</f>
        <v>33.446599999999997</v>
      </c>
      <c r="I987" s="64">
        <f>33.4467 * CHOOSE(CONTROL!$C$22, $C$13, 100%, $E$13)</f>
        <v>33.4467</v>
      </c>
      <c r="J987" s="64">
        <f>20.8187 * CHOOSE(CONTROL!$C$22, $C$13, 100%, $E$13)</f>
        <v>20.8187</v>
      </c>
      <c r="K987" s="64">
        <f>20.8189 * CHOOSE(CONTROL!$C$22, $C$13, 100%, $E$13)</f>
        <v>20.818899999999999</v>
      </c>
    </row>
    <row r="988" spans="1:11" ht="15">
      <c r="A988" s="13">
        <v>71711</v>
      </c>
      <c r="B988" s="63">
        <f>17.5544 * CHOOSE(CONTROL!$C$22, $C$13, 100%, $E$13)</f>
        <v>17.554400000000001</v>
      </c>
      <c r="C988" s="63">
        <f>17.5544 * CHOOSE(CONTROL!$C$22, $C$13, 100%, $E$13)</f>
        <v>17.554400000000001</v>
      </c>
      <c r="D988" s="63">
        <f>17.589 * CHOOSE(CONTROL!$C$22, $C$13, 100%, $E$13)</f>
        <v>17.588999999999999</v>
      </c>
      <c r="E988" s="64">
        <f>20.8906 * CHOOSE(CONTROL!$C$22, $C$13, 100%, $E$13)</f>
        <v>20.890599999999999</v>
      </c>
      <c r="F988" s="64">
        <f>20.8906 * CHOOSE(CONTROL!$C$22, $C$13, 100%, $E$13)</f>
        <v>20.890599999999999</v>
      </c>
      <c r="G988" s="64">
        <f>20.8928 * CHOOSE(CONTROL!$C$22, $C$13, 100%, $E$13)</f>
        <v>20.892800000000001</v>
      </c>
      <c r="H988" s="64">
        <f>33.5162* CHOOSE(CONTROL!$C$22, $C$13, 100%, $E$13)</f>
        <v>33.516199999999998</v>
      </c>
      <c r="I988" s="64">
        <f>33.5184 * CHOOSE(CONTROL!$C$22, $C$13, 100%, $E$13)</f>
        <v>33.5184</v>
      </c>
      <c r="J988" s="64">
        <f>20.8906 * CHOOSE(CONTROL!$C$22, $C$13, 100%, $E$13)</f>
        <v>20.890599999999999</v>
      </c>
      <c r="K988" s="64">
        <f>20.8928 * CHOOSE(CONTROL!$C$22, $C$13, 100%, $E$13)</f>
        <v>20.892800000000001</v>
      </c>
    </row>
    <row r="989" spans="1:11" ht="15">
      <c r="A989" s="13">
        <v>71742</v>
      </c>
      <c r="B989" s="63">
        <f>17.5604 * CHOOSE(CONTROL!$C$22, $C$13, 100%, $E$13)</f>
        <v>17.560400000000001</v>
      </c>
      <c r="C989" s="63">
        <f>17.5604 * CHOOSE(CONTROL!$C$22, $C$13, 100%, $E$13)</f>
        <v>17.560400000000001</v>
      </c>
      <c r="D989" s="63">
        <f>17.5951 * CHOOSE(CONTROL!$C$22, $C$13, 100%, $E$13)</f>
        <v>17.595099999999999</v>
      </c>
      <c r="E989" s="64">
        <f>20.823 * CHOOSE(CONTROL!$C$22, $C$13, 100%, $E$13)</f>
        <v>20.823</v>
      </c>
      <c r="F989" s="64">
        <f>20.823 * CHOOSE(CONTROL!$C$22, $C$13, 100%, $E$13)</f>
        <v>20.823</v>
      </c>
      <c r="G989" s="64">
        <f>20.8251 * CHOOSE(CONTROL!$C$22, $C$13, 100%, $E$13)</f>
        <v>20.825099999999999</v>
      </c>
      <c r="H989" s="64">
        <f>33.5861* CHOOSE(CONTROL!$C$22, $C$13, 100%, $E$13)</f>
        <v>33.586100000000002</v>
      </c>
      <c r="I989" s="64">
        <f>33.5882 * CHOOSE(CONTROL!$C$22, $C$13, 100%, $E$13)</f>
        <v>33.588200000000001</v>
      </c>
      <c r="J989" s="64">
        <f>20.823 * CHOOSE(CONTROL!$C$22, $C$13, 100%, $E$13)</f>
        <v>20.823</v>
      </c>
      <c r="K989" s="64">
        <f>20.8251 * CHOOSE(CONTROL!$C$22, $C$13, 100%, $E$13)</f>
        <v>20.825099999999999</v>
      </c>
    </row>
    <row r="990" spans="1:11" ht="15">
      <c r="A990" s="13">
        <v>71772</v>
      </c>
      <c r="B990" s="63">
        <f>17.8338 * CHOOSE(CONTROL!$C$22, $C$13, 100%, $E$13)</f>
        <v>17.8338</v>
      </c>
      <c r="C990" s="63">
        <f>17.8338 * CHOOSE(CONTROL!$C$22, $C$13, 100%, $E$13)</f>
        <v>17.8338</v>
      </c>
      <c r="D990" s="63">
        <f>17.8685 * CHOOSE(CONTROL!$C$22, $C$13, 100%, $E$13)</f>
        <v>17.868500000000001</v>
      </c>
      <c r="E990" s="64">
        <f>21.2172 * CHOOSE(CONTROL!$C$22, $C$13, 100%, $E$13)</f>
        <v>21.217199999999998</v>
      </c>
      <c r="F990" s="64">
        <f>21.2172 * CHOOSE(CONTROL!$C$22, $C$13, 100%, $E$13)</f>
        <v>21.217199999999998</v>
      </c>
      <c r="G990" s="64">
        <f>21.2193 * CHOOSE(CONTROL!$C$22, $C$13, 100%, $E$13)</f>
        <v>21.2193</v>
      </c>
      <c r="H990" s="64">
        <f>33.656* CHOOSE(CONTROL!$C$22, $C$13, 100%, $E$13)</f>
        <v>33.655999999999999</v>
      </c>
      <c r="I990" s="64">
        <f>33.6582 * CHOOSE(CONTROL!$C$22, $C$13, 100%, $E$13)</f>
        <v>33.658200000000001</v>
      </c>
      <c r="J990" s="64">
        <f>21.2172 * CHOOSE(CONTROL!$C$22, $C$13, 100%, $E$13)</f>
        <v>21.217199999999998</v>
      </c>
      <c r="K990" s="64">
        <f>21.2193 * CHOOSE(CONTROL!$C$22, $C$13, 100%, $E$13)</f>
        <v>21.2193</v>
      </c>
    </row>
    <row r="991" spans="1:11" ht="15">
      <c r="A991" s="13">
        <v>71803</v>
      </c>
      <c r="B991" s="63">
        <f>17.8405 * CHOOSE(CONTROL!$C$22, $C$13, 100%, $E$13)</f>
        <v>17.840499999999999</v>
      </c>
      <c r="C991" s="63">
        <f>17.8405 * CHOOSE(CONTROL!$C$22, $C$13, 100%, $E$13)</f>
        <v>17.840499999999999</v>
      </c>
      <c r="D991" s="63">
        <f>17.8752 * CHOOSE(CONTROL!$C$22, $C$13, 100%, $E$13)</f>
        <v>17.8752</v>
      </c>
      <c r="E991" s="64">
        <f>21.0062 * CHOOSE(CONTROL!$C$22, $C$13, 100%, $E$13)</f>
        <v>21.0062</v>
      </c>
      <c r="F991" s="64">
        <f>21.0062 * CHOOSE(CONTROL!$C$22, $C$13, 100%, $E$13)</f>
        <v>21.0062</v>
      </c>
      <c r="G991" s="64">
        <f>21.0083 * CHOOSE(CONTROL!$C$22, $C$13, 100%, $E$13)</f>
        <v>21.008299999999998</v>
      </c>
      <c r="H991" s="64">
        <f>33.7262* CHOOSE(CONTROL!$C$22, $C$13, 100%, $E$13)</f>
        <v>33.726199999999999</v>
      </c>
      <c r="I991" s="64">
        <f>33.7283 * CHOOSE(CONTROL!$C$22, $C$13, 100%, $E$13)</f>
        <v>33.728299999999997</v>
      </c>
      <c r="J991" s="64">
        <f>21.0062 * CHOOSE(CONTROL!$C$22, $C$13, 100%, $E$13)</f>
        <v>21.0062</v>
      </c>
      <c r="K991" s="64">
        <f>21.0083 * CHOOSE(CONTROL!$C$22, $C$13, 100%, $E$13)</f>
        <v>21.008299999999998</v>
      </c>
    </row>
    <row r="992" spans="1:11" ht="15">
      <c r="A992" s="13">
        <v>71834</v>
      </c>
      <c r="B992" s="63">
        <f>17.8375 * CHOOSE(CONTROL!$C$22, $C$13, 100%, $E$13)</f>
        <v>17.837499999999999</v>
      </c>
      <c r="C992" s="63">
        <f>17.8375 * CHOOSE(CONTROL!$C$22, $C$13, 100%, $E$13)</f>
        <v>17.837499999999999</v>
      </c>
      <c r="D992" s="63">
        <f>17.8721 * CHOOSE(CONTROL!$C$22, $C$13, 100%, $E$13)</f>
        <v>17.8721</v>
      </c>
      <c r="E992" s="64">
        <f>20.9801 * CHOOSE(CONTROL!$C$22, $C$13, 100%, $E$13)</f>
        <v>20.9801</v>
      </c>
      <c r="F992" s="64">
        <f>20.9801 * CHOOSE(CONTROL!$C$22, $C$13, 100%, $E$13)</f>
        <v>20.9801</v>
      </c>
      <c r="G992" s="64">
        <f>20.9822 * CHOOSE(CONTROL!$C$22, $C$13, 100%, $E$13)</f>
        <v>20.982199999999999</v>
      </c>
      <c r="H992" s="64">
        <f>33.7964* CHOOSE(CONTROL!$C$22, $C$13, 100%, $E$13)</f>
        <v>33.796399999999998</v>
      </c>
      <c r="I992" s="64">
        <f>33.7986 * CHOOSE(CONTROL!$C$22, $C$13, 100%, $E$13)</f>
        <v>33.7986</v>
      </c>
      <c r="J992" s="64">
        <f>20.9801 * CHOOSE(CONTROL!$C$22, $C$13, 100%, $E$13)</f>
        <v>20.9801</v>
      </c>
      <c r="K992" s="64">
        <f>20.9822 * CHOOSE(CONTROL!$C$22, $C$13, 100%, $E$13)</f>
        <v>20.982199999999999</v>
      </c>
    </row>
    <row r="993" spans="1:11" ht="15">
      <c r="A993" s="13">
        <v>71864</v>
      </c>
      <c r="B993" s="63">
        <f>17.8777 * CHOOSE(CONTROL!$C$22, $C$13, 100%, $E$13)</f>
        <v>17.877700000000001</v>
      </c>
      <c r="C993" s="63">
        <f>17.8777 * CHOOSE(CONTROL!$C$22, $C$13, 100%, $E$13)</f>
        <v>17.877700000000001</v>
      </c>
      <c r="D993" s="63">
        <f>17.8951 * CHOOSE(CONTROL!$C$22, $C$13, 100%, $E$13)</f>
        <v>17.895099999999999</v>
      </c>
      <c r="E993" s="64">
        <f>21.0625 * CHOOSE(CONTROL!$C$22, $C$13, 100%, $E$13)</f>
        <v>21.0625</v>
      </c>
      <c r="F993" s="64">
        <f>21.0625 * CHOOSE(CONTROL!$C$22, $C$13, 100%, $E$13)</f>
        <v>21.0625</v>
      </c>
      <c r="G993" s="64">
        <f>21.0627 * CHOOSE(CONTROL!$C$22, $C$13, 100%, $E$13)</f>
        <v>21.0627</v>
      </c>
      <c r="H993" s="64">
        <f>33.8668* CHOOSE(CONTROL!$C$22, $C$13, 100%, $E$13)</f>
        <v>33.866799999999998</v>
      </c>
      <c r="I993" s="64">
        <f>33.867 * CHOOSE(CONTROL!$C$22, $C$13, 100%, $E$13)</f>
        <v>33.866999999999997</v>
      </c>
      <c r="J993" s="64">
        <f>21.0625 * CHOOSE(CONTROL!$C$22, $C$13, 100%, $E$13)</f>
        <v>21.0625</v>
      </c>
      <c r="K993" s="64">
        <f>21.0627 * CHOOSE(CONTROL!$C$22, $C$13, 100%, $E$13)</f>
        <v>21.0627</v>
      </c>
    </row>
    <row r="994" spans="1:11" ht="15">
      <c r="A994" s="13">
        <v>71895</v>
      </c>
      <c r="B994" s="63">
        <f>17.8808 * CHOOSE(CONTROL!$C$22, $C$13, 100%, $E$13)</f>
        <v>17.880800000000001</v>
      </c>
      <c r="C994" s="63">
        <f>17.8808 * CHOOSE(CONTROL!$C$22, $C$13, 100%, $E$13)</f>
        <v>17.880800000000001</v>
      </c>
      <c r="D994" s="63">
        <f>17.8981 * CHOOSE(CONTROL!$C$22, $C$13, 100%, $E$13)</f>
        <v>17.898099999999999</v>
      </c>
      <c r="E994" s="64">
        <f>21.1126 * CHOOSE(CONTROL!$C$22, $C$13, 100%, $E$13)</f>
        <v>21.1126</v>
      </c>
      <c r="F994" s="64">
        <f>21.1126 * CHOOSE(CONTROL!$C$22, $C$13, 100%, $E$13)</f>
        <v>21.1126</v>
      </c>
      <c r="G994" s="64">
        <f>21.1128 * CHOOSE(CONTROL!$C$22, $C$13, 100%, $E$13)</f>
        <v>21.1128</v>
      </c>
      <c r="H994" s="64">
        <f>33.9374* CHOOSE(CONTROL!$C$22, $C$13, 100%, $E$13)</f>
        <v>33.937399999999997</v>
      </c>
      <c r="I994" s="64">
        <f>33.9376 * CHOOSE(CONTROL!$C$22, $C$13, 100%, $E$13)</f>
        <v>33.937600000000003</v>
      </c>
      <c r="J994" s="64">
        <f>21.1126 * CHOOSE(CONTROL!$C$22, $C$13, 100%, $E$13)</f>
        <v>21.1126</v>
      </c>
      <c r="K994" s="64">
        <f>21.1128 * CHOOSE(CONTROL!$C$22, $C$13, 100%, $E$13)</f>
        <v>21.1128</v>
      </c>
    </row>
    <row r="995" spans="1:11" ht="15">
      <c r="A995" s="13">
        <v>71925</v>
      </c>
      <c r="B995" s="63">
        <f>17.8808 * CHOOSE(CONTROL!$C$22, $C$13, 100%, $E$13)</f>
        <v>17.880800000000001</v>
      </c>
      <c r="C995" s="63">
        <f>17.8808 * CHOOSE(CONTROL!$C$22, $C$13, 100%, $E$13)</f>
        <v>17.880800000000001</v>
      </c>
      <c r="D995" s="63">
        <f>17.8981 * CHOOSE(CONTROL!$C$22, $C$13, 100%, $E$13)</f>
        <v>17.898099999999999</v>
      </c>
      <c r="E995" s="64">
        <f>20.9928 * CHOOSE(CONTROL!$C$22, $C$13, 100%, $E$13)</f>
        <v>20.992799999999999</v>
      </c>
      <c r="F995" s="64">
        <f>20.9928 * CHOOSE(CONTROL!$C$22, $C$13, 100%, $E$13)</f>
        <v>20.992799999999999</v>
      </c>
      <c r="G995" s="64">
        <f>20.9929 * CHOOSE(CONTROL!$C$22, $C$13, 100%, $E$13)</f>
        <v>20.992899999999999</v>
      </c>
      <c r="H995" s="64">
        <f>34.0081* CHOOSE(CONTROL!$C$22, $C$13, 100%, $E$13)</f>
        <v>34.008099999999999</v>
      </c>
      <c r="I995" s="64">
        <f>34.0083 * CHOOSE(CONTROL!$C$22, $C$13, 100%, $E$13)</f>
        <v>34.008299999999998</v>
      </c>
      <c r="J995" s="64">
        <f>20.9928 * CHOOSE(CONTROL!$C$22, $C$13, 100%, $E$13)</f>
        <v>20.992799999999999</v>
      </c>
      <c r="K995" s="64">
        <f>20.9929 * CHOOSE(CONTROL!$C$22, $C$13, 100%, $E$13)</f>
        <v>20.992899999999999</v>
      </c>
    </row>
    <row r="996" spans="1:11" ht="15">
      <c r="A996" s="13">
        <v>71956</v>
      </c>
      <c r="B996" s="63">
        <f>17.7966 * CHOOSE(CONTROL!$C$22, $C$13, 100%, $E$13)</f>
        <v>17.796600000000002</v>
      </c>
      <c r="C996" s="63">
        <f>17.7966 * CHOOSE(CONTROL!$C$22, $C$13, 100%, $E$13)</f>
        <v>17.796600000000002</v>
      </c>
      <c r="D996" s="63">
        <f>17.8139 * CHOOSE(CONTROL!$C$22, $C$13, 100%, $E$13)</f>
        <v>17.8139</v>
      </c>
      <c r="E996" s="64">
        <f>20.9758 * CHOOSE(CONTROL!$C$22, $C$13, 100%, $E$13)</f>
        <v>20.9758</v>
      </c>
      <c r="F996" s="64">
        <f>20.9758 * CHOOSE(CONTROL!$C$22, $C$13, 100%, $E$13)</f>
        <v>20.9758</v>
      </c>
      <c r="G996" s="64">
        <f>20.976 * CHOOSE(CONTROL!$C$22, $C$13, 100%, $E$13)</f>
        <v>20.975999999999999</v>
      </c>
      <c r="H996" s="64">
        <f>33.6843* CHOOSE(CONTROL!$C$22, $C$13, 100%, $E$13)</f>
        <v>33.6843</v>
      </c>
      <c r="I996" s="64">
        <f>33.6845 * CHOOSE(CONTROL!$C$22, $C$13, 100%, $E$13)</f>
        <v>33.6845</v>
      </c>
      <c r="J996" s="64">
        <f>20.9758 * CHOOSE(CONTROL!$C$22, $C$13, 100%, $E$13)</f>
        <v>20.9758</v>
      </c>
      <c r="K996" s="64">
        <f>20.976 * CHOOSE(CONTROL!$C$22, $C$13, 100%, $E$13)</f>
        <v>20.975999999999999</v>
      </c>
    </row>
    <row r="997" spans="1:11" ht="15">
      <c r="A997" s="13">
        <v>71987</v>
      </c>
      <c r="B997" s="63">
        <f>17.7936 * CHOOSE(CONTROL!$C$22, $C$13, 100%, $E$13)</f>
        <v>17.793600000000001</v>
      </c>
      <c r="C997" s="63">
        <f>17.7936 * CHOOSE(CONTROL!$C$22, $C$13, 100%, $E$13)</f>
        <v>17.793600000000001</v>
      </c>
      <c r="D997" s="63">
        <f>17.8109 * CHOOSE(CONTROL!$C$22, $C$13, 100%, $E$13)</f>
        <v>17.8109</v>
      </c>
      <c r="E997" s="64">
        <f>20.7441 * CHOOSE(CONTROL!$C$22, $C$13, 100%, $E$13)</f>
        <v>20.7441</v>
      </c>
      <c r="F997" s="64">
        <f>20.7441 * CHOOSE(CONTROL!$C$22, $C$13, 100%, $E$13)</f>
        <v>20.7441</v>
      </c>
      <c r="G997" s="64">
        <f>20.7442 * CHOOSE(CONTROL!$C$22, $C$13, 100%, $E$13)</f>
        <v>20.744199999999999</v>
      </c>
      <c r="H997" s="64">
        <f>33.7545* CHOOSE(CONTROL!$C$22, $C$13, 100%, $E$13)</f>
        <v>33.7545</v>
      </c>
      <c r="I997" s="64">
        <f>33.7546 * CHOOSE(CONTROL!$C$22, $C$13, 100%, $E$13)</f>
        <v>33.754600000000003</v>
      </c>
      <c r="J997" s="64">
        <f>20.7441 * CHOOSE(CONTROL!$C$22, $C$13, 100%, $E$13)</f>
        <v>20.7441</v>
      </c>
      <c r="K997" s="64">
        <f>20.7442 * CHOOSE(CONTROL!$C$22, $C$13, 100%, $E$13)</f>
        <v>20.744199999999999</v>
      </c>
    </row>
    <row r="998" spans="1:11" ht="15">
      <c r="A998" s="13">
        <v>72015</v>
      </c>
      <c r="B998" s="63">
        <f>17.7905 * CHOOSE(CONTROL!$C$22, $C$13, 100%, $E$13)</f>
        <v>17.790500000000002</v>
      </c>
      <c r="C998" s="63">
        <f>17.7905 * CHOOSE(CONTROL!$C$22, $C$13, 100%, $E$13)</f>
        <v>17.790500000000002</v>
      </c>
      <c r="D998" s="63">
        <f>17.8079 * CHOOSE(CONTROL!$C$22, $C$13, 100%, $E$13)</f>
        <v>17.8079</v>
      </c>
      <c r="E998" s="64">
        <f>20.923 * CHOOSE(CONTROL!$C$22, $C$13, 100%, $E$13)</f>
        <v>20.922999999999998</v>
      </c>
      <c r="F998" s="64">
        <f>20.923 * CHOOSE(CONTROL!$C$22, $C$13, 100%, $E$13)</f>
        <v>20.922999999999998</v>
      </c>
      <c r="G998" s="64">
        <f>20.9232 * CHOOSE(CONTROL!$C$22, $C$13, 100%, $E$13)</f>
        <v>20.923200000000001</v>
      </c>
      <c r="H998" s="64">
        <f>33.8248* CHOOSE(CONTROL!$C$22, $C$13, 100%, $E$13)</f>
        <v>33.824800000000003</v>
      </c>
      <c r="I998" s="64">
        <f>33.825 * CHOOSE(CONTROL!$C$22, $C$13, 100%, $E$13)</f>
        <v>33.825000000000003</v>
      </c>
      <c r="J998" s="64">
        <f>20.923 * CHOOSE(CONTROL!$C$22, $C$13, 100%, $E$13)</f>
        <v>20.922999999999998</v>
      </c>
      <c r="K998" s="64">
        <f>20.9232 * CHOOSE(CONTROL!$C$22, $C$13, 100%, $E$13)</f>
        <v>20.923200000000001</v>
      </c>
    </row>
    <row r="999" spans="1:11" ht="15">
      <c r="A999" s="13">
        <v>72046</v>
      </c>
      <c r="B999" s="63">
        <f>17.7999 * CHOOSE(CONTROL!$C$22, $C$13, 100%, $E$13)</f>
        <v>17.799900000000001</v>
      </c>
      <c r="C999" s="63">
        <f>17.7999 * CHOOSE(CONTROL!$C$22, $C$13, 100%, $E$13)</f>
        <v>17.799900000000001</v>
      </c>
      <c r="D999" s="63">
        <f>17.8172 * CHOOSE(CONTROL!$C$22, $C$13, 100%, $E$13)</f>
        <v>17.8172</v>
      </c>
      <c r="E999" s="64">
        <f>21.1132 * CHOOSE(CONTROL!$C$22, $C$13, 100%, $E$13)</f>
        <v>21.113199999999999</v>
      </c>
      <c r="F999" s="64">
        <f>21.1132 * CHOOSE(CONTROL!$C$22, $C$13, 100%, $E$13)</f>
        <v>21.113199999999999</v>
      </c>
      <c r="G999" s="64">
        <f>21.1133 * CHOOSE(CONTROL!$C$22, $C$13, 100%, $E$13)</f>
        <v>21.113299999999999</v>
      </c>
      <c r="H999" s="64">
        <f>33.8952* CHOOSE(CONTROL!$C$22, $C$13, 100%, $E$13)</f>
        <v>33.895200000000003</v>
      </c>
      <c r="I999" s="64">
        <f>33.8954 * CHOOSE(CONTROL!$C$22, $C$13, 100%, $E$13)</f>
        <v>33.895400000000002</v>
      </c>
      <c r="J999" s="64">
        <f>21.1132 * CHOOSE(CONTROL!$C$22, $C$13, 100%, $E$13)</f>
        <v>21.113199999999999</v>
      </c>
      <c r="K999" s="64">
        <f>21.1133 * CHOOSE(CONTROL!$C$22, $C$13, 100%, $E$13)</f>
        <v>21.113299999999999</v>
      </c>
    </row>
    <row r="1000" spans="1:11" ht="15">
      <c r="A1000" s="13">
        <v>72076</v>
      </c>
      <c r="B1000" s="63">
        <f>17.7999 * CHOOSE(CONTROL!$C$22, $C$13, 100%, $E$13)</f>
        <v>17.799900000000001</v>
      </c>
      <c r="C1000" s="63">
        <f>17.7999 * CHOOSE(CONTROL!$C$22, $C$13, 100%, $E$13)</f>
        <v>17.799900000000001</v>
      </c>
      <c r="D1000" s="63">
        <f>17.8345 * CHOOSE(CONTROL!$C$22, $C$13, 100%, $E$13)</f>
        <v>17.834499999999998</v>
      </c>
      <c r="E1000" s="64">
        <f>21.1861 * CHOOSE(CONTROL!$C$22, $C$13, 100%, $E$13)</f>
        <v>21.1861</v>
      </c>
      <c r="F1000" s="64">
        <f>21.1861 * CHOOSE(CONTROL!$C$22, $C$13, 100%, $E$13)</f>
        <v>21.1861</v>
      </c>
      <c r="G1000" s="64">
        <f>21.1882 * CHOOSE(CONTROL!$C$22, $C$13, 100%, $E$13)</f>
        <v>21.188199999999998</v>
      </c>
      <c r="H1000" s="64">
        <f>33.9659* CHOOSE(CONTROL!$C$22, $C$13, 100%, $E$13)</f>
        <v>33.965899999999998</v>
      </c>
      <c r="I1000" s="64">
        <f>33.968 * CHOOSE(CONTROL!$C$22, $C$13, 100%, $E$13)</f>
        <v>33.968000000000004</v>
      </c>
      <c r="J1000" s="64">
        <f>21.1861 * CHOOSE(CONTROL!$C$22, $C$13, 100%, $E$13)</f>
        <v>21.1861</v>
      </c>
      <c r="K1000" s="64">
        <f>21.1882 * CHOOSE(CONTROL!$C$22, $C$13, 100%, $E$13)</f>
        <v>21.188199999999998</v>
      </c>
    </row>
    <row r="1001" spans="1:11" ht="15">
      <c r="A1001" s="13">
        <v>72107</v>
      </c>
      <c r="B1001" s="63">
        <f>17.806 * CHOOSE(CONTROL!$C$22, $C$13, 100%, $E$13)</f>
        <v>17.806000000000001</v>
      </c>
      <c r="C1001" s="63">
        <f>17.806 * CHOOSE(CONTROL!$C$22, $C$13, 100%, $E$13)</f>
        <v>17.806000000000001</v>
      </c>
      <c r="D1001" s="63">
        <f>17.8406 * CHOOSE(CONTROL!$C$22, $C$13, 100%, $E$13)</f>
        <v>17.840599999999998</v>
      </c>
      <c r="E1001" s="64">
        <f>21.1174 * CHOOSE(CONTROL!$C$22, $C$13, 100%, $E$13)</f>
        <v>21.1174</v>
      </c>
      <c r="F1001" s="64">
        <f>21.1174 * CHOOSE(CONTROL!$C$22, $C$13, 100%, $E$13)</f>
        <v>21.1174</v>
      </c>
      <c r="G1001" s="64">
        <f>21.1195 * CHOOSE(CONTROL!$C$22, $C$13, 100%, $E$13)</f>
        <v>21.119499999999999</v>
      </c>
      <c r="H1001" s="64">
        <f>34.0366* CHOOSE(CONTROL!$C$22, $C$13, 100%, $E$13)</f>
        <v>34.0366</v>
      </c>
      <c r="I1001" s="64">
        <f>34.0388 * CHOOSE(CONTROL!$C$22, $C$13, 100%, $E$13)</f>
        <v>34.038800000000002</v>
      </c>
      <c r="J1001" s="64">
        <f>21.1174 * CHOOSE(CONTROL!$C$22, $C$13, 100%, $E$13)</f>
        <v>21.1174</v>
      </c>
      <c r="K1001" s="64">
        <f>21.1195 * CHOOSE(CONTROL!$C$22, $C$13, 100%, $E$13)</f>
        <v>21.119499999999999</v>
      </c>
    </row>
    <row r="1002" spans="1:11" ht="15">
      <c r="A1002" s="13">
        <v>72137</v>
      </c>
      <c r="B1002" s="63">
        <f>18.083 * CHOOSE(CONTROL!$C$22, $C$13, 100%, $E$13)</f>
        <v>18.082999999999998</v>
      </c>
      <c r="C1002" s="63">
        <f>18.083 * CHOOSE(CONTROL!$C$22, $C$13, 100%, $E$13)</f>
        <v>18.082999999999998</v>
      </c>
      <c r="D1002" s="63">
        <f>18.1177 * CHOOSE(CONTROL!$C$22, $C$13, 100%, $E$13)</f>
        <v>18.117699999999999</v>
      </c>
      <c r="E1002" s="64">
        <f>21.5171 * CHOOSE(CONTROL!$C$22, $C$13, 100%, $E$13)</f>
        <v>21.517099999999999</v>
      </c>
      <c r="F1002" s="64">
        <f>21.5171 * CHOOSE(CONTROL!$C$22, $C$13, 100%, $E$13)</f>
        <v>21.517099999999999</v>
      </c>
      <c r="G1002" s="64">
        <f>21.5192 * CHOOSE(CONTROL!$C$22, $C$13, 100%, $E$13)</f>
        <v>21.519200000000001</v>
      </c>
      <c r="H1002" s="64">
        <f>34.1075* CHOOSE(CONTROL!$C$22, $C$13, 100%, $E$13)</f>
        <v>34.107500000000002</v>
      </c>
      <c r="I1002" s="64">
        <f>34.1097 * CHOOSE(CONTROL!$C$22, $C$13, 100%, $E$13)</f>
        <v>34.109699999999997</v>
      </c>
      <c r="J1002" s="64">
        <f>21.5171 * CHOOSE(CONTROL!$C$22, $C$13, 100%, $E$13)</f>
        <v>21.517099999999999</v>
      </c>
      <c r="K1002" s="64">
        <f>21.5192 * CHOOSE(CONTROL!$C$22, $C$13, 100%, $E$13)</f>
        <v>21.519200000000001</v>
      </c>
    </row>
    <row r="1003" spans="1:11" ht="15">
      <c r="A1003" s="13">
        <v>72168</v>
      </c>
      <c r="B1003" s="63">
        <f>18.0897 * CHOOSE(CONTROL!$C$22, $C$13, 100%, $E$13)</f>
        <v>18.089700000000001</v>
      </c>
      <c r="C1003" s="63">
        <f>18.0897 * CHOOSE(CONTROL!$C$22, $C$13, 100%, $E$13)</f>
        <v>18.089700000000001</v>
      </c>
      <c r="D1003" s="63">
        <f>18.1244 * CHOOSE(CONTROL!$C$22, $C$13, 100%, $E$13)</f>
        <v>18.124400000000001</v>
      </c>
      <c r="E1003" s="64">
        <f>21.303 * CHOOSE(CONTROL!$C$22, $C$13, 100%, $E$13)</f>
        <v>21.303000000000001</v>
      </c>
      <c r="F1003" s="64">
        <f>21.303 * CHOOSE(CONTROL!$C$22, $C$13, 100%, $E$13)</f>
        <v>21.303000000000001</v>
      </c>
      <c r="G1003" s="64">
        <f>21.3052 * CHOOSE(CONTROL!$C$22, $C$13, 100%, $E$13)</f>
        <v>21.305199999999999</v>
      </c>
      <c r="H1003" s="64">
        <f>34.1786* CHOOSE(CONTROL!$C$22, $C$13, 100%, $E$13)</f>
        <v>34.178600000000003</v>
      </c>
      <c r="I1003" s="64">
        <f>34.1807 * CHOOSE(CONTROL!$C$22, $C$13, 100%, $E$13)</f>
        <v>34.180700000000002</v>
      </c>
      <c r="J1003" s="64">
        <f>21.303 * CHOOSE(CONTROL!$C$22, $C$13, 100%, $E$13)</f>
        <v>21.303000000000001</v>
      </c>
      <c r="K1003" s="64">
        <f>21.3052 * CHOOSE(CONTROL!$C$22, $C$13, 100%, $E$13)</f>
        <v>21.305199999999999</v>
      </c>
    </row>
    <row r="1004" spans="1:11" ht="15">
      <c r="A1004" s="13">
        <v>72199</v>
      </c>
      <c r="B1004" s="63">
        <f>18.0867 * CHOOSE(CONTROL!$C$22, $C$13, 100%, $E$13)</f>
        <v>18.0867</v>
      </c>
      <c r="C1004" s="63">
        <f>18.0867 * CHOOSE(CONTROL!$C$22, $C$13, 100%, $E$13)</f>
        <v>18.0867</v>
      </c>
      <c r="D1004" s="63">
        <f>18.1213 * CHOOSE(CONTROL!$C$22, $C$13, 100%, $E$13)</f>
        <v>18.121300000000002</v>
      </c>
      <c r="E1004" s="64">
        <f>21.2766 * CHOOSE(CONTROL!$C$22, $C$13, 100%, $E$13)</f>
        <v>21.276599999999998</v>
      </c>
      <c r="F1004" s="64">
        <f>21.2766 * CHOOSE(CONTROL!$C$22, $C$13, 100%, $E$13)</f>
        <v>21.276599999999998</v>
      </c>
      <c r="G1004" s="64">
        <f>21.2787 * CHOOSE(CONTROL!$C$22, $C$13, 100%, $E$13)</f>
        <v>21.278700000000001</v>
      </c>
      <c r="H1004" s="64">
        <f>34.2498* CHOOSE(CONTROL!$C$22, $C$13, 100%, $E$13)</f>
        <v>34.2498</v>
      </c>
      <c r="I1004" s="64">
        <f>34.2519 * CHOOSE(CONTROL!$C$22, $C$13, 100%, $E$13)</f>
        <v>34.251899999999999</v>
      </c>
      <c r="J1004" s="64">
        <f>21.2766 * CHOOSE(CONTROL!$C$22, $C$13, 100%, $E$13)</f>
        <v>21.276599999999998</v>
      </c>
      <c r="K1004" s="64">
        <f>21.2787 * CHOOSE(CONTROL!$C$22, $C$13, 100%, $E$13)</f>
        <v>21.278700000000001</v>
      </c>
    </row>
    <row r="1005" spans="1:11" ht="15">
      <c r="A1005" s="13">
        <v>72229</v>
      </c>
      <c r="B1005" s="63">
        <f>18.1277 * CHOOSE(CONTROL!$C$22, $C$13, 100%, $E$13)</f>
        <v>18.127700000000001</v>
      </c>
      <c r="C1005" s="63">
        <f>18.1277 * CHOOSE(CONTROL!$C$22, $C$13, 100%, $E$13)</f>
        <v>18.127700000000001</v>
      </c>
      <c r="D1005" s="63">
        <f>18.1451 * CHOOSE(CONTROL!$C$22, $C$13, 100%, $E$13)</f>
        <v>18.145099999999999</v>
      </c>
      <c r="E1005" s="64">
        <f>21.3604 * CHOOSE(CONTROL!$C$22, $C$13, 100%, $E$13)</f>
        <v>21.360399999999998</v>
      </c>
      <c r="F1005" s="64">
        <f>21.3604 * CHOOSE(CONTROL!$C$22, $C$13, 100%, $E$13)</f>
        <v>21.360399999999998</v>
      </c>
      <c r="G1005" s="64">
        <f>21.3606 * CHOOSE(CONTROL!$C$22, $C$13, 100%, $E$13)</f>
        <v>21.360600000000002</v>
      </c>
      <c r="H1005" s="64">
        <f>34.3211* CHOOSE(CONTROL!$C$22, $C$13, 100%, $E$13)</f>
        <v>34.321100000000001</v>
      </c>
      <c r="I1005" s="64">
        <f>34.3213 * CHOOSE(CONTROL!$C$22, $C$13, 100%, $E$13)</f>
        <v>34.321300000000001</v>
      </c>
      <c r="J1005" s="64">
        <f>21.3604 * CHOOSE(CONTROL!$C$22, $C$13, 100%, $E$13)</f>
        <v>21.360399999999998</v>
      </c>
      <c r="K1005" s="64">
        <f>21.3606 * CHOOSE(CONTROL!$C$22, $C$13, 100%, $E$13)</f>
        <v>21.360600000000002</v>
      </c>
    </row>
    <row r="1006" spans="1:11" ht="15">
      <c r="A1006" s="13">
        <v>72260</v>
      </c>
      <c r="B1006" s="63">
        <f>18.1308 * CHOOSE(CONTROL!$C$22, $C$13, 100%, $E$13)</f>
        <v>18.130800000000001</v>
      </c>
      <c r="C1006" s="63">
        <f>18.1308 * CHOOSE(CONTROL!$C$22, $C$13, 100%, $E$13)</f>
        <v>18.130800000000001</v>
      </c>
      <c r="D1006" s="63">
        <f>18.1481 * CHOOSE(CONTROL!$C$22, $C$13, 100%, $E$13)</f>
        <v>18.148099999999999</v>
      </c>
      <c r="E1006" s="64">
        <f>21.4111 * CHOOSE(CONTROL!$C$22, $C$13, 100%, $E$13)</f>
        <v>21.411100000000001</v>
      </c>
      <c r="F1006" s="64">
        <f>21.4111 * CHOOSE(CONTROL!$C$22, $C$13, 100%, $E$13)</f>
        <v>21.411100000000001</v>
      </c>
      <c r="G1006" s="64">
        <f>21.4113 * CHOOSE(CONTROL!$C$22, $C$13, 100%, $E$13)</f>
        <v>21.411300000000001</v>
      </c>
      <c r="H1006" s="64">
        <f>34.3927* CHOOSE(CONTROL!$C$22, $C$13, 100%, $E$13)</f>
        <v>34.392699999999998</v>
      </c>
      <c r="I1006" s="64">
        <f>34.3928 * CHOOSE(CONTROL!$C$22, $C$13, 100%, $E$13)</f>
        <v>34.392800000000001</v>
      </c>
      <c r="J1006" s="64">
        <f>21.4111 * CHOOSE(CONTROL!$C$22, $C$13, 100%, $E$13)</f>
        <v>21.411100000000001</v>
      </c>
      <c r="K1006" s="64">
        <f>21.4113 * CHOOSE(CONTROL!$C$22, $C$13, 100%, $E$13)</f>
        <v>21.411300000000001</v>
      </c>
    </row>
    <row r="1007" spans="1:11" ht="15">
      <c r="A1007" s="13">
        <v>72290</v>
      </c>
      <c r="B1007" s="63">
        <f>18.1308 * CHOOSE(CONTROL!$C$22, $C$13, 100%, $E$13)</f>
        <v>18.130800000000001</v>
      </c>
      <c r="C1007" s="63">
        <f>18.1308 * CHOOSE(CONTROL!$C$22, $C$13, 100%, $E$13)</f>
        <v>18.130800000000001</v>
      </c>
      <c r="D1007" s="63">
        <f>18.1481 * CHOOSE(CONTROL!$C$22, $C$13, 100%, $E$13)</f>
        <v>18.148099999999999</v>
      </c>
      <c r="E1007" s="64">
        <f>21.2896 * CHOOSE(CONTROL!$C$22, $C$13, 100%, $E$13)</f>
        <v>21.2896</v>
      </c>
      <c r="F1007" s="64">
        <f>21.2896 * CHOOSE(CONTROL!$C$22, $C$13, 100%, $E$13)</f>
        <v>21.2896</v>
      </c>
      <c r="G1007" s="64">
        <f>21.2898 * CHOOSE(CONTROL!$C$22, $C$13, 100%, $E$13)</f>
        <v>21.2898</v>
      </c>
      <c r="H1007" s="64">
        <f>34.4643* CHOOSE(CONTROL!$C$22, $C$13, 100%, $E$13)</f>
        <v>34.464300000000001</v>
      </c>
      <c r="I1007" s="64">
        <f>34.4645 * CHOOSE(CONTROL!$C$22, $C$13, 100%, $E$13)</f>
        <v>34.464500000000001</v>
      </c>
      <c r="J1007" s="64">
        <f>21.2896 * CHOOSE(CONTROL!$C$22, $C$13, 100%, $E$13)</f>
        <v>21.2896</v>
      </c>
      <c r="K1007" s="64">
        <f>21.2898 * CHOOSE(CONTROL!$C$22, $C$13, 100%, $E$13)</f>
        <v>21.2898</v>
      </c>
    </row>
    <row r="1008" spans="1:11" ht="15">
      <c r="A1008" s="13">
        <v>72321</v>
      </c>
      <c r="B1008" s="63">
        <f>18.0419 * CHOOSE(CONTROL!$C$22, $C$13, 100%, $E$13)</f>
        <v>18.041899999999998</v>
      </c>
      <c r="C1008" s="63">
        <f>18.0419 * CHOOSE(CONTROL!$C$22, $C$13, 100%, $E$13)</f>
        <v>18.041899999999998</v>
      </c>
      <c r="D1008" s="63">
        <f>18.0593 * CHOOSE(CONTROL!$C$22, $C$13, 100%, $E$13)</f>
        <v>18.0593</v>
      </c>
      <c r="E1008" s="64">
        <f>21.2682 * CHOOSE(CONTROL!$C$22, $C$13, 100%, $E$13)</f>
        <v>21.2682</v>
      </c>
      <c r="F1008" s="64">
        <f>21.2682 * CHOOSE(CONTROL!$C$22, $C$13, 100%, $E$13)</f>
        <v>21.2682</v>
      </c>
      <c r="G1008" s="64">
        <f>21.2684 * CHOOSE(CONTROL!$C$22, $C$13, 100%, $E$13)</f>
        <v>21.2684</v>
      </c>
      <c r="H1008" s="64">
        <f>34.1302* CHOOSE(CONTROL!$C$22, $C$13, 100%, $E$13)</f>
        <v>34.130200000000002</v>
      </c>
      <c r="I1008" s="64">
        <f>34.1303 * CHOOSE(CONTROL!$C$22, $C$13, 100%, $E$13)</f>
        <v>34.130299999999998</v>
      </c>
      <c r="J1008" s="64">
        <f>21.2682 * CHOOSE(CONTROL!$C$22, $C$13, 100%, $E$13)</f>
        <v>21.2682</v>
      </c>
      <c r="K1008" s="64">
        <f>21.2684 * CHOOSE(CONTROL!$C$22, $C$13, 100%, $E$13)</f>
        <v>21.2684</v>
      </c>
    </row>
    <row r="1009" spans="1:11" ht="15">
      <c r="A1009" s="13">
        <v>72352</v>
      </c>
      <c r="B1009" s="63">
        <f>18.0389 * CHOOSE(CONTROL!$C$22, $C$13, 100%, $E$13)</f>
        <v>18.038900000000002</v>
      </c>
      <c r="C1009" s="63">
        <f>18.0389 * CHOOSE(CONTROL!$C$22, $C$13, 100%, $E$13)</f>
        <v>18.038900000000002</v>
      </c>
      <c r="D1009" s="63">
        <f>18.0562 * CHOOSE(CONTROL!$C$22, $C$13, 100%, $E$13)</f>
        <v>18.0562</v>
      </c>
      <c r="E1009" s="64">
        <f>21.0333 * CHOOSE(CONTROL!$C$22, $C$13, 100%, $E$13)</f>
        <v>21.033300000000001</v>
      </c>
      <c r="F1009" s="64">
        <f>21.0333 * CHOOSE(CONTROL!$C$22, $C$13, 100%, $E$13)</f>
        <v>21.033300000000001</v>
      </c>
      <c r="G1009" s="64">
        <f>21.0334 * CHOOSE(CONTROL!$C$22, $C$13, 100%, $E$13)</f>
        <v>21.0334</v>
      </c>
      <c r="H1009" s="64">
        <f>34.2013* CHOOSE(CONTROL!$C$22, $C$13, 100%, $E$13)</f>
        <v>34.201300000000003</v>
      </c>
      <c r="I1009" s="64">
        <f>34.2015 * CHOOSE(CONTROL!$C$22, $C$13, 100%, $E$13)</f>
        <v>34.201500000000003</v>
      </c>
      <c r="J1009" s="64">
        <f>21.0333 * CHOOSE(CONTROL!$C$22, $C$13, 100%, $E$13)</f>
        <v>21.033300000000001</v>
      </c>
      <c r="K1009" s="64">
        <f>21.0334 * CHOOSE(CONTROL!$C$22, $C$13, 100%, $E$13)</f>
        <v>21.0334</v>
      </c>
    </row>
    <row r="1010" spans="1:11" ht="15">
      <c r="A1010" s="13">
        <v>72380</v>
      </c>
      <c r="B1010" s="63">
        <f>18.0358 * CHOOSE(CONTROL!$C$22, $C$13, 100%, $E$13)</f>
        <v>18.035799999999998</v>
      </c>
      <c r="C1010" s="63">
        <f>18.0358 * CHOOSE(CONTROL!$C$22, $C$13, 100%, $E$13)</f>
        <v>18.035799999999998</v>
      </c>
      <c r="D1010" s="63">
        <f>18.0532 * CHOOSE(CONTROL!$C$22, $C$13, 100%, $E$13)</f>
        <v>18.0532</v>
      </c>
      <c r="E1010" s="64">
        <f>21.2147 * CHOOSE(CONTROL!$C$22, $C$13, 100%, $E$13)</f>
        <v>21.214700000000001</v>
      </c>
      <c r="F1010" s="64">
        <f>21.2147 * CHOOSE(CONTROL!$C$22, $C$13, 100%, $E$13)</f>
        <v>21.214700000000001</v>
      </c>
      <c r="G1010" s="64">
        <f>21.2149 * CHOOSE(CONTROL!$C$22, $C$13, 100%, $E$13)</f>
        <v>21.2149</v>
      </c>
      <c r="H1010" s="64">
        <f>34.2725* CHOOSE(CONTROL!$C$22, $C$13, 100%, $E$13)</f>
        <v>34.272500000000001</v>
      </c>
      <c r="I1010" s="64">
        <f>34.2727 * CHOOSE(CONTROL!$C$22, $C$13, 100%, $E$13)</f>
        <v>34.2727</v>
      </c>
      <c r="J1010" s="64">
        <f>21.2147 * CHOOSE(CONTROL!$C$22, $C$13, 100%, $E$13)</f>
        <v>21.214700000000001</v>
      </c>
      <c r="K1010" s="64">
        <f>21.2149 * CHOOSE(CONTROL!$C$22, $C$13, 100%, $E$13)</f>
        <v>21.2149</v>
      </c>
    </row>
    <row r="1011" spans="1:11" ht="15">
      <c r="A1011" s="13">
        <v>72411</v>
      </c>
      <c r="B1011" s="63">
        <f>18.0454 * CHOOSE(CONTROL!$C$22, $C$13, 100%, $E$13)</f>
        <v>18.045400000000001</v>
      </c>
      <c r="C1011" s="63">
        <f>18.0454 * CHOOSE(CONTROL!$C$22, $C$13, 100%, $E$13)</f>
        <v>18.045400000000001</v>
      </c>
      <c r="D1011" s="63">
        <f>18.0627 * CHOOSE(CONTROL!$C$22, $C$13, 100%, $E$13)</f>
        <v>18.0627</v>
      </c>
      <c r="E1011" s="64">
        <f>21.4076 * CHOOSE(CONTROL!$C$22, $C$13, 100%, $E$13)</f>
        <v>21.407599999999999</v>
      </c>
      <c r="F1011" s="64">
        <f>21.4076 * CHOOSE(CONTROL!$C$22, $C$13, 100%, $E$13)</f>
        <v>21.407599999999999</v>
      </c>
      <c r="G1011" s="64">
        <f>21.4078 * CHOOSE(CONTROL!$C$22, $C$13, 100%, $E$13)</f>
        <v>21.407800000000002</v>
      </c>
      <c r="H1011" s="64">
        <f>34.3439* CHOOSE(CONTROL!$C$22, $C$13, 100%, $E$13)</f>
        <v>34.343899999999998</v>
      </c>
      <c r="I1011" s="64">
        <f>34.3441 * CHOOSE(CONTROL!$C$22, $C$13, 100%, $E$13)</f>
        <v>34.344099999999997</v>
      </c>
      <c r="J1011" s="64">
        <f>21.4076 * CHOOSE(CONTROL!$C$22, $C$13, 100%, $E$13)</f>
        <v>21.407599999999999</v>
      </c>
      <c r="K1011" s="64">
        <f>21.4078 * CHOOSE(CONTROL!$C$22, $C$13, 100%, $E$13)</f>
        <v>21.407800000000002</v>
      </c>
    </row>
    <row r="1012" spans="1:11" ht="15">
      <c r="A1012" s="13">
        <v>72441</v>
      </c>
      <c r="B1012" s="63">
        <f>18.0454 * CHOOSE(CONTROL!$C$22, $C$13, 100%, $E$13)</f>
        <v>18.045400000000001</v>
      </c>
      <c r="C1012" s="63">
        <f>18.0454 * CHOOSE(CONTROL!$C$22, $C$13, 100%, $E$13)</f>
        <v>18.045400000000001</v>
      </c>
      <c r="D1012" s="63">
        <f>18.0801 * CHOOSE(CONTROL!$C$22, $C$13, 100%, $E$13)</f>
        <v>18.080100000000002</v>
      </c>
      <c r="E1012" s="64">
        <f>21.4815 * CHOOSE(CONTROL!$C$22, $C$13, 100%, $E$13)</f>
        <v>21.4815</v>
      </c>
      <c r="F1012" s="64">
        <f>21.4815 * CHOOSE(CONTROL!$C$22, $C$13, 100%, $E$13)</f>
        <v>21.4815</v>
      </c>
      <c r="G1012" s="64">
        <f>21.4837 * CHOOSE(CONTROL!$C$22, $C$13, 100%, $E$13)</f>
        <v>21.483699999999999</v>
      </c>
      <c r="H1012" s="64">
        <f>34.4155* CHOOSE(CONTROL!$C$22, $C$13, 100%, $E$13)</f>
        <v>34.415500000000002</v>
      </c>
      <c r="I1012" s="64">
        <f>34.4176 * CHOOSE(CONTROL!$C$22, $C$13, 100%, $E$13)</f>
        <v>34.4176</v>
      </c>
      <c r="J1012" s="64">
        <f>21.4815 * CHOOSE(CONTROL!$C$22, $C$13, 100%, $E$13)</f>
        <v>21.4815</v>
      </c>
      <c r="K1012" s="64">
        <f>21.4837 * CHOOSE(CONTROL!$C$22, $C$13, 100%, $E$13)</f>
        <v>21.483699999999999</v>
      </c>
    </row>
    <row r="1013" spans="1:11" ht="15">
      <c r="A1013" s="13">
        <v>72472</v>
      </c>
      <c r="B1013" s="63">
        <f>18.0515 * CHOOSE(CONTROL!$C$22, $C$13, 100%, $E$13)</f>
        <v>18.051500000000001</v>
      </c>
      <c r="C1013" s="63">
        <f>18.0515 * CHOOSE(CONTROL!$C$22, $C$13, 100%, $E$13)</f>
        <v>18.051500000000001</v>
      </c>
      <c r="D1013" s="63">
        <f>18.0862 * CHOOSE(CONTROL!$C$22, $C$13, 100%, $E$13)</f>
        <v>18.086200000000002</v>
      </c>
      <c r="E1013" s="64">
        <f>21.4118 * CHOOSE(CONTROL!$C$22, $C$13, 100%, $E$13)</f>
        <v>21.411799999999999</v>
      </c>
      <c r="F1013" s="64">
        <f>21.4118 * CHOOSE(CONTROL!$C$22, $C$13, 100%, $E$13)</f>
        <v>21.411799999999999</v>
      </c>
      <c r="G1013" s="64">
        <f>21.414 * CHOOSE(CONTROL!$C$22, $C$13, 100%, $E$13)</f>
        <v>21.414000000000001</v>
      </c>
      <c r="H1013" s="64">
        <f>34.4872* CHOOSE(CONTROL!$C$22, $C$13, 100%, $E$13)</f>
        <v>34.487200000000001</v>
      </c>
      <c r="I1013" s="64">
        <f>34.4893 * CHOOSE(CONTROL!$C$22, $C$13, 100%, $E$13)</f>
        <v>34.4893</v>
      </c>
      <c r="J1013" s="64">
        <f>21.4118 * CHOOSE(CONTROL!$C$22, $C$13, 100%, $E$13)</f>
        <v>21.411799999999999</v>
      </c>
      <c r="K1013" s="64">
        <f>21.414 * CHOOSE(CONTROL!$C$22, $C$13, 100%, $E$13)</f>
        <v>21.414000000000001</v>
      </c>
    </row>
    <row r="1014" spans="1:11" ht="15">
      <c r="A1014" s="13">
        <v>72502</v>
      </c>
      <c r="B1014" s="63">
        <f>18.3322 * CHOOSE(CONTROL!$C$22, $C$13, 100%, $E$13)</f>
        <v>18.3322</v>
      </c>
      <c r="C1014" s="63">
        <f>18.3322 * CHOOSE(CONTROL!$C$22, $C$13, 100%, $E$13)</f>
        <v>18.3322</v>
      </c>
      <c r="D1014" s="63">
        <f>18.3669 * CHOOSE(CONTROL!$C$22, $C$13, 100%, $E$13)</f>
        <v>18.366900000000001</v>
      </c>
      <c r="E1014" s="64">
        <f>21.817 * CHOOSE(CONTROL!$C$22, $C$13, 100%, $E$13)</f>
        <v>21.817</v>
      </c>
      <c r="F1014" s="64">
        <f>21.817 * CHOOSE(CONTROL!$C$22, $C$13, 100%, $E$13)</f>
        <v>21.817</v>
      </c>
      <c r="G1014" s="64">
        <f>21.8191 * CHOOSE(CONTROL!$C$22, $C$13, 100%, $E$13)</f>
        <v>21.819099999999999</v>
      </c>
      <c r="H1014" s="64">
        <f>34.559* CHOOSE(CONTROL!$C$22, $C$13, 100%, $E$13)</f>
        <v>34.558999999999997</v>
      </c>
      <c r="I1014" s="64">
        <f>34.5612 * CHOOSE(CONTROL!$C$22, $C$13, 100%, $E$13)</f>
        <v>34.561199999999999</v>
      </c>
      <c r="J1014" s="64">
        <f>21.817 * CHOOSE(CONTROL!$C$22, $C$13, 100%, $E$13)</f>
        <v>21.817</v>
      </c>
      <c r="K1014" s="64">
        <f>21.8191 * CHOOSE(CONTROL!$C$22, $C$13, 100%, $E$13)</f>
        <v>21.819099999999999</v>
      </c>
    </row>
    <row r="1015" spans="1:11" ht="15">
      <c r="A1015" s="13">
        <v>72533</v>
      </c>
      <c r="B1015" s="63">
        <f>18.3389 * CHOOSE(CONTROL!$C$22, $C$13, 100%, $E$13)</f>
        <v>18.338899999999999</v>
      </c>
      <c r="C1015" s="63">
        <f>18.3389 * CHOOSE(CONTROL!$C$22, $C$13, 100%, $E$13)</f>
        <v>18.338899999999999</v>
      </c>
      <c r="D1015" s="63">
        <f>18.3736 * CHOOSE(CONTROL!$C$22, $C$13, 100%, $E$13)</f>
        <v>18.3736</v>
      </c>
      <c r="E1015" s="64">
        <f>21.5998 * CHOOSE(CONTROL!$C$22, $C$13, 100%, $E$13)</f>
        <v>21.599799999999998</v>
      </c>
      <c r="F1015" s="64">
        <f>21.5998 * CHOOSE(CONTROL!$C$22, $C$13, 100%, $E$13)</f>
        <v>21.599799999999998</v>
      </c>
      <c r="G1015" s="64">
        <f>21.602 * CHOOSE(CONTROL!$C$22, $C$13, 100%, $E$13)</f>
        <v>21.602</v>
      </c>
      <c r="H1015" s="64">
        <f>34.631* CHOOSE(CONTROL!$C$22, $C$13, 100%, $E$13)</f>
        <v>34.631</v>
      </c>
      <c r="I1015" s="64">
        <f>34.6332 * CHOOSE(CONTROL!$C$22, $C$13, 100%, $E$13)</f>
        <v>34.633200000000002</v>
      </c>
      <c r="J1015" s="64">
        <f>21.5998 * CHOOSE(CONTROL!$C$22, $C$13, 100%, $E$13)</f>
        <v>21.599799999999998</v>
      </c>
      <c r="K1015" s="64">
        <f>21.602 * CHOOSE(CONTROL!$C$22, $C$13, 100%, $E$13)</f>
        <v>21.602</v>
      </c>
    </row>
    <row r="1016" spans="1:11" ht="15">
      <c r="A1016" s="13">
        <v>72564</v>
      </c>
      <c r="B1016" s="63">
        <f>18.3359 * CHOOSE(CONTROL!$C$22, $C$13, 100%, $E$13)</f>
        <v>18.335899999999999</v>
      </c>
      <c r="C1016" s="63">
        <f>18.3359 * CHOOSE(CONTROL!$C$22, $C$13, 100%, $E$13)</f>
        <v>18.335899999999999</v>
      </c>
      <c r="D1016" s="63">
        <f>18.3705 * CHOOSE(CONTROL!$C$22, $C$13, 100%, $E$13)</f>
        <v>18.3705</v>
      </c>
      <c r="E1016" s="64">
        <f>21.5731 * CHOOSE(CONTROL!$C$22, $C$13, 100%, $E$13)</f>
        <v>21.5731</v>
      </c>
      <c r="F1016" s="64">
        <f>21.5731 * CHOOSE(CONTROL!$C$22, $C$13, 100%, $E$13)</f>
        <v>21.5731</v>
      </c>
      <c r="G1016" s="64">
        <f>21.5752 * CHOOSE(CONTROL!$C$22, $C$13, 100%, $E$13)</f>
        <v>21.575199999999999</v>
      </c>
      <c r="H1016" s="64">
        <f>34.7032* CHOOSE(CONTROL!$C$22, $C$13, 100%, $E$13)</f>
        <v>34.703200000000002</v>
      </c>
      <c r="I1016" s="64">
        <f>34.7053 * CHOOSE(CONTROL!$C$22, $C$13, 100%, $E$13)</f>
        <v>34.705300000000001</v>
      </c>
      <c r="J1016" s="64">
        <f>21.5731 * CHOOSE(CONTROL!$C$22, $C$13, 100%, $E$13)</f>
        <v>21.5731</v>
      </c>
      <c r="K1016" s="64">
        <f>21.5752 * CHOOSE(CONTROL!$C$22, $C$13, 100%, $E$13)</f>
        <v>21.575199999999999</v>
      </c>
    </row>
    <row r="1017" spans="1:11" ht="15">
      <c r="A1017" s="13">
        <v>72594</v>
      </c>
      <c r="B1017" s="63">
        <f>18.3778 * CHOOSE(CONTROL!$C$22, $C$13, 100%, $E$13)</f>
        <v>18.377800000000001</v>
      </c>
      <c r="C1017" s="63">
        <f>18.3778 * CHOOSE(CONTROL!$C$22, $C$13, 100%, $E$13)</f>
        <v>18.377800000000001</v>
      </c>
      <c r="D1017" s="63">
        <f>18.3951 * CHOOSE(CONTROL!$C$22, $C$13, 100%, $E$13)</f>
        <v>18.395099999999999</v>
      </c>
      <c r="E1017" s="64">
        <f>21.6582 * CHOOSE(CONTROL!$C$22, $C$13, 100%, $E$13)</f>
        <v>21.658200000000001</v>
      </c>
      <c r="F1017" s="64">
        <f>21.6582 * CHOOSE(CONTROL!$C$22, $C$13, 100%, $E$13)</f>
        <v>21.658200000000001</v>
      </c>
      <c r="G1017" s="64">
        <f>21.6584 * CHOOSE(CONTROL!$C$22, $C$13, 100%, $E$13)</f>
        <v>21.6584</v>
      </c>
      <c r="H1017" s="64">
        <f>34.7755* CHOOSE(CONTROL!$C$22, $C$13, 100%, $E$13)</f>
        <v>34.775500000000001</v>
      </c>
      <c r="I1017" s="64">
        <f>34.7756 * CHOOSE(CONTROL!$C$22, $C$13, 100%, $E$13)</f>
        <v>34.775599999999997</v>
      </c>
      <c r="J1017" s="64">
        <f>21.6582 * CHOOSE(CONTROL!$C$22, $C$13, 100%, $E$13)</f>
        <v>21.658200000000001</v>
      </c>
      <c r="K1017" s="64">
        <f>21.6584 * CHOOSE(CONTROL!$C$22, $C$13, 100%, $E$13)</f>
        <v>21.6584</v>
      </c>
    </row>
    <row r="1018" spans="1:11" ht="15">
      <c r="A1018" s="13">
        <v>72625</v>
      </c>
      <c r="B1018" s="63">
        <f>18.3808 * CHOOSE(CONTROL!$C$22, $C$13, 100%, $E$13)</f>
        <v>18.380800000000001</v>
      </c>
      <c r="C1018" s="63">
        <f>18.3808 * CHOOSE(CONTROL!$C$22, $C$13, 100%, $E$13)</f>
        <v>18.380800000000001</v>
      </c>
      <c r="D1018" s="63">
        <f>18.3981 * CHOOSE(CONTROL!$C$22, $C$13, 100%, $E$13)</f>
        <v>18.398099999999999</v>
      </c>
      <c r="E1018" s="64">
        <f>21.7096 * CHOOSE(CONTROL!$C$22, $C$13, 100%, $E$13)</f>
        <v>21.709599999999998</v>
      </c>
      <c r="F1018" s="64">
        <f>21.7096 * CHOOSE(CONTROL!$C$22, $C$13, 100%, $E$13)</f>
        <v>21.709599999999998</v>
      </c>
      <c r="G1018" s="64">
        <f>21.7098 * CHOOSE(CONTROL!$C$22, $C$13, 100%, $E$13)</f>
        <v>21.709800000000001</v>
      </c>
      <c r="H1018" s="64">
        <f>34.8479* CHOOSE(CONTROL!$C$22, $C$13, 100%, $E$13)</f>
        <v>34.847900000000003</v>
      </c>
      <c r="I1018" s="64">
        <f>34.8481 * CHOOSE(CONTROL!$C$22, $C$13, 100%, $E$13)</f>
        <v>34.848100000000002</v>
      </c>
      <c r="J1018" s="64">
        <f>21.7096 * CHOOSE(CONTROL!$C$22, $C$13, 100%, $E$13)</f>
        <v>21.709599999999998</v>
      </c>
      <c r="K1018" s="64">
        <f>21.7098 * CHOOSE(CONTROL!$C$22, $C$13, 100%, $E$13)</f>
        <v>21.709800000000001</v>
      </c>
    </row>
    <row r="1019" spans="1:11" ht="15">
      <c r="A1019" s="13">
        <v>72655</v>
      </c>
      <c r="B1019" s="63">
        <f>18.3808 * CHOOSE(CONTROL!$C$22, $C$13, 100%, $E$13)</f>
        <v>18.380800000000001</v>
      </c>
      <c r="C1019" s="63">
        <f>18.3808 * CHOOSE(CONTROL!$C$22, $C$13, 100%, $E$13)</f>
        <v>18.380800000000001</v>
      </c>
      <c r="D1019" s="63">
        <f>18.3981 * CHOOSE(CONTROL!$C$22, $C$13, 100%, $E$13)</f>
        <v>18.398099999999999</v>
      </c>
      <c r="E1019" s="64">
        <f>21.5864 * CHOOSE(CONTROL!$C$22, $C$13, 100%, $E$13)</f>
        <v>21.586400000000001</v>
      </c>
      <c r="F1019" s="64">
        <f>21.5864 * CHOOSE(CONTROL!$C$22, $C$13, 100%, $E$13)</f>
        <v>21.586400000000001</v>
      </c>
      <c r="G1019" s="64">
        <f>21.5866 * CHOOSE(CONTROL!$C$22, $C$13, 100%, $E$13)</f>
        <v>21.586600000000001</v>
      </c>
      <c r="H1019" s="64">
        <f>34.9205* CHOOSE(CONTROL!$C$22, $C$13, 100%, $E$13)</f>
        <v>34.920499999999997</v>
      </c>
      <c r="I1019" s="64">
        <f>34.9207 * CHOOSE(CONTROL!$C$22, $C$13, 100%, $E$13)</f>
        <v>34.920699999999997</v>
      </c>
      <c r="J1019" s="64">
        <f>21.5864 * CHOOSE(CONTROL!$C$22, $C$13, 100%, $E$13)</f>
        <v>21.586400000000001</v>
      </c>
      <c r="K1019" s="64">
        <f>21.5866 * CHOOSE(CONTROL!$C$22, $C$13, 100%, $E$13)</f>
        <v>21.586600000000001</v>
      </c>
    </row>
    <row r="1020" spans="1:11" ht="15">
      <c r="A1020" s="13">
        <v>72686</v>
      </c>
      <c r="B1020" s="63">
        <f>18.2872 * CHOOSE(CONTROL!$C$22, $C$13, 100%, $E$13)</f>
        <v>18.287199999999999</v>
      </c>
      <c r="C1020" s="63">
        <f>18.2872 * CHOOSE(CONTROL!$C$22, $C$13, 100%, $E$13)</f>
        <v>18.287199999999999</v>
      </c>
      <c r="D1020" s="63">
        <f>18.3046 * CHOOSE(CONTROL!$C$22, $C$13, 100%, $E$13)</f>
        <v>18.304600000000001</v>
      </c>
      <c r="E1020" s="64">
        <f>21.5606 * CHOOSE(CONTROL!$C$22, $C$13, 100%, $E$13)</f>
        <v>21.560600000000001</v>
      </c>
      <c r="F1020" s="64">
        <f>21.5606 * CHOOSE(CONTROL!$C$22, $C$13, 100%, $E$13)</f>
        <v>21.560600000000001</v>
      </c>
      <c r="G1020" s="64">
        <f>21.5608 * CHOOSE(CONTROL!$C$22, $C$13, 100%, $E$13)</f>
        <v>21.5608</v>
      </c>
      <c r="H1020" s="64">
        <f>34.5761* CHOOSE(CONTROL!$C$22, $C$13, 100%, $E$13)</f>
        <v>34.576099999999997</v>
      </c>
      <c r="I1020" s="64">
        <f>34.5762 * CHOOSE(CONTROL!$C$22, $C$13, 100%, $E$13)</f>
        <v>34.5762</v>
      </c>
      <c r="J1020" s="64">
        <f>21.5606 * CHOOSE(CONTROL!$C$22, $C$13, 100%, $E$13)</f>
        <v>21.560600000000001</v>
      </c>
      <c r="K1020" s="64">
        <f>21.5608 * CHOOSE(CONTROL!$C$22, $C$13, 100%, $E$13)</f>
        <v>21.5608</v>
      </c>
    </row>
    <row r="1021" spans="1:11" ht="15">
      <c r="A1021" s="13">
        <v>72717</v>
      </c>
      <c r="B1021" s="63">
        <f>18.2842 * CHOOSE(CONTROL!$C$22, $C$13, 100%, $E$13)</f>
        <v>18.284199999999998</v>
      </c>
      <c r="C1021" s="63">
        <f>18.2842 * CHOOSE(CONTROL!$C$22, $C$13, 100%, $E$13)</f>
        <v>18.284199999999998</v>
      </c>
      <c r="D1021" s="63">
        <f>18.3015 * CHOOSE(CONTROL!$C$22, $C$13, 100%, $E$13)</f>
        <v>18.301500000000001</v>
      </c>
      <c r="E1021" s="64">
        <f>21.3225 * CHOOSE(CONTROL!$C$22, $C$13, 100%, $E$13)</f>
        <v>21.322500000000002</v>
      </c>
      <c r="F1021" s="64">
        <f>21.3225 * CHOOSE(CONTROL!$C$22, $C$13, 100%, $E$13)</f>
        <v>21.322500000000002</v>
      </c>
      <c r="G1021" s="64">
        <f>21.3227 * CHOOSE(CONTROL!$C$22, $C$13, 100%, $E$13)</f>
        <v>21.322700000000001</v>
      </c>
      <c r="H1021" s="64">
        <f>34.6481* CHOOSE(CONTROL!$C$22, $C$13, 100%, $E$13)</f>
        <v>34.648099999999999</v>
      </c>
      <c r="I1021" s="64">
        <f>34.6483 * CHOOSE(CONTROL!$C$22, $C$13, 100%, $E$13)</f>
        <v>34.648299999999999</v>
      </c>
      <c r="J1021" s="64">
        <f>21.3225 * CHOOSE(CONTROL!$C$22, $C$13, 100%, $E$13)</f>
        <v>21.322500000000002</v>
      </c>
      <c r="K1021" s="64">
        <f>21.3227 * CHOOSE(CONTROL!$C$22, $C$13, 100%, $E$13)</f>
        <v>21.322700000000001</v>
      </c>
    </row>
    <row r="1022" spans="1:11" ht="15">
      <c r="A1022" s="13">
        <v>72745</v>
      </c>
      <c r="B1022" s="63">
        <f>18.2812 * CHOOSE(CONTROL!$C$22, $C$13, 100%, $E$13)</f>
        <v>18.281199999999998</v>
      </c>
      <c r="C1022" s="63">
        <f>18.2812 * CHOOSE(CONTROL!$C$22, $C$13, 100%, $E$13)</f>
        <v>18.281199999999998</v>
      </c>
      <c r="D1022" s="63">
        <f>18.2985 * CHOOSE(CONTROL!$C$22, $C$13, 100%, $E$13)</f>
        <v>18.298500000000001</v>
      </c>
      <c r="E1022" s="64">
        <f>21.5064 * CHOOSE(CONTROL!$C$22, $C$13, 100%, $E$13)</f>
        <v>21.506399999999999</v>
      </c>
      <c r="F1022" s="64">
        <f>21.5064 * CHOOSE(CONTROL!$C$22, $C$13, 100%, $E$13)</f>
        <v>21.506399999999999</v>
      </c>
      <c r="G1022" s="64">
        <f>21.5066 * CHOOSE(CONTROL!$C$22, $C$13, 100%, $E$13)</f>
        <v>21.506599999999999</v>
      </c>
      <c r="H1022" s="64">
        <f>34.7203* CHOOSE(CONTROL!$C$22, $C$13, 100%, $E$13)</f>
        <v>34.720300000000002</v>
      </c>
      <c r="I1022" s="64">
        <f>34.7205 * CHOOSE(CONTROL!$C$22, $C$13, 100%, $E$13)</f>
        <v>34.720500000000001</v>
      </c>
      <c r="J1022" s="64">
        <f>21.5064 * CHOOSE(CONTROL!$C$22, $C$13, 100%, $E$13)</f>
        <v>21.506399999999999</v>
      </c>
      <c r="K1022" s="64">
        <f>21.5066 * CHOOSE(CONTROL!$C$22, $C$13, 100%, $E$13)</f>
        <v>21.506599999999999</v>
      </c>
    </row>
    <row r="1023" spans="1:11" ht="15">
      <c r="A1023" s="13">
        <v>72776</v>
      </c>
      <c r="B1023" s="63">
        <f>18.2909 * CHOOSE(CONTROL!$C$22, $C$13, 100%, $E$13)</f>
        <v>18.290900000000001</v>
      </c>
      <c r="C1023" s="63">
        <f>18.2909 * CHOOSE(CONTROL!$C$22, $C$13, 100%, $E$13)</f>
        <v>18.290900000000001</v>
      </c>
      <c r="D1023" s="63">
        <f>18.3083 * CHOOSE(CONTROL!$C$22, $C$13, 100%, $E$13)</f>
        <v>18.308299999999999</v>
      </c>
      <c r="E1023" s="64">
        <f>21.7021 * CHOOSE(CONTROL!$C$22, $C$13, 100%, $E$13)</f>
        <v>21.702100000000002</v>
      </c>
      <c r="F1023" s="64">
        <f>21.7021 * CHOOSE(CONTROL!$C$22, $C$13, 100%, $E$13)</f>
        <v>21.702100000000002</v>
      </c>
      <c r="G1023" s="64">
        <f>21.7022 * CHOOSE(CONTROL!$C$22, $C$13, 100%, $E$13)</f>
        <v>21.702200000000001</v>
      </c>
      <c r="H1023" s="64">
        <f>34.7926* CHOOSE(CONTROL!$C$22, $C$13, 100%, $E$13)</f>
        <v>34.7926</v>
      </c>
      <c r="I1023" s="64">
        <f>34.7928 * CHOOSE(CONTROL!$C$22, $C$13, 100%, $E$13)</f>
        <v>34.7928</v>
      </c>
      <c r="J1023" s="64">
        <f>21.7021 * CHOOSE(CONTROL!$C$22, $C$13, 100%, $E$13)</f>
        <v>21.702100000000002</v>
      </c>
      <c r="K1023" s="64">
        <f>21.7022 * CHOOSE(CONTROL!$C$22, $C$13, 100%, $E$13)</f>
        <v>21.702200000000001</v>
      </c>
    </row>
    <row r="1024" spans="1:11" ht="15">
      <c r="A1024" s="13">
        <v>72806</v>
      </c>
      <c r="B1024" s="63">
        <f>18.2909 * CHOOSE(CONTROL!$C$22, $C$13, 100%, $E$13)</f>
        <v>18.290900000000001</v>
      </c>
      <c r="C1024" s="63">
        <f>18.2909 * CHOOSE(CONTROL!$C$22, $C$13, 100%, $E$13)</f>
        <v>18.290900000000001</v>
      </c>
      <c r="D1024" s="63">
        <f>18.3256 * CHOOSE(CONTROL!$C$22, $C$13, 100%, $E$13)</f>
        <v>18.325600000000001</v>
      </c>
      <c r="E1024" s="64">
        <f>21.777 * CHOOSE(CONTROL!$C$22, $C$13, 100%, $E$13)</f>
        <v>21.777000000000001</v>
      </c>
      <c r="F1024" s="64">
        <f>21.777 * CHOOSE(CONTROL!$C$22, $C$13, 100%, $E$13)</f>
        <v>21.777000000000001</v>
      </c>
      <c r="G1024" s="64">
        <f>21.7791 * CHOOSE(CONTROL!$C$22, $C$13, 100%, $E$13)</f>
        <v>21.7791</v>
      </c>
      <c r="H1024" s="64">
        <f>34.8651* CHOOSE(CONTROL!$C$22, $C$13, 100%, $E$13)</f>
        <v>34.865099999999998</v>
      </c>
      <c r="I1024" s="64">
        <f>34.8672 * CHOOSE(CONTROL!$C$22, $C$13, 100%, $E$13)</f>
        <v>34.867199999999997</v>
      </c>
      <c r="J1024" s="64">
        <f>21.777 * CHOOSE(CONTROL!$C$22, $C$13, 100%, $E$13)</f>
        <v>21.777000000000001</v>
      </c>
      <c r="K1024" s="64">
        <f>21.7791 * CHOOSE(CONTROL!$C$22, $C$13, 100%, $E$13)</f>
        <v>21.7791</v>
      </c>
    </row>
    <row r="1025" spans="1:11" ht="15">
      <c r="A1025" s="13">
        <v>72837</v>
      </c>
      <c r="B1025" s="63">
        <f>18.297 * CHOOSE(CONTROL!$C$22, $C$13, 100%, $E$13)</f>
        <v>18.297000000000001</v>
      </c>
      <c r="C1025" s="63">
        <f>18.297 * CHOOSE(CONTROL!$C$22, $C$13, 100%, $E$13)</f>
        <v>18.297000000000001</v>
      </c>
      <c r="D1025" s="63">
        <f>18.3317 * CHOOSE(CONTROL!$C$22, $C$13, 100%, $E$13)</f>
        <v>18.331700000000001</v>
      </c>
      <c r="E1025" s="64">
        <f>21.7063 * CHOOSE(CONTROL!$C$22, $C$13, 100%, $E$13)</f>
        <v>21.706299999999999</v>
      </c>
      <c r="F1025" s="64">
        <f>21.7063 * CHOOSE(CONTROL!$C$22, $C$13, 100%, $E$13)</f>
        <v>21.706299999999999</v>
      </c>
      <c r="G1025" s="64">
        <f>21.7084 * CHOOSE(CONTROL!$C$22, $C$13, 100%, $E$13)</f>
        <v>21.708400000000001</v>
      </c>
      <c r="H1025" s="64">
        <f>34.9377* CHOOSE(CONTROL!$C$22, $C$13, 100%, $E$13)</f>
        <v>34.9377</v>
      </c>
      <c r="I1025" s="64">
        <f>34.9399 * CHOOSE(CONTROL!$C$22, $C$13, 100%, $E$13)</f>
        <v>34.939900000000002</v>
      </c>
      <c r="J1025" s="64">
        <f>21.7063 * CHOOSE(CONTROL!$C$22, $C$13, 100%, $E$13)</f>
        <v>21.706299999999999</v>
      </c>
      <c r="K1025" s="64">
        <f>21.7084 * CHOOSE(CONTROL!$C$22, $C$13, 100%, $E$13)</f>
        <v>21.708400000000001</v>
      </c>
    </row>
    <row r="1026" spans="1:11" ht="15">
      <c r="A1026" s="13">
        <v>72867</v>
      </c>
      <c r="B1026" s="63">
        <f>18.5815 * CHOOSE(CONTROL!$C$22, $C$13, 100%, $E$13)</f>
        <v>18.581499999999998</v>
      </c>
      <c r="C1026" s="63">
        <f>18.5815 * CHOOSE(CONTROL!$C$22, $C$13, 100%, $E$13)</f>
        <v>18.581499999999998</v>
      </c>
      <c r="D1026" s="63">
        <f>18.6161 * CHOOSE(CONTROL!$C$22, $C$13, 100%, $E$13)</f>
        <v>18.616099999999999</v>
      </c>
      <c r="E1026" s="64">
        <f>22.1168 * CHOOSE(CONTROL!$C$22, $C$13, 100%, $E$13)</f>
        <v>22.116800000000001</v>
      </c>
      <c r="F1026" s="64">
        <f>22.1168 * CHOOSE(CONTROL!$C$22, $C$13, 100%, $E$13)</f>
        <v>22.116800000000001</v>
      </c>
      <c r="G1026" s="64">
        <f>22.119 * CHOOSE(CONTROL!$C$22, $C$13, 100%, $E$13)</f>
        <v>22.119</v>
      </c>
      <c r="H1026" s="64">
        <f>35.0105* CHOOSE(CONTROL!$C$22, $C$13, 100%, $E$13)</f>
        <v>35.0105</v>
      </c>
      <c r="I1026" s="64">
        <f>35.0127 * CHOOSE(CONTROL!$C$22, $C$13, 100%, $E$13)</f>
        <v>35.012700000000002</v>
      </c>
      <c r="J1026" s="64">
        <f>22.1168 * CHOOSE(CONTROL!$C$22, $C$13, 100%, $E$13)</f>
        <v>22.116800000000001</v>
      </c>
      <c r="K1026" s="64">
        <f>22.119 * CHOOSE(CONTROL!$C$22, $C$13, 100%, $E$13)</f>
        <v>22.119</v>
      </c>
    </row>
    <row r="1027" spans="1:11" ht="15">
      <c r="A1027" s="13">
        <v>72898</v>
      </c>
      <c r="B1027" s="63">
        <f>18.5881 * CHOOSE(CONTROL!$C$22, $C$13, 100%, $E$13)</f>
        <v>18.588100000000001</v>
      </c>
      <c r="C1027" s="63">
        <f>18.5881 * CHOOSE(CONTROL!$C$22, $C$13, 100%, $E$13)</f>
        <v>18.588100000000001</v>
      </c>
      <c r="D1027" s="63">
        <f>18.6228 * CHOOSE(CONTROL!$C$22, $C$13, 100%, $E$13)</f>
        <v>18.622800000000002</v>
      </c>
      <c r="E1027" s="64">
        <f>21.8967 * CHOOSE(CONTROL!$C$22, $C$13, 100%, $E$13)</f>
        <v>21.896699999999999</v>
      </c>
      <c r="F1027" s="64">
        <f>21.8967 * CHOOSE(CONTROL!$C$22, $C$13, 100%, $E$13)</f>
        <v>21.896699999999999</v>
      </c>
      <c r="G1027" s="64">
        <f>21.8988 * CHOOSE(CONTROL!$C$22, $C$13, 100%, $E$13)</f>
        <v>21.898800000000001</v>
      </c>
      <c r="H1027" s="64">
        <f>35.0835* CHOOSE(CONTROL!$C$22, $C$13, 100%, $E$13)</f>
        <v>35.083500000000001</v>
      </c>
      <c r="I1027" s="64">
        <f>35.0856 * CHOOSE(CONTROL!$C$22, $C$13, 100%, $E$13)</f>
        <v>35.085599999999999</v>
      </c>
      <c r="J1027" s="64">
        <f>21.8967 * CHOOSE(CONTROL!$C$22, $C$13, 100%, $E$13)</f>
        <v>21.896699999999999</v>
      </c>
      <c r="K1027" s="64">
        <f>21.8988 * CHOOSE(CONTROL!$C$22, $C$13, 100%, $E$13)</f>
        <v>21.898800000000001</v>
      </c>
    </row>
    <row r="1028" spans="1:11" ht="15">
      <c r="A1028" s="13">
        <v>72929</v>
      </c>
      <c r="B1028" s="63">
        <f>18.5851 * CHOOSE(CONTROL!$C$22, $C$13, 100%, $E$13)</f>
        <v>18.585100000000001</v>
      </c>
      <c r="C1028" s="63">
        <f>18.5851 * CHOOSE(CONTROL!$C$22, $C$13, 100%, $E$13)</f>
        <v>18.585100000000001</v>
      </c>
      <c r="D1028" s="63">
        <f>18.6198 * CHOOSE(CONTROL!$C$22, $C$13, 100%, $E$13)</f>
        <v>18.619800000000001</v>
      </c>
      <c r="E1028" s="64">
        <f>21.8696 * CHOOSE(CONTROL!$C$22, $C$13, 100%, $E$13)</f>
        <v>21.869599999999998</v>
      </c>
      <c r="F1028" s="64">
        <f>21.8696 * CHOOSE(CONTROL!$C$22, $C$13, 100%, $E$13)</f>
        <v>21.869599999999998</v>
      </c>
      <c r="G1028" s="64">
        <f>21.8717 * CHOOSE(CONTROL!$C$22, $C$13, 100%, $E$13)</f>
        <v>21.871700000000001</v>
      </c>
      <c r="H1028" s="64">
        <f>35.1565* CHOOSE(CONTROL!$C$22, $C$13, 100%, $E$13)</f>
        <v>35.156500000000001</v>
      </c>
      <c r="I1028" s="64">
        <f>35.1587 * CHOOSE(CONTROL!$C$22, $C$13, 100%, $E$13)</f>
        <v>35.158700000000003</v>
      </c>
      <c r="J1028" s="64">
        <f>21.8696 * CHOOSE(CONTROL!$C$22, $C$13, 100%, $E$13)</f>
        <v>21.869599999999998</v>
      </c>
      <c r="K1028" s="64">
        <f>21.8717 * CHOOSE(CONTROL!$C$22, $C$13, 100%, $E$13)</f>
        <v>21.871700000000001</v>
      </c>
    </row>
    <row r="1029" spans="1:11" ht="15">
      <c r="A1029" s="13">
        <v>72959</v>
      </c>
      <c r="B1029" s="63">
        <f>18.6278 * CHOOSE(CONTROL!$C$22, $C$13, 100%, $E$13)</f>
        <v>18.627800000000001</v>
      </c>
      <c r="C1029" s="63">
        <f>18.6278 * CHOOSE(CONTROL!$C$22, $C$13, 100%, $E$13)</f>
        <v>18.627800000000001</v>
      </c>
      <c r="D1029" s="63">
        <f>18.6451 * CHOOSE(CONTROL!$C$22, $C$13, 100%, $E$13)</f>
        <v>18.645099999999999</v>
      </c>
      <c r="E1029" s="64">
        <f>21.9561 * CHOOSE(CONTROL!$C$22, $C$13, 100%, $E$13)</f>
        <v>21.956099999999999</v>
      </c>
      <c r="F1029" s="64">
        <f>21.9561 * CHOOSE(CONTROL!$C$22, $C$13, 100%, $E$13)</f>
        <v>21.956099999999999</v>
      </c>
      <c r="G1029" s="64">
        <f>21.9563 * CHOOSE(CONTROL!$C$22, $C$13, 100%, $E$13)</f>
        <v>21.956299999999999</v>
      </c>
      <c r="H1029" s="64">
        <f>35.2298* CHOOSE(CONTROL!$C$22, $C$13, 100%, $E$13)</f>
        <v>35.229799999999997</v>
      </c>
      <c r="I1029" s="64">
        <f>35.23 * CHOOSE(CONTROL!$C$22, $C$13, 100%, $E$13)</f>
        <v>35.229999999999997</v>
      </c>
      <c r="J1029" s="64">
        <f>21.9561 * CHOOSE(CONTROL!$C$22, $C$13, 100%, $E$13)</f>
        <v>21.956099999999999</v>
      </c>
      <c r="K1029" s="64">
        <f>21.9563 * CHOOSE(CONTROL!$C$22, $C$13, 100%, $E$13)</f>
        <v>21.956299999999999</v>
      </c>
    </row>
    <row r="1030" spans="1:11" ht="15">
      <c r="A1030" s="13">
        <v>72990</v>
      </c>
      <c r="B1030" s="63">
        <f>18.6308 * CHOOSE(CONTROL!$C$22, $C$13, 100%, $E$13)</f>
        <v>18.630800000000001</v>
      </c>
      <c r="C1030" s="63">
        <f>18.6308 * CHOOSE(CONTROL!$C$22, $C$13, 100%, $E$13)</f>
        <v>18.630800000000001</v>
      </c>
      <c r="D1030" s="63">
        <f>18.6481 * CHOOSE(CONTROL!$C$22, $C$13, 100%, $E$13)</f>
        <v>18.648099999999999</v>
      </c>
      <c r="E1030" s="64">
        <f>22.0082 * CHOOSE(CONTROL!$C$22, $C$13, 100%, $E$13)</f>
        <v>22.008199999999999</v>
      </c>
      <c r="F1030" s="64">
        <f>22.0082 * CHOOSE(CONTROL!$C$22, $C$13, 100%, $E$13)</f>
        <v>22.008199999999999</v>
      </c>
      <c r="G1030" s="64">
        <f>22.0083 * CHOOSE(CONTROL!$C$22, $C$13, 100%, $E$13)</f>
        <v>22.008299999999998</v>
      </c>
      <c r="H1030" s="64">
        <f>35.3032* CHOOSE(CONTROL!$C$22, $C$13, 100%, $E$13)</f>
        <v>35.303199999999997</v>
      </c>
      <c r="I1030" s="64">
        <f>35.3034 * CHOOSE(CONTROL!$C$22, $C$13, 100%, $E$13)</f>
        <v>35.303400000000003</v>
      </c>
      <c r="J1030" s="64">
        <f>22.0082 * CHOOSE(CONTROL!$C$22, $C$13, 100%, $E$13)</f>
        <v>22.008199999999999</v>
      </c>
      <c r="K1030" s="64">
        <f>22.0083 * CHOOSE(CONTROL!$C$22, $C$13, 100%, $E$13)</f>
        <v>22.008299999999998</v>
      </c>
    </row>
    <row r="1031" spans="1:11" ht="15">
      <c r="A1031" s="13">
        <v>73020</v>
      </c>
      <c r="B1031" s="63">
        <f>18.6308 * CHOOSE(CONTROL!$C$22, $C$13, 100%, $E$13)</f>
        <v>18.630800000000001</v>
      </c>
      <c r="C1031" s="63">
        <f>18.6308 * CHOOSE(CONTROL!$C$22, $C$13, 100%, $E$13)</f>
        <v>18.630800000000001</v>
      </c>
      <c r="D1031" s="63">
        <f>18.6481 * CHOOSE(CONTROL!$C$22, $C$13, 100%, $E$13)</f>
        <v>18.648099999999999</v>
      </c>
      <c r="E1031" s="64">
        <f>21.8833 * CHOOSE(CONTROL!$C$22, $C$13, 100%, $E$13)</f>
        <v>21.883299999999998</v>
      </c>
      <c r="F1031" s="64">
        <f>21.8833 * CHOOSE(CONTROL!$C$22, $C$13, 100%, $E$13)</f>
        <v>21.883299999999998</v>
      </c>
      <c r="G1031" s="64">
        <f>21.8834 * CHOOSE(CONTROL!$C$22, $C$13, 100%, $E$13)</f>
        <v>21.883400000000002</v>
      </c>
      <c r="H1031" s="64">
        <f>35.3767* CHOOSE(CONTROL!$C$22, $C$13, 100%, $E$13)</f>
        <v>35.3767</v>
      </c>
      <c r="I1031" s="64">
        <f>35.3769 * CHOOSE(CONTROL!$C$22, $C$13, 100%, $E$13)</f>
        <v>35.376899999999999</v>
      </c>
      <c r="J1031" s="64">
        <f>21.8833 * CHOOSE(CONTROL!$C$22, $C$13, 100%, $E$13)</f>
        <v>21.883299999999998</v>
      </c>
      <c r="K1031" s="64">
        <f>21.8834 * CHOOSE(CONTROL!$C$22, $C$13, 100%, $E$13)</f>
        <v>21.883400000000002</v>
      </c>
    </row>
    <row r="1032" spans="1:11" ht="15">
      <c r="A1032" s="13">
        <v>73051</v>
      </c>
      <c r="B1032" s="63">
        <f>18.5326 * CHOOSE(CONTROL!$C$22, $C$13, 100%, $E$13)</f>
        <v>18.532599999999999</v>
      </c>
      <c r="C1032" s="63">
        <f>18.5326 * CHOOSE(CONTROL!$C$22, $C$13, 100%, $E$13)</f>
        <v>18.532599999999999</v>
      </c>
      <c r="D1032" s="63">
        <f>18.5499 * CHOOSE(CONTROL!$C$22, $C$13, 100%, $E$13)</f>
        <v>18.549900000000001</v>
      </c>
      <c r="E1032" s="64">
        <f>21.8531 * CHOOSE(CONTROL!$C$22, $C$13, 100%, $E$13)</f>
        <v>21.853100000000001</v>
      </c>
      <c r="F1032" s="64">
        <f>21.8531 * CHOOSE(CONTROL!$C$22, $C$13, 100%, $E$13)</f>
        <v>21.853100000000001</v>
      </c>
      <c r="G1032" s="64">
        <f>21.8532 * CHOOSE(CONTROL!$C$22, $C$13, 100%, $E$13)</f>
        <v>21.853200000000001</v>
      </c>
      <c r="H1032" s="64">
        <f>35.022* CHOOSE(CONTROL!$C$22, $C$13, 100%, $E$13)</f>
        <v>35.021999999999998</v>
      </c>
      <c r="I1032" s="64">
        <f>35.0221 * CHOOSE(CONTROL!$C$22, $C$13, 100%, $E$13)</f>
        <v>35.022100000000002</v>
      </c>
      <c r="J1032" s="64">
        <f>21.8531 * CHOOSE(CONTROL!$C$22, $C$13, 100%, $E$13)</f>
        <v>21.853100000000001</v>
      </c>
      <c r="K1032" s="64">
        <f>21.8532 * CHOOSE(CONTROL!$C$22, $C$13, 100%, $E$13)</f>
        <v>21.853200000000001</v>
      </c>
    </row>
    <row r="1033" spans="1:11" ht="15">
      <c r="A1033" s="13">
        <v>73082</v>
      </c>
      <c r="B1033" s="63">
        <f>18.5295 * CHOOSE(CONTROL!$C$22, $C$13, 100%, $E$13)</f>
        <v>18.529499999999999</v>
      </c>
      <c r="C1033" s="63">
        <f>18.5295 * CHOOSE(CONTROL!$C$22, $C$13, 100%, $E$13)</f>
        <v>18.529499999999999</v>
      </c>
      <c r="D1033" s="63">
        <f>18.5468 * CHOOSE(CONTROL!$C$22, $C$13, 100%, $E$13)</f>
        <v>18.546800000000001</v>
      </c>
      <c r="E1033" s="64">
        <f>21.6117 * CHOOSE(CONTROL!$C$22, $C$13, 100%, $E$13)</f>
        <v>21.611699999999999</v>
      </c>
      <c r="F1033" s="64">
        <f>21.6117 * CHOOSE(CONTROL!$C$22, $C$13, 100%, $E$13)</f>
        <v>21.611699999999999</v>
      </c>
      <c r="G1033" s="64">
        <f>21.6119 * CHOOSE(CONTROL!$C$22, $C$13, 100%, $E$13)</f>
        <v>21.611899999999999</v>
      </c>
      <c r="H1033" s="64">
        <f>35.0949* CHOOSE(CONTROL!$C$22, $C$13, 100%, $E$13)</f>
        <v>35.094900000000003</v>
      </c>
      <c r="I1033" s="64">
        <f>35.0951 * CHOOSE(CONTROL!$C$22, $C$13, 100%, $E$13)</f>
        <v>35.095100000000002</v>
      </c>
      <c r="J1033" s="64">
        <f>21.6117 * CHOOSE(CONTROL!$C$22, $C$13, 100%, $E$13)</f>
        <v>21.611699999999999</v>
      </c>
      <c r="K1033" s="64">
        <f>21.6119 * CHOOSE(CONTROL!$C$22, $C$13, 100%, $E$13)</f>
        <v>21.611899999999999</v>
      </c>
    </row>
    <row r="1034" spans="1:11" ht="15">
      <c r="A1034" s="13">
        <v>73110</v>
      </c>
      <c r="B1034" s="63">
        <f>18.5265 * CHOOSE(CONTROL!$C$22, $C$13, 100%, $E$13)</f>
        <v>18.526499999999999</v>
      </c>
      <c r="C1034" s="63">
        <f>18.5265 * CHOOSE(CONTROL!$C$22, $C$13, 100%, $E$13)</f>
        <v>18.526499999999999</v>
      </c>
      <c r="D1034" s="63">
        <f>18.5438 * CHOOSE(CONTROL!$C$22, $C$13, 100%, $E$13)</f>
        <v>18.543800000000001</v>
      </c>
      <c r="E1034" s="64">
        <f>21.7982 * CHOOSE(CONTROL!$C$22, $C$13, 100%, $E$13)</f>
        <v>21.798200000000001</v>
      </c>
      <c r="F1034" s="64">
        <f>21.7982 * CHOOSE(CONTROL!$C$22, $C$13, 100%, $E$13)</f>
        <v>21.798200000000001</v>
      </c>
      <c r="G1034" s="64">
        <f>21.7984 * CHOOSE(CONTROL!$C$22, $C$13, 100%, $E$13)</f>
        <v>21.798400000000001</v>
      </c>
      <c r="H1034" s="64">
        <f>35.168* CHOOSE(CONTROL!$C$22, $C$13, 100%, $E$13)</f>
        <v>35.167999999999999</v>
      </c>
      <c r="I1034" s="64">
        <f>35.1682 * CHOOSE(CONTROL!$C$22, $C$13, 100%, $E$13)</f>
        <v>35.168199999999999</v>
      </c>
      <c r="J1034" s="64">
        <f>21.7982 * CHOOSE(CONTROL!$C$22, $C$13, 100%, $E$13)</f>
        <v>21.798200000000001</v>
      </c>
      <c r="K1034" s="64">
        <f>21.7984 * CHOOSE(CONTROL!$C$22, $C$13, 100%, $E$13)</f>
        <v>21.798400000000001</v>
      </c>
    </row>
    <row r="1035" spans="1:11" ht="15">
      <c r="A1035" s="13">
        <v>73141</v>
      </c>
      <c r="B1035" s="63">
        <f>18.5365 * CHOOSE(CONTROL!$C$22, $C$13, 100%, $E$13)</f>
        <v>18.5365</v>
      </c>
      <c r="C1035" s="63">
        <f>18.5365 * CHOOSE(CONTROL!$C$22, $C$13, 100%, $E$13)</f>
        <v>18.5365</v>
      </c>
      <c r="D1035" s="63">
        <f>18.5538 * CHOOSE(CONTROL!$C$22, $C$13, 100%, $E$13)</f>
        <v>18.553799999999999</v>
      </c>
      <c r="E1035" s="64">
        <f>21.9965 * CHOOSE(CONTROL!$C$22, $C$13, 100%, $E$13)</f>
        <v>21.996500000000001</v>
      </c>
      <c r="F1035" s="64">
        <f>21.9965 * CHOOSE(CONTROL!$C$22, $C$13, 100%, $E$13)</f>
        <v>21.996500000000001</v>
      </c>
      <c r="G1035" s="64">
        <f>21.9967 * CHOOSE(CONTROL!$C$22, $C$13, 100%, $E$13)</f>
        <v>21.996700000000001</v>
      </c>
      <c r="H1035" s="64">
        <f>35.2413* CHOOSE(CONTROL!$C$22, $C$13, 100%, $E$13)</f>
        <v>35.241300000000003</v>
      </c>
      <c r="I1035" s="64">
        <f>35.2415 * CHOOSE(CONTROL!$C$22, $C$13, 100%, $E$13)</f>
        <v>35.241500000000002</v>
      </c>
      <c r="J1035" s="64">
        <f>21.9965 * CHOOSE(CONTROL!$C$22, $C$13, 100%, $E$13)</f>
        <v>21.996500000000001</v>
      </c>
      <c r="K1035" s="64">
        <f>21.9967 * CHOOSE(CONTROL!$C$22, $C$13, 100%, $E$13)</f>
        <v>21.996700000000001</v>
      </c>
    </row>
    <row r="1036" spans="1:11" ht="15">
      <c r="A1036" s="13">
        <v>73171</v>
      </c>
      <c r="B1036" s="63">
        <f>18.5365 * CHOOSE(CONTROL!$C$22, $C$13, 100%, $E$13)</f>
        <v>18.5365</v>
      </c>
      <c r="C1036" s="63">
        <f>18.5365 * CHOOSE(CONTROL!$C$22, $C$13, 100%, $E$13)</f>
        <v>18.5365</v>
      </c>
      <c r="D1036" s="63">
        <f>18.5711 * CHOOSE(CONTROL!$C$22, $C$13, 100%, $E$13)</f>
        <v>18.571100000000001</v>
      </c>
      <c r="E1036" s="64">
        <f>22.0725 * CHOOSE(CONTROL!$C$22, $C$13, 100%, $E$13)</f>
        <v>22.072500000000002</v>
      </c>
      <c r="F1036" s="64">
        <f>22.0725 * CHOOSE(CONTROL!$C$22, $C$13, 100%, $E$13)</f>
        <v>22.072500000000002</v>
      </c>
      <c r="G1036" s="64">
        <f>22.0746 * CHOOSE(CONTROL!$C$22, $C$13, 100%, $E$13)</f>
        <v>22.0746</v>
      </c>
      <c r="H1036" s="64">
        <f>35.3147* CHOOSE(CONTROL!$C$22, $C$13, 100%, $E$13)</f>
        <v>35.314700000000002</v>
      </c>
      <c r="I1036" s="64">
        <f>35.3169 * CHOOSE(CONTROL!$C$22, $C$13, 100%, $E$13)</f>
        <v>35.316899999999997</v>
      </c>
      <c r="J1036" s="64">
        <f>22.0725 * CHOOSE(CONTROL!$C$22, $C$13, 100%, $E$13)</f>
        <v>22.072500000000002</v>
      </c>
      <c r="K1036" s="64">
        <f>22.0746 * CHOOSE(CONTROL!$C$22, $C$13, 100%, $E$13)</f>
        <v>22.0746</v>
      </c>
    </row>
    <row r="1037" spans="1:11" ht="15">
      <c r="A1037" s="13">
        <v>73202</v>
      </c>
      <c r="B1037" s="63">
        <f>18.5425 * CHOOSE(CONTROL!$C$22, $C$13, 100%, $E$13)</f>
        <v>18.5425</v>
      </c>
      <c r="C1037" s="63">
        <f>18.5425 * CHOOSE(CONTROL!$C$22, $C$13, 100%, $E$13)</f>
        <v>18.5425</v>
      </c>
      <c r="D1037" s="63">
        <f>18.5772 * CHOOSE(CONTROL!$C$22, $C$13, 100%, $E$13)</f>
        <v>18.577200000000001</v>
      </c>
      <c r="E1037" s="64">
        <f>22.0007 * CHOOSE(CONTROL!$C$22, $C$13, 100%, $E$13)</f>
        <v>22.000699999999998</v>
      </c>
      <c r="F1037" s="64">
        <f>22.0007 * CHOOSE(CONTROL!$C$22, $C$13, 100%, $E$13)</f>
        <v>22.000699999999998</v>
      </c>
      <c r="G1037" s="64">
        <f>22.0029 * CHOOSE(CONTROL!$C$22, $C$13, 100%, $E$13)</f>
        <v>22.0029</v>
      </c>
      <c r="H1037" s="64">
        <f>35.3883* CHOOSE(CONTROL!$C$22, $C$13, 100%, $E$13)</f>
        <v>35.388300000000001</v>
      </c>
      <c r="I1037" s="64">
        <f>35.3904 * CHOOSE(CONTROL!$C$22, $C$13, 100%, $E$13)</f>
        <v>35.3904</v>
      </c>
      <c r="J1037" s="64">
        <f>22.0007 * CHOOSE(CONTROL!$C$22, $C$13, 100%, $E$13)</f>
        <v>22.000699999999998</v>
      </c>
      <c r="K1037" s="64">
        <f>22.0029 * CHOOSE(CONTROL!$C$22, $C$13, 100%, $E$13)</f>
        <v>22.0029</v>
      </c>
    </row>
    <row r="1038" spans="1:11" ht="15">
      <c r="A1038" s="13">
        <v>73232</v>
      </c>
      <c r="B1038" s="63">
        <f>18.8307 * CHOOSE(CONTROL!$C$22, $C$13, 100%, $E$13)</f>
        <v>18.8307</v>
      </c>
      <c r="C1038" s="63">
        <f>18.8307 * CHOOSE(CONTROL!$C$22, $C$13, 100%, $E$13)</f>
        <v>18.8307</v>
      </c>
      <c r="D1038" s="63">
        <f>18.8653 * CHOOSE(CONTROL!$C$22, $C$13, 100%, $E$13)</f>
        <v>18.865300000000001</v>
      </c>
      <c r="E1038" s="64">
        <f>22.4167 * CHOOSE(CONTROL!$C$22, $C$13, 100%, $E$13)</f>
        <v>22.416699999999999</v>
      </c>
      <c r="F1038" s="64">
        <f>22.4167 * CHOOSE(CONTROL!$C$22, $C$13, 100%, $E$13)</f>
        <v>22.416699999999999</v>
      </c>
      <c r="G1038" s="64">
        <f>22.4189 * CHOOSE(CONTROL!$C$22, $C$13, 100%, $E$13)</f>
        <v>22.418900000000001</v>
      </c>
      <c r="H1038" s="64">
        <f>35.462* CHOOSE(CONTROL!$C$22, $C$13, 100%, $E$13)</f>
        <v>35.462000000000003</v>
      </c>
      <c r="I1038" s="64">
        <f>35.4642 * CHOOSE(CONTROL!$C$22, $C$13, 100%, $E$13)</f>
        <v>35.464199999999998</v>
      </c>
      <c r="J1038" s="64">
        <f>22.4167 * CHOOSE(CONTROL!$C$22, $C$13, 100%, $E$13)</f>
        <v>22.416699999999999</v>
      </c>
      <c r="K1038" s="64">
        <f>22.4189 * CHOOSE(CONTROL!$C$22, $C$13, 100%, $E$13)</f>
        <v>22.418900000000001</v>
      </c>
    </row>
    <row r="1039" spans="1:11" ht="15">
      <c r="A1039" s="13">
        <v>73263</v>
      </c>
      <c r="B1039" s="63">
        <f>18.8374 * CHOOSE(CONTROL!$C$22, $C$13, 100%, $E$13)</f>
        <v>18.837399999999999</v>
      </c>
      <c r="C1039" s="63">
        <f>18.8374 * CHOOSE(CONTROL!$C$22, $C$13, 100%, $E$13)</f>
        <v>18.837399999999999</v>
      </c>
      <c r="D1039" s="63">
        <f>18.872 * CHOOSE(CONTROL!$C$22, $C$13, 100%, $E$13)</f>
        <v>18.872</v>
      </c>
      <c r="E1039" s="64">
        <f>22.1935 * CHOOSE(CONTROL!$C$22, $C$13, 100%, $E$13)</f>
        <v>22.1935</v>
      </c>
      <c r="F1039" s="64">
        <f>22.1935 * CHOOSE(CONTROL!$C$22, $C$13, 100%, $E$13)</f>
        <v>22.1935</v>
      </c>
      <c r="G1039" s="64">
        <f>22.1956 * CHOOSE(CONTROL!$C$22, $C$13, 100%, $E$13)</f>
        <v>22.195599999999999</v>
      </c>
      <c r="H1039" s="64">
        <f>35.5359* CHOOSE(CONTROL!$C$22, $C$13, 100%, $E$13)</f>
        <v>35.535899999999998</v>
      </c>
      <c r="I1039" s="64">
        <f>35.538 * CHOOSE(CONTROL!$C$22, $C$13, 100%, $E$13)</f>
        <v>35.537999999999997</v>
      </c>
      <c r="J1039" s="64">
        <f>22.1935 * CHOOSE(CONTROL!$C$22, $C$13, 100%, $E$13)</f>
        <v>22.1935</v>
      </c>
      <c r="K1039" s="64">
        <f>22.1956 * CHOOSE(CONTROL!$C$22, $C$13, 100%, $E$13)</f>
        <v>22.195599999999999</v>
      </c>
    </row>
    <row r="1040" spans="1:11" ht="15">
      <c r="A1040" s="13">
        <v>73294</v>
      </c>
      <c r="B1040" s="63">
        <f>18.8343 * CHOOSE(CONTROL!$C$22, $C$13, 100%, $E$13)</f>
        <v>18.834299999999999</v>
      </c>
      <c r="C1040" s="63">
        <f>18.8343 * CHOOSE(CONTROL!$C$22, $C$13, 100%, $E$13)</f>
        <v>18.834299999999999</v>
      </c>
      <c r="D1040" s="63">
        <f>18.869 * CHOOSE(CONTROL!$C$22, $C$13, 100%, $E$13)</f>
        <v>18.869</v>
      </c>
      <c r="E1040" s="64">
        <f>22.1661 * CHOOSE(CONTROL!$C$22, $C$13, 100%, $E$13)</f>
        <v>22.1661</v>
      </c>
      <c r="F1040" s="64">
        <f>22.1661 * CHOOSE(CONTROL!$C$22, $C$13, 100%, $E$13)</f>
        <v>22.1661</v>
      </c>
      <c r="G1040" s="64">
        <f>22.1682 * CHOOSE(CONTROL!$C$22, $C$13, 100%, $E$13)</f>
        <v>22.168199999999999</v>
      </c>
      <c r="H1040" s="64">
        <f>35.6099* CHOOSE(CONTROL!$C$22, $C$13, 100%, $E$13)</f>
        <v>35.609900000000003</v>
      </c>
      <c r="I1040" s="64">
        <f>35.6121 * CHOOSE(CONTROL!$C$22, $C$13, 100%, $E$13)</f>
        <v>35.612099999999998</v>
      </c>
      <c r="J1040" s="64">
        <f>22.1661 * CHOOSE(CONTROL!$C$22, $C$13, 100%, $E$13)</f>
        <v>22.1661</v>
      </c>
      <c r="K1040" s="64">
        <f>22.1682 * CHOOSE(CONTROL!$C$22, $C$13, 100%, $E$13)</f>
        <v>22.168199999999999</v>
      </c>
    </row>
    <row r="1041" spans="1:11" ht="15">
      <c r="A1041" s="13">
        <v>73324</v>
      </c>
      <c r="B1041" s="63">
        <f>18.8778 * CHOOSE(CONTROL!$C$22, $C$13, 100%, $E$13)</f>
        <v>18.877800000000001</v>
      </c>
      <c r="C1041" s="63">
        <f>18.8778 * CHOOSE(CONTROL!$C$22, $C$13, 100%, $E$13)</f>
        <v>18.877800000000001</v>
      </c>
      <c r="D1041" s="63">
        <f>18.8951 * CHOOSE(CONTROL!$C$22, $C$13, 100%, $E$13)</f>
        <v>18.895099999999999</v>
      </c>
      <c r="E1041" s="64">
        <f>22.2539 * CHOOSE(CONTROL!$C$22, $C$13, 100%, $E$13)</f>
        <v>22.253900000000002</v>
      </c>
      <c r="F1041" s="64">
        <f>22.2539 * CHOOSE(CONTROL!$C$22, $C$13, 100%, $E$13)</f>
        <v>22.253900000000002</v>
      </c>
      <c r="G1041" s="64">
        <f>22.2541 * CHOOSE(CONTROL!$C$22, $C$13, 100%, $E$13)</f>
        <v>22.254100000000001</v>
      </c>
      <c r="H1041" s="64">
        <f>35.6841* CHOOSE(CONTROL!$C$22, $C$13, 100%, $E$13)</f>
        <v>35.684100000000001</v>
      </c>
      <c r="I1041" s="64">
        <f>35.6843 * CHOOSE(CONTROL!$C$22, $C$13, 100%, $E$13)</f>
        <v>35.6843</v>
      </c>
      <c r="J1041" s="64">
        <f>22.2539 * CHOOSE(CONTROL!$C$22, $C$13, 100%, $E$13)</f>
        <v>22.253900000000002</v>
      </c>
      <c r="K1041" s="64">
        <f>22.2541 * CHOOSE(CONTROL!$C$22, $C$13, 100%, $E$13)</f>
        <v>22.254100000000001</v>
      </c>
    </row>
    <row r="1042" spans="1:11" ht="15">
      <c r="A1042" s="13">
        <v>73355</v>
      </c>
      <c r="B1042" s="63">
        <f>18.8808 * CHOOSE(CONTROL!$C$22, $C$13, 100%, $E$13)</f>
        <v>18.880800000000001</v>
      </c>
      <c r="C1042" s="63">
        <f>18.8808 * CHOOSE(CONTROL!$C$22, $C$13, 100%, $E$13)</f>
        <v>18.880800000000001</v>
      </c>
      <c r="D1042" s="63">
        <f>18.8982 * CHOOSE(CONTROL!$C$22, $C$13, 100%, $E$13)</f>
        <v>18.898199999999999</v>
      </c>
      <c r="E1042" s="64">
        <f>22.3067 * CHOOSE(CONTROL!$C$22, $C$13, 100%, $E$13)</f>
        <v>22.306699999999999</v>
      </c>
      <c r="F1042" s="64">
        <f>22.3067 * CHOOSE(CONTROL!$C$22, $C$13, 100%, $E$13)</f>
        <v>22.306699999999999</v>
      </c>
      <c r="G1042" s="64">
        <f>22.3069 * CHOOSE(CONTROL!$C$22, $C$13, 100%, $E$13)</f>
        <v>22.306899999999999</v>
      </c>
      <c r="H1042" s="64">
        <f>35.7585* CHOOSE(CONTROL!$C$22, $C$13, 100%, $E$13)</f>
        <v>35.758499999999998</v>
      </c>
      <c r="I1042" s="64">
        <f>35.7586 * CHOOSE(CONTROL!$C$22, $C$13, 100%, $E$13)</f>
        <v>35.758600000000001</v>
      </c>
      <c r="J1042" s="64">
        <f>22.3067 * CHOOSE(CONTROL!$C$22, $C$13, 100%, $E$13)</f>
        <v>22.306699999999999</v>
      </c>
      <c r="K1042" s="64">
        <f>22.3069 * CHOOSE(CONTROL!$C$22, $C$13, 100%, $E$13)</f>
        <v>22.306899999999999</v>
      </c>
    </row>
    <row r="1043" spans="1:11" ht="15">
      <c r="A1043" s="13">
        <v>73385</v>
      </c>
      <c r="B1043" s="63">
        <f>18.8808 * CHOOSE(CONTROL!$C$22, $C$13, 100%, $E$13)</f>
        <v>18.880800000000001</v>
      </c>
      <c r="C1043" s="63">
        <f>18.8808 * CHOOSE(CONTROL!$C$22, $C$13, 100%, $E$13)</f>
        <v>18.880800000000001</v>
      </c>
      <c r="D1043" s="63">
        <f>18.8982 * CHOOSE(CONTROL!$C$22, $C$13, 100%, $E$13)</f>
        <v>18.898199999999999</v>
      </c>
      <c r="E1043" s="64">
        <f>22.1801 * CHOOSE(CONTROL!$C$22, $C$13, 100%, $E$13)</f>
        <v>22.180099999999999</v>
      </c>
      <c r="F1043" s="64">
        <f>22.1801 * CHOOSE(CONTROL!$C$22, $C$13, 100%, $E$13)</f>
        <v>22.180099999999999</v>
      </c>
      <c r="G1043" s="64">
        <f>22.1803 * CHOOSE(CONTROL!$C$22, $C$13, 100%, $E$13)</f>
        <v>22.180299999999999</v>
      </c>
      <c r="H1043" s="64">
        <f>35.833* CHOOSE(CONTROL!$C$22, $C$13, 100%, $E$13)</f>
        <v>35.832999999999998</v>
      </c>
      <c r="I1043" s="64">
        <f>35.8331 * CHOOSE(CONTROL!$C$22, $C$13, 100%, $E$13)</f>
        <v>35.833100000000002</v>
      </c>
      <c r="J1043" s="64">
        <f>22.1801 * CHOOSE(CONTROL!$C$22, $C$13, 100%, $E$13)</f>
        <v>22.180099999999999</v>
      </c>
      <c r="K1043" s="64">
        <f>22.1803 * CHOOSE(CONTROL!$C$22, $C$13, 100%, $E$13)</f>
        <v>22.180299999999999</v>
      </c>
    </row>
    <row r="1044" spans="1:11" ht="15">
      <c r="A1044" s="10"/>
      <c r="B1044" s="63"/>
      <c r="C1044" s="63"/>
      <c r="D1044" s="63"/>
      <c r="E1044" s="64"/>
      <c r="F1044" s="64"/>
      <c r="G1044" s="64"/>
      <c r="H1044" s="64"/>
      <c r="I1044" s="64"/>
      <c r="J1044" s="64"/>
      <c r="K1044" s="64"/>
    </row>
    <row r="1045" spans="1:11" ht="15">
      <c r="A1045" s="3">
        <v>2015</v>
      </c>
      <c r="B1045" s="63">
        <f t="shared" ref="B1045:K1045" si="0">AVERAGE(B17:B23)</f>
        <v>2.2334857142857145</v>
      </c>
      <c r="C1045" s="63">
        <f t="shared" si="0"/>
        <v>2.2334857142857145</v>
      </c>
      <c r="D1045" s="63">
        <f t="shared" si="0"/>
        <v>2.2606999999999999</v>
      </c>
      <c r="E1045" s="63">
        <f t="shared" si="0"/>
        <v>3.317185714285714</v>
      </c>
      <c r="F1045" s="63">
        <f t="shared" si="0"/>
        <v>4.0599999999999996</v>
      </c>
      <c r="G1045" s="63">
        <f t="shared" si="0"/>
        <v>4.0612857142857148</v>
      </c>
      <c r="H1045" s="63">
        <f t="shared" si="0"/>
        <v>5.6835714285714278</v>
      </c>
      <c r="I1045" s="63">
        <f t="shared" si="0"/>
        <v>5.6848857142857137</v>
      </c>
      <c r="J1045" s="63">
        <f t="shared" si="0"/>
        <v>3.317185714285714</v>
      </c>
      <c r="K1045" s="63">
        <f t="shared" si="0"/>
        <v>3.318485714285714</v>
      </c>
    </row>
    <row r="1046" spans="1:11" ht="15">
      <c r="A1046" s="3">
        <v>2016</v>
      </c>
      <c r="B1046" s="63">
        <f t="shared" ref="B1046:K1046" si="1">AVERAGE(B24:B35)</f>
        <v>2.6408833333333335</v>
      </c>
      <c r="C1046" s="63">
        <f t="shared" si="1"/>
        <v>2.6408833333333335</v>
      </c>
      <c r="D1046" s="63">
        <f t="shared" si="1"/>
        <v>2.6654083333333332</v>
      </c>
      <c r="E1046" s="63">
        <f t="shared" si="1"/>
        <v>3.361966666666667</v>
      </c>
      <c r="F1046" s="63">
        <f t="shared" si="1"/>
        <v>4.0214166666666662</v>
      </c>
      <c r="G1046" s="63">
        <f t="shared" si="1"/>
        <v>4.0224083333333347</v>
      </c>
      <c r="H1046" s="63">
        <f t="shared" si="1"/>
        <v>5.7971666666666666</v>
      </c>
      <c r="I1046" s="63">
        <f t="shared" si="1"/>
        <v>5.7981583333333333</v>
      </c>
      <c r="J1046" s="63">
        <f t="shared" si="1"/>
        <v>3.361966666666667</v>
      </c>
      <c r="K1046" s="63">
        <f t="shared" si="1"/>
        <v>3.3629750000000005</v>
      </c>
    </row>
    <row r="1047" spans="1:11" ht="15">
      <c r="A1047" s="3">
        <v>2017</v>
      </c>
      <c r="B1047" s="63">
        <f t="shared" ref="B1047:K1047" si="2">AVERAGE(B36:B47)</f>
        <v>2.7329833333333333</v>
      </c>
      <c r="C1047" s="63">
        <f t="shared" si="2"/>
        <v>2.7329833333333333</v>
      </c>
      <c r="D1047" s="63">
        <f t="shared" si="2"/>
        <v>2.7575166666666662</v>
      </c>
      <c r="E1047" s="63">
        <f t="shared" si="2"/>
        <v>3.5132250000000003</v>
      </c>
      <c r="F1047" s="63">
        <f t="shared" si="2"/>
        <v>3.5132250000000003</v>
      </c>
      <c r="G1047" s="63">
        <f t="shared" si="2"/>
        <v>3.514225000000001</v>
      </c>
      <c r="H1047" s="63">
        <f t="shared" si="2"/>
        <v>5.943766666666666</v>
      </c>
      <c r="I1047" s="63">
        <f t="shared" si="2"/>
        <v>5.9447499999999991</v>
      </c>
      <c r="J1047" s="63">
        <f t="shared" si="2"/>
        <v>3.5132250000000003</v>
      </c>
      <c r="K1047" s="63">
        <f t="shared" si="2"/>
        <v>3.514225000000001</v>
      </c>
    </row>
    <row r="1048" spans="1:11" ht="15">
      <c r="A1048" s="3">
        <v>2018</v>
      </c>
      <c r="B1048" s="63">
        <f t="shared" ref="B1048:K1048" si="3">AVERAGE(B48:B59)</f>
        <v>2.8547750000000001</v>
      </c>
      <c r="C1048" s="63">
        <f t="shared" si="3"/>
        <v>2.8547750000000001</v>
      </c>
      <c r="D1048" s="63">
        <f t="shared" si="3"/>
        <v>2.8793500000000005</v>
      </c>
      <c r="E1048" s="63">
        <f t="shared" si="3"/>
        <v>3.3498833333333331</v>
      </c>
      <c r="F1048" s="63">
        <f t="shared" si="3"/>
        <v>3.3498833333333331</v>
      </c>
      <c r="G1048" s="63">
        <f t="shared" si="3"/>
        <v>3.3508666666666671</v>
      </c>
      <c r="H1048" s="63">
        <f t="shared" si="3"/>
        <v>6.0940916666666674</v>
      </c>
      <c r="I1048" s="63">
        <f t="shared" si="3"/>
        <v>6.0950749999999987</v>
      </c>
      <c r="J1048" s="63">
        <f t="shared" si="3"/>
        <v>3.3498833333333331</v>
      </c>
      <c r="K1048" s="63">
        <f t="shared" si="3"/>
        <v>3.3508666666666671</v>
      </c>
    </row>
    <row r="1049" spans="1:11" ht="15">
      <c r="A1049" s="3">
        <v>2019</v>
      </c>
      <c r="B1049" s="63">
        <f t="shared" ref="B1049:K1049" si="4">AVERAGE(B60:B71)</f>
        <v>2.9488833333333333</v>
      </c>
      <c r="C1049" s="63">
        <f t="shared" si="4"/>
        <v>2.9488833333333333</v>
      </c>
      <c r="D1049" s="63">
        <f t="shared" si="4"/>
        <v>2.9734333333333329</v>
      </c>
      <c r="E1049" s="63">
        <f t="shared" si="4"/>
        <v>3.4520083333333336</v>
      </c>
      <c r="F1049" s="63">
        <f t="shared" si="4"/>
        <v>3.4520083333333336</v>
      </c>
      <c r="G1049" s="63">
        <f t="shared" si="4"/>
        <v>3.4530166666666666</v>
      </c>
      <c r="H1049" s="63">
        <f t="shared" si="4"/>
        <v>6.2481916666666679</v>
      </c>
      <c r="I1049" s="63">
        <f t="shared" si="4"/>
        <v>6.2491999999999992</v>
      </c>
      <c r="J1049" s="63">
        <f t="shared" si="4"/>
        <v>3.4520083333333336</v>
      </c>
      <c r="K1049" s="63">
        <f t="shared" si="4"/>
        <v>3.4530166666666666</v>
      </c>
    </row>
    <row r="1050" spans="1:11" ht="15">
      <c r="A1050" s="3">
        <v>2020</v>
      </c>
      <c r="B1050" s="63">
        <f t="shared" ref="B1050:K1050" si="5">AVERAGE(B72:B83)</f>
        <v>3.0247416666666669</v>
      </c>
      <c r="C1050" s="63">
        <f t="shared" si="5"/>
        <v>3.0247416666666669</v>
      </c>
      <c r="D1050" s="63">
        <f t="shared" si="5"/>
        <v>3.0492833333333333</v>
      </c>
      <c r="E1050" s="63">
        <f t="shared" si="5"/>
        <v>3.5770166666666667</v>
      </c>
      <c r="F1050" s="63">
        <f t="shared" si="5"/>
        <v>3.5770166666666667</v>
      </c>
      <c r="G1050" s="63">
        <f t="shared" si="5"/>
        <v>3.5780250000000002</v>
      </c>
      <c r="H1050" s="63">
        <f t="shared" si="5"/>
        <v>6.4061999999999992</v>
      </c>
      <c r="I1050" s="63">
        <f t="shared" si="5"/>
        <v>6.4071916666666686</v>
      </c>
      <c r="J1050" s="63">
        <f t="shared" si="5"/>
        <v>3.5770166666666667</v>
      </c>
      <c r="K1050" s="63">
        <f t="shared" si="5"/>
        <v>3.5780250000000002</v>
      </c>
    </row>
    <row r="1051" spans="1:11" ht="15">
      <c r="A1051" s="3">
        <v>2021</v>
      </c>
      <c r="B1051" s="63">
        <f t="shared" ref="B1051:K1051" si="6">AVERAGE(B84:B95)</f>
        <v>3.1064250000000002</v>
      </c>
      <c r="C1051" s="63">
        <f t="shared" si="6"/>
        <v>3.1064250000000002</v>
      </c>
      <c r="D1051" s="63">
        <f t="shared" si="6"/>
        <v>3.1310000000000002</v>
      </c>
      <c r="E1051" s="63">
        <f t="shared" si="6"/>
        <v>3.659675</v>
      </c>
      <c r="F1051" s="63">
        <f t="shared" si="6"/>
        <v>3.659675</v>
      </c>
      <c r="G1051" s="63">
        <f t="shared" si="6"/>
        <v>3.6606666666666663</v>
      </c>
      <c r="H1051" s="63">
        <f t="shared" si="6"/>
        <v>6.5682</v>
      </c>
      <c r="I1051" s="63">
        <f t="shared" si="6"/>
        <v>6.5691833333333323</v>
      </c>
      <c r="J1051" s="63">
        <f t="shared" si="6"/>
        <v>3.659675</v>
      </c>
      <c r="K1051" s="63">
        <f t="shared" si="6"/>
        <v>3.6606666666666663</v>
      </c>
    </row>
    <row r="1052" spans="1:11" ht="15">
      <c r="A1052" s="3">
        <v>2022</v>
      </c>
      <c r="B1052" s="63">
        <f t="shared" ref="B1052:K1052" si="7">AVERAGE(B96:B107)</f>
        <v>3.1894000000000005</v>
      </c>
      <c r="C1052" s="63">
        <f t="shared" si="7"/>
        <v>3.1894000000000005</v>
      </c>
      <c r="D1052" s="63">
        <f t="shared" si="7"/>
        <v>3.2139583333333337</v>
      </c>
      <c r="E1052" s="63">
        <f t="shared" si="7"/>
        <v>3.7376166666666673</v>
      </c>
      <c r="F1052" s="63">
        <f t="shared" si="7"/>
        <v>3.7376166666666673</v>
      </c>
      <c r="G1052" s="63">
        <f t="shared" si="7"/>
        <v>3.7386166666666671</v>
      </c>
      <c r="H1052" s="63">
        <f t="shared" si="7"/>
        <v>6.7342833333333338</v>
      </c>
      <c r="I1052" s="63">
        <f t="shared" si="7"/>
        <v>6.7353000000000014</v>
      </c>
      <c r="J1052" s="63">
        <f t="shared" si="7"/>
        <v>3.7376166666666673</v>
      </c>
      <c r="K1052" s="63">
        <f t="shared" si="7"/>
        <v>3.7386166666666671</v>
      </c>
    </row>
    <row r="1053" spans="1:11" ht="15">
      <c r="A1053" s="3">
        <v>2023</v>
      </c>
      <c r="B1053" s="63">
        <f t="shared" ref="B1053:K1053" si="8">AVERAGE(B108:B119)</f>
        <v>3.2733583333333329</v>
      </c>
      <c r="C1053" s="63">
        <f t="shared" si="8"/>
        <v>3.2733583333333329</v>
      </c>
      <c r="D1053" s="63">
        <f t="shared" si="8"/>
        <v>3.2978999999999989</v>
      </c>
      <c r="E1053" s="63">
        <f t="shared" si="8"/>
        <v>3.8185500000000006</v>
      </c>
      <c r="F1053" s="63">
        <f t="shared" si="8"/>
        <v>3.8185500000000006</v>
      </c>
      <c r="G1053" s="63">
        <f t="shared" si="8"/>
        <v>3.81955</v>
      </c>
      <c r="H1053" s="63">
        <f t="shared" si="8"/>
        <v>6.9045916666666658</v>
      </c>
      <c r="I1053" s="63">
        <f t="shared" si="8"/>
        <v>6.9056083333333333</v>
      </c>
      <c r="J1053" s="63">
        <f t="shared" si="8"/>
        <v>3.8185500000000006</v>
      </c>
      <c r="K1053" s="63">
        <f t="shared" si="8"/>
        <v>3.81955</v>
      </c>
    </row>
    <row r="1054" spans="1:11" ht="15">
      <c r="A1054" s="3">
        <v>2024</v>
      </c>
      <c r="B1054" s="63">
        <f t="shared" ref="B1054:K1054" si="9">AVERAGE(B120:B131)</f>
        <v>3.356641666666667</v>
      </c>
      <c r="C1054" s="63">
        <f t="shared" si="9"/>
        <v>3.356641666666667</v>
      </c>
      <c r="D1054" s="63">
        <f t="shared" si="9"/>
        <v>3.3811833333333339</v>
      </c>
      <c r="E1054" s="63">
        <f t="shared" si="9"/>
        <v>3.8828749999999999</v>
      </c>
      <c r="F1054" s="63">
        <f t="shared" si="9"/>
        <v>3.8828749999999999</v>
      </c>
      <c r="G1054" s="63">
        <f t="shared" si="9"/>
        <v>3.8838749999999997</v>
      </c>
      <c r="H1054" s="63">
        <f t="shared" si="9"/>
        <v>7.0792083333333329</v>
      </c>
      <c r="I1054" s="63">
        <f t="shared" si="9"/>
        <v>7.0801916666666669</v>
      </c>
      <c r="J1054" s="63">
        <f t="shared" si="9"/>
        <v>3.8828749999999999</v>
      </c>
      <c r="K1054" s="63">
        <f t="shared" si="9"/>
        <v>3.8838749999999997</v>
      </c>
    </row>
    <row r="1055" spans="1:11" ht="15">
      <c r="A1055" s="3">
        <v>2025</v>
      </c>
      <c r="B1055" s="63">
        <f t="shared" ref="B1055:K1055" si="10">AVERAGE(B132:B143)</f>
        <v>3.4431833333333337</v>
      </c>
      <c r="C1055" s="63">
        <f t="shared" si="10"/>
        <v>3.4431833333333337</v>
      </c>
      <c r="D1055" s="63">
        <f t="shared" si="10"/>
        <v>3.4677416666666665</v>
      </c>
      <c r="E1055" s="63">
        <f t="shared" si="10"/>
        <v>3.9477666666666664</v>
      </c>
      <c r="F1055" s="63">
        <f t="shared" si="10"/>
        <v>3.9477666666666664</v>
      </c>
      <c r="G1055" s="63">
        <f t="shared" si="10"/>
        <v>3.9487833333333326</v>
      </c>
      <c r="H1055" s="63">
        <f t="shared" si="10"/>
        <v>7.2582250000000004</v>
      </c>
      <c r="I1055" s="63">
        <f t="shared" si="10"/>
        <v>7.2592166666666671</v>
      </c>
      <c r="J1055" s="63">
        <f t="shared" si="10"/>
        <v>3.9477666666666664</v>
      </c>
      <c r="K1055" s="63">
        <f t="shared" si="10"/>
        <v>3.9487833333333326</v>
      </c>
    </row>
    <row r="1056" spans="1:11" ht="15">
      <c r="A1056" s="3">
        <v>2026</v>
      </c>
      <c r="B1056" s="63">
        <f t="shared" ref="B1056:K1056" si="11">AVERAGE(B144:B155)</f>
        <v>3.5199749999999992</v>
      </c>
      <c r="C1056" s="63">
        <f t="shared" si="11"/>
        <v>3.5199749999999992</v>
      </c>
      <c r="D1056" s="63">
        <f t="shared" si="11"/>
        <v>3.5445083333333343</v>
      </c>
      <c r="E1056" s="63">
        <f t="shared" si="11"/>
        <v>4.0216916666666664</v>
      </c>
      <c r="F1056" s="63">
        <f t="shared" si="11"/>
        <v>4.0216916666666664</v>
      </c>
      <c r="G1056" s="63">
        <f t="shared" si="11"/>
        <v>4.0227166666666667</v>
      </c>
      <c r="H1056" s="63">
        <f t="shared" si="11"/>
        <v>7.4417749999999998</v>
      </c>
      <c r="I1056" s="63">
        <f t="shared" si="11"/>
        <v>7.4427666666666665</v>
      </c>
      <c r="J1056" s="63">
        <f t="shared" si="11"/>
        <v>4.0216916666666664</v>
      </c>
      <c r="K1056" s="63">
        <f t="shared" si="11"/>
        <v>4.0227166666666667</v>
      </c>
    </row>
    <row r="1057" spans="1:11" ht="15">
      <c r="A1057" s="3">
        <v>2027</v>
      </c>
      <c r="B1057" s="63">
        <f t="shared" ref="B1057:K1057" si="12">AVERAGE(B156:B167)</f>
        <v>3.5945083333333336</v>
      </c>
      <c r="C1057" s="63">
        <f t="shared" si="12"/>
        <v>3.5945083333333336</v>
      </c>
      <c r="D1057" s="63">
        <f t="shared" si="12"/>
        <v>3.619075</v>
      </c>
      <c r="E1057" s="63">
        <f t="shared" si="12"/>
        <v>4.0970250000000004</v>
      </c>
      <c r="F1057" s="63">
        <f t="shared" si="12"/>
        <v>4.0970250000000004</v>
      </c>
      <c r="G1057" s="63">
        <f t="shared" si="12"/>
        <v>4.0980083333333335</v>
      </c>
      <c r="H1057" s="63">
        <f t="shared" si="12"/>
        <v>7.6299583333333345</v>
      </c>
      <c r="I1057" s="63">
        <f t="shared" si="12"/>
        <v>7.6309666666666658</v>
      </c>
      <c r="J1057" s="63">
        <f t="shared" si="12"/>
        <v>4.0970250000000004</v>
      </c>
      <c r="K1057" s="63">
        <f t="shared" si="12"/>
        <v>4.0980083333333335</v>
      </c>
    </row>
    <row r="1058" spans="1:11" ht="15">
      <c r="A1058" s="3">
        <v>2028</v>
      </c>
      <c r="B1058" s="63">
        <f t="shared" ref="B1058:K1058" si="13">AVERAGE(B168:B179)</f>
        <v>3.6865333333333346</v>
      </c>
      <c r="C1058" s="63">
        <f t="shared" si="13"/>
        <v>3.6865333333333346</v>
      </c>
      <c r="D1058" s="63">
        <f t="shared" si="13"/>
        <v>3.7110583333333333</v>
      </c>
      <c r="E1058" s="63">
        <f t="shared" si="13"/>
        <v>4.1895333333333324</v>
      </c>
      <c r="F1058" s="63">
        <f t="shared" si="13"/>
        <v>4.1895333333333324</v>
      </c>
      <c r="G1058" s="63">
        <f t="shared" si="13"/>
        <v>4.1905416666666673</v>
      </c>
      <c r="H1058" s="63">
        <f t="shared" si="13"/>
        <v>7.822916666666667</v>
      </c>
      <c r="I1058" s="63">
        <f t="shared" si="13"/>
        <v>7.8239166666666655</v>
      </c>
      <c r="J1058" s="63">
        <f t="shared" si="13"/>
        <v>4.1895333333333324</v>
      </c>
      <c r="K1058" s="63">
        <f t="shared" si="13"/>
        <v>4.1905416666666673</v>
      </c>
    </row>
    <row r="1059" spans="1:11" ht="15">
      <c r="A1059" s="3">
        <v>2029</v>
      </c>
      <c r="B1059" s="63">
        <f t="shared" ref="B1059:K1059" si="14">AVERAGE(B180:B191)</f>
        <v>3.7820583333333331</v>
      </c>
      <c r="C1059" s="63">
        <f t="shared" si="14"/>
        <v>3.7820583333333331</v>
      </c>
      <c r="D1059" s="63">
        <f t="shared" si="14"/>
        <v>3.8066083333333345</v>
      </c>
      <c r="E1059" s="63">
        <f t="shared" si="14"/>
        <v>4.3054249999999996</v>
      </c>
      <c r="F1059" s="63">
        <f t="shared" si="14"/>
        <v>4.3054249999999996</v>
      </c>
      <c r="G1059" s="63">
        <f t="shared" si="14"/>
        <v>4.3064250000000017</v>
      </c>
      <c r="H1059" s="63">
        <f t="shared" si="14"/>
        <v>8.0207499999999996</v>
      </c>
      <c r="I1059" s="63">
        <f t="shared" si="14"/>
        <v>8.021725</v>
      </c>
      <c r="J1059" s="63">
        <f t="shared" si="14"/>
        <v>4.3054249999999996</v>
      </c>
      <c r="K1059" s="63">
        <f t="shared" si="14"/>
        <v>4.3064250000000017</v>
      </c>
    </row>
    <row r="1060" spans="1:11" ht="15">
      <c r="A1060" s="3">
        <v>2030</v>
      </c>
      <c r="B1060" s="63">
        <f t="shared" ref="B1060:K1060" si="15">AVERAGE(B192:B203)</f>
        <v>3.8811916666666666</v>
      </c>
      <c r="C1060" s="63">
        <f t="shared" si="15"/>
        <v>3.8811916666666666</v>
      </c>
      <c r="D1060" s="63">
        <f t="shared" si="15"/>
        <v>3.9057583333333334</v>
      </c>
      <c r="E1060" s="63">
        <f t="shared" si="15"/>
        <v>4.4246083333333326</v>
      </c>
      <c r="F1060" s="63">
        <f t="shared" si="15"/>
        <v>4.4246083333333326</v>
      </c>
      <c r="G1060" s="63">
        <f t="shared" si="15"/>
        <v>4.4256250000000001</v>
      </c>
      <c r="H1060" s="63">
        <f t="shared" si="15"/>
        <v>8.2235750000000003</v>
      </c>
      <c r="I1060" s="63">
        <f t="shared" si="15"/>
        <v>8.2245833333333334</v>
      </c>
      <c r="J1060" s="63">
        <f t="shared" si="15"/>
        <v>4.4246083333333326</v>
      </c>
      <c r="K1060" s="63">
        <f t="shared" si="15"/>
        <v>4.4256250000000001</v>
      </c>
    </row>
    <row r="1061" spans="1:11" ht="15">
      <c r="A1061" s="3">
        <v>2031</v>
      </c>
      <c r="B1061" s="63">
        <f t="shared" ref="B1061:K1061" si="16">AVERAGE(B204:B215)</f>
        <v>3.9861666666666671</v>
      </c>
      <c r="C1061" s="63">
        <f t="shared" si="16"/>
        <v>3.9861666666666671</v>
      </c>
      <c r="D1061" s="63">
        <f t="shared" si="16"/>
        <v>4.010699999999999</v>
      </c>
      <c r="E1061" s="63">
        <f t="shared" si="16"/>
        <v>4.564283333333333</v>
      </c>
      <c r="F1061" s="63">
        <f t="shared" si="16"/>
        <v>4.564283333333333</v>
      </c>
      <c r="G1061" s="63">
        <f t="shared" si="16"/>
        <v>4.5652833333333334</v>
      </c>
      <c r="H1061" s="63">
        <f t="shared" si="16"/>
        <v>8.4315499999999997</v>
      </c>
      <c r="I1061" s="63">
        <f t="shared" si="16"/>
        <v>8.4325166666666664</v>
      </c>
      <c r="J1061" s="63">
        <f t="shared" si="16"/>
        <v>4.564283333333333</v>
      </c>
      <c r="K1061" s="63">
        <f t="shared" si="16"/>
        <v>4.5652833333333334</v>
      </c>
    </row>
    <row r="1062" spans="1:11" ht="15">
      <c r="A1062" s="3">
        <v>2032</v>
      </c>
      <c r="B1062" s="63">
        <f t="shared" ref="B1062:K1062" si="17">AVERAGE(B216:B227)</f>
        <v>4.1071416666666662</v>
      </c>
      <c r="C1062" s="63">
        <f t="shared" si="17"/>
        <v>4.1071416666666662</v>
      </c>
      <c r="D1062" s="63">
        <f t="shared" si="17"/>
        <v>4.1316666666666668</v>
      </c>
      <c r="E1062" s="63">
        <f t="shared" si="17"/>
        <v>4.7087666666666665</v>
      </c>
      <c r="F1062" s="63">
        <f t="shared" si="17"/>
        <v>4.7087666666666665</v>
      </c>
      <c r="G1062" s="63">
        <f t="shared" si="17"/>
        <v>4.7097333333333333</v>
      </c>
      <c r="H1062" s="63">
        <f t="shared" si="17"/>
        <v>8.6447666666666674</v>
      </c>
      <c r="I1062" s="63">
        <f t="shared" si="17"/>
        <v>8.6457583333333332</v>
      </c>
      <c r="J1062" s="63">
        <f t="shared" si="17"/>
        <v>4.7087666666666665</v>
      </c>
      <c r="K1062" s="63">
        <f t="shared" si="17"/>
        <v>4.7097333333333333</v>
      </c>
    </row>
    <row r="1063" spans="1:11" ht="15">
      <c r="A1063" s="3">
        <v>2033</v>
      </c>
      <c r="B1063" s="63">
        <f t="shared" ref="B1063:K1063" si="18">AVERAGE(B228:B239)</f>
        <v>4.2320083333333329</v>
      </c>
      <c r="C1063" s="63">
        <f t="shared" si="18"/>
        <v>4.2320083333333329</v>
      </c>
      <c r="D1063" s="63">
        <f t="shared" si="18"/>
        <v>4.2565583333333334</v>
      </c>
      <c r="E1063" s="63">
        <f t="shared" si="18"/>
        <v>4.8575416666666671</v>
      </c>
      <c r="F1063" s="63">
        <f t="shared" si="18"/>
        <v>4.8575416666666671</v>
      </c>
      <c r="G1063" s="63">
        <f t="shared" si="18"/>
        <v>4.8585416666666665</v>
      </c>
      <c r="H1063" s="63">
        <f t="shared" si="18"/>
        <v>8.8633666666666659</v>
      </c>
      <c r="I1063" s="63">
        <f t="shared" si="18"/>
        <v>8.8643666666666672</v>
      </c>
      <c r="J1063" s="63">
        <f t="shared" si="18"/>
        <v>4.8575416666666671</v>
      </c>
      <c r="K1063" s="63">
        <f t="shared" si="18"/>
        <v>4.8585416666666665</v>
      </c>
    </row>
    <row r="1064" spans="1:11" ht="15">
      <c r="A1064" s="3">
        <v>2034</v>
      </c>
      <c r="B1064" s="63">
        <f t="shared" ref="B1064:K1064" si="19">AVERAGE(B240:B251)</f>
        <v>4.3617000000000008</v>
      </c>
      <c r="C1064" s="63">
        <f t="shared" si="19"/>
        <v>4.3617000000000008</v>
      </c>
      <c r="D1064" s="63">
        <f t="shared" si="19"/>
        <v>4.3862583333333331</v>
      </c>
      <c r="E1064" s="63">
        <f t="shared" si="19"/>
        <v>5.0112666666666668</v>
      </c>
      <c r="F1064" s="63">
        <f t="shared" si="19"/>
        <v>5.0112666666666668</v>
      </c>
      <c r="G1064" s="63">
        <f t="shared" si="19"/>
        <v>5.0122583333333344</v>
      </c>
      <c r="H1064" s="63">
        <f t="shared" si="19"/>
        <v>9.0875166666666658</v>
      </c>
      <c r="I1064" s="63">
        <f t="shared" si="19"/>
        <v>9.0885083333333334</v>
      </c>
      <c r="J1064" s="63">
        <f t="shared" si="19"/>
        <v>5.0112666666666668</v>
      </c>
      <c r="K1064" s="63">
        <f t="shared" si="19"/>
        <v>5.0122583333333344</v>
      </c>
    </row>
    <row r="1065" spans="1:11" ht="15">
      <c r="A1065" s="3">
        <v>2035</v>
      </c>
      <c r="B1065" s="63">
        <f t="shared" ref="B1065:K1065" si="20">AVERAGE(B252:B263)</f>
        <v>4.4858083333333338</v>
      </c>
      <c r="C1065" s="63">
        <f t="shared" si="20"/>
        <v>4.4858083333333338</v>
      </c>
      <c r="D1065" s="63">
        <f t="shared" si="20"/>
        <v>4.5103666666666662</v>
      </c>
      <c r="E1065" s="63">
        <f t="shared" si="20"/>
        <v>5.1507166666666668</v>
      </c>
      <c r="F1065" s="63">
        <f t="shared" si="20"/>
        <v>5.1507166666666668</v>
      </c>
      <c r="G1065" s="63">
        <f t="shared" si="20"/>
        <v>5.1516999999999991</v>
      </c>
      <c r="H1065" s="63">
        <f t="shared" si="20"/>
        <v>9.3173083333333349</v>
      </c>
      <c r="I1065" s="63">
        <f t="shared" si="20"/>
        <v>9.3183083333333325</v>
      </c>
      <c r="J1065" s="63">
        <f t="shared" si="20"/>
        <v>5.1507166666666668</v>
      </c>
      <c r="K1065" s="63">
        <f t="shared" si="20"/>
        <v>5.1516999999999991</v>
      </c>
    </row>
    <row r="1066" spans="1:11" ht="15">
      <c r="A1066" s="3">
        <v>2036</v>
      </c>
      <c r="B1066" s="63">
        <f t="shared" ref="B1066:K1066" si="21">AVERAGE(B264:B275)</f>
        <v>4.6092000000000004</v>
      </c>
      <c r="C1066" s="63">
        <f t="shared" si="21"/>
        <v>4.6092000000000004</v>
      </c>
      <c r="D1066" s="63">
        <f t="shared" si="21"/>
        <v>4.6337416666666664</v>
      </c>
      <c r="E1066" s="63">
        <f t="shared" si="21"/>
        <v>5.2943249999999997</v>
      </c>
      <c r="F1066" s="63">
        <f t="shared" si="21"/>
        <v>5.2943249999999997</v>
      </c>
      <c r="G1066" s="63">
        <f t="shared" si="21"/>
        <v>5.2953250000000001</v>
      </c>
      <c r="H1066" s="63">
        <f t="shared" si="21"/>
        <v>9.5529416666666673</v>
      </c>
      <c r="I1066" s="63">
        <f t="shared" si="21"/>
        <v>9.553941666666665</v>
      </c>
      <c r="J1066" s="63">
        <f t="shared" si="21"/>
        <v>5.2943249999999997</v>
      </c>
      <c r="K1066" s="63">
        <f t="shared" si="21"/>
        <v>5.2953250000000001</v>
      </c>
    </row>
    <row r="1067" spans="1:11" ht="15">
      <c r="A1067" s="3">
        <v>2037</v>
      </c>
      <c r="B1067" s="63">
        <f t="shared" ref="B1067:K1067" si="22">AVERAGE(B276:B287)</f>
        <v>4.7357500000000003</v>
      </c>
      <c r="C1067" s="63">
        <f t="shared" si="22"/>
        <v>4.7357500000000003</v>
      </c>
      <c r="D1067" s="63">
        <f t="shared" si="22"/>
        <v>4.7603</v>
      </c>
      <c r="E1067" s="63">
        <f t="shared" si="22"/>
        <v>5.441816666666667</v>
      </c>
      <c r="F1067" s="63">
        <f t="shared" si="22"/>
        <v>5.441816666666667</v>
      </c>
      <c r="G1067" s="63">
        <f t="shared" si="22"/>
        <v>5.4428083333333346</v>
      </c>
      <c r="H1067" s="63">
        <f t="shared" si="22"/>
        <v>9.7945249999999984</v>
      </c>
      <c r="I1067" s="63">
        <f t="shared" si="22"/>
        <v>9.7955083333333324</v>
      </c>
      <c r="J1067" s="63">
        <f t="shared" si="22"/>
        <v>5.441816666666667</v>
      </c>
      <c r="K1067" s="63">
        <f t="shared" si="22"/>
        <v>5.4428083333333346</v>
      </c>
    </row>
    <row r="1068" spans="1:11" ht="15">
      <c r="A1068" s="3">
        <v>2038</v>
      </c>
      <c r="B1068" s="63">
        <f t="shared" ref="B1068:K1068" si="23">AVERAGE(B288:B299)</f>
        <v>4.8654333333333337</v>
      </c>
      <c r="C1068" s="63">
        <f t="shared" si="23"/>
        <v>4.8654333333333337</v>
      </c>
      <c r="D1068" s="63">
        <f t="shared" si="23"/>
        <v>4.8899749999999989</v>
      </c>
      <c r="E1068" s="63">
        <f t="shared" si="23"/>
        <v>5.594408333333333</v>
      </c>
      <c r="F1068" s="63">
        <f t="shared" si="23"/>
        <v>5.594408333333333</v>
      </c>
      <c r="G1068" s="63">
        <f t="shared" si="23"/>
        <v>5.5954333333333333</v>
      </c>
      <c r="H1068" s="63">
        <f t="shared" si="23"/>
        <v>10.042208333333333</v>
      </c>
      <c r="I1068" s="63">
        <f t="shared" si="23"/>
        <v>10.043200000000001</v>
      </c>
      <c r="J1068" s="63">
        <f t="shared" si="23"/>
        <v>5.594408333333333</v>
      </c>
      <c r="K1068" s="63">
        <f t="shared" si="23"/>
        <v>5.5954333333333333</v>
      </c>
    </row>
    <row r="1069" spans="1:11" ht="15">
      <c r="A1069" s="3">
        <v>2039</v>
      </c>
      <c r="B1069" s="63">
        <f t="shared" ref="B1069:K1069" si="24">AVERAGE(B300:B311)</f>
        <v>5.0003166666666656</v>
      </c>
      <c r="C1069" s="63">
        <f t="shared" si="24"/>
        <v>5.0003166666666656</v>
      </c>
      <c r="D1069" s="63">
        <f t="shared" si="24"/>
        <v>5.0248583333333334</v>
      </c>
      <c r="E1069" s="63">
        <f t="shared" si="24"/>
        <v>5.749200000000001</v>
      </c>
      <c r="F1069" s="63">
        <f t="shared" si="24"/>
        <v>5.749200000000001</v>
      </c>
      <c r="G1069" s="63">
        <f t="shared" si="24"/>
        <v>5.7501999999999995</v>
      </c>
      <c r="H1069" s="63">
        <f t="shared" si="24"/>
        <v>10.296166666666666</v>
      </c>
      <c r="I1069" s="63">
        <f t="shared" si="24"/>
        <v>10.297133333333335</v>
      </c>
      <c r="J1069" s="63">
        <f t="shared" si="24"/>
        <v>5.749200000000001</v>
      </c>
      <c r="K1069" s="63">
        <f t="shared" si="24"/>
        <v>5.7501999999999995</v>
      </c>
    </row>
    <row r="1070" spans="1:11" ht="15">
      <c r="A1070" s="3">
        <v>2040</v>
      </c>
      <c r="B1070" s="63">
        <f t="shared" ref="B1070:K1070" si="25">AVERAGE(B312:B323)</f>
        <v>5.136425</v>
      </c>
      <c r="C1070" s="63">
        <f t="shared" si="25"/>
        <v>5.136425</v>
      </c>
      <c r="D1070" s="63">
        <f t="shared" si="25"/>
        <v>5.1609916666666669</v>
      </c>
      <c r="E1070" s="63">
        <f t="shared" si="25"/>
        <v>5.9101166666666662</v>
      </c>
      <c r="F1070" s="63">
        <f t="shared" si="25"/>
        <v>5.9101166666666662</v>
      </c>
      <c r="G1070" s="63">
        <f t="shared" si="25"/>
        <v>5.9111083333333339</v>
      </c>
      <c r="H1070" s="63">
        <f t="shared" si="25"/>
        <v>10.556541666666666</v>
      </c>
      <c r="I1070" s="63">
        <f t="shared" si="25"/>
        <v>10.557533333333334</v>
      </c>
      <c r="J1070" s="63">
        <f t="shared" si="25"/>
        <v>5.9101166666666662</v>
      </c>
      <c r="K1070" s="63">
        <f t="shared" si="25"/>
        <v>5.9111083333333339</v>
      </c>
    </row>
    <row r="1071" spans="1:11" ht="15">
      <c r="A1071" s="3">
        <v>2041</v>
      </c>
      <c r="B1071" s="63">
        <f t="shared" ref="B1071:K1071" si="26">AVERAGE(B324:B335)</f>
        <v>5.2762833333333345</v>
      </c>
      <c r="C1071" s="63">
        <f t="shared" si="26"/>
        <v>5.2762833333333345</v>
      </c>
      <c r="D1071" s="63">
        <f t="shared" si="26"/>
        <v>5.3008416666666669</v>
      </c>
      <c r="E1071" s="63">
        <f t="shared" si="26"/>
        <v>6.0755333333333335</v>
      </c>
      <c r="F1071" s="63">
        <f t="shared" si="26"/>
        <v>6.0755333333333335</v>
      </c>
      <c r="G1071" s="63">
        <f t="shared" si="26"/>
        <v>6.0765333333333338</v>
      </c>
      <c r="H1071" s="63">
        <f t="shared" si="26"/>
        <v>10.823500000000001</v>
      </c>
      <c r="I1071" s="63">
        <f t="shared" si="26"/>
        <v>10.824475000000001</v>
      </c>
      <c r="J1071" s="63">
        <f t="shared" si="26"/>
        <v>6.0755333333333335</v>
      </c>
      <c r="K1071" s="63">
        <f t="shared" si="26"/>
        <v>6.0765333333333338</v>
      </c>
    </row>
    <row r="1072" spans="1:11" ht="15">
      <c r="A1072" s="3">
        <v>2042</v>
      </c>
      <c r="B1072" s="63">
        <f t="shared" ref="B1072:K1072" si="27">AVERAGE(B336:B347)</f>
        <v>5.4200000000000008</v>
      </c>
      <c r="C1072" s="63">
        <f t="shared" si="27"/>
        <v>5.4200000000000008</v>
      </c>
      <c r="D1072" s="63">
        <f t="shared" si="27"/>
        <v>5.4445333333333332</v>
      </c>
      <c r="E1072" s="63">
        <f t="shared" si="27"/>
        <v>6.2455916666666669</v>
      </c>
      <c r="F1072" s="63">
        <f t="shared" si="27"/>
        <v>6.2455916666666669</v>
      </c>
      <c r="G1072" s="63">
        <f t="shared" si="27"/>
        <v>6.2465833333333336</v>
      </c>
      <c r="H1072" s="63">
        <f t="shared" si="27"/>
        <v>11.097200000000001</v>
      </c>
      <c r="I1072" s="63">
        <f t="shared" si="27"/>
        <v>11.0982</v>
      </c>
      <c r="J1072" s="63">
        <f t="shared" si="27"/>
        <v>6.2455916666666669</v>
      </c>
      <c r="K1072" s="63">
        <f t="shared" si="27"/>
        <v>6.2465833333333336</v>
      </c>
    </row>
    <row r="1073" spans="1:11" ht="15">
      <c r="A1073" s="3">
        <v>2043</v>
      </c>
      <c r="B1073" s="63">
        <f t="shared" ref="B1073:K1073" si="28">AVERAGE(B348:B359)</f>
        <v>5.5676416666666659</v>
      </c>
      <c r="C1073" s="63">
        <f t="shared" si="28"/>
        <v>5.5676416666666659</v>
      </c>
      <c r="D1073" s="63">
        <f t="shared" si="28"/>
        <v>5.5921833333333337</v>
      </c>
      <c r="E1073" s="63">
        <f t="shared" si="28"/>
        <v>6.4204000000000008</v>
      </c>
      <c r="F1073" s="63">
        <f t="shared" si="28"/>
        <v>6.4204000000000008</v>
      </c>
      <c r="G1073" s="63">
        <f t="shared" si="28"/>
        <v>6.4213833333333321</v>
      </c>
      <c r="H1073" s="63">
        <f t="shared" si="28"/>
        <v>11.377841666666667</v>
      </c>
      <c r="I1073" s="63">
        <f t="shared" si="28"/>
        <v>11.378833333333333</v>
      </c>
      <c r="J1073" s="63">
        <f t="shared" si="28"/>
        <v>6.4204000000000008</v>
      </c>
      <c r="K1073" s="63">
        <f t="shared" si="28"/>
        <v>6.4213833333333321</v>
      </c>
    </row>
    <row r="1074" spans="1:11" ht="15">
      <c r="A1074" s="3">
        <v>2044</v>
      </c>
      <c r="B1074" s="63">
        <f t="shared" ref="B1074:K1074" si="29">AVERAGE(B360:B371)</f>
        <v>5.7193499999999995</v>
      </c>
      <c r="C1074" s="63">
        <f t="shared" si="29"/>
        <v>5.7193499999999995</v>
      </c>
      <c r="D1074" s="63">
        <f t="shared" si="29"/>
        <v>5.7439083333333336</v>
      </c>
      <c r="E1074" s="63">
        <f t="shared" si="29"/>
        <v>6.6000916666666649</v>
      </c>
      <c r="F1074" s="63">
        <f t="shared" si="29"/>
        <v>6.6000916666666649</v>
      </c>
      <c r="G1074" s="63">
        <f t="shared" si="29"/>
        <v>6.6010916666666652</v>
      </c>
      <c r="H1074" s="63">
        <f t="shared" si="29"/>
        <v>11.665550000000001</v>
      </c>
      <c r="I1074" s="63">
        <f t="shared" si="29"/>
        <v>11.666566666666666</v>
      </c>
      <c r="J1074" s="63">
        <f t="shared" si="29"/>
        <v>6.6000916666666649</v>
      </c>
      <c r="K1074" s="63">
        <f t="shared" si="29"/>
        <v>6.6010916666666652</v>
      </c>
    </row>
    <row r="1075" spans="1:11" ht="15">
      <c r="A1075" s="3">
        <v>2045</v>
      </c>
      <c r="B1075" s="63">
        <f t="shared" ref="B1075:K1075" si="30">AVERAGE(B372:B383)</f>
        <v>5.875233333333334</v>
      </c>
      <c r="C1075" s="63">
        <f t="shared" si="30"/>
        <v>5.875233333333334</v>
      </c>
      <c r="D1075" s="63">
        <f t="shared" si="30"/>
        <v>5.8997666666666673</v>
      </c>
      <c r="E1075" s="63">
        <f t="shared" si="30"/>
        <v>6.784841666666666</v>
      </c>
      <c r="F1075" s="63">
        <f t="shared" si="30"/>
        <v>6.784841666666666</v>
      </c>
      <c r="G1075" s="63">
        <f t="shared" si="30"/>
        <v>6.7858166666666682</v>
      </c>
      <c r="H1075" s="63">
        <f t="shared" si="30"/>
        <v>11.960566666666667</v>
      </c>
      <c r="I1075" s="63">
        <f t="shared" si="30"/>
        <v>11.961566666666668</v>
      </c>
      <c r="J1075" s="63">
        <f t="shared" si="30"/>
        <v>6.784841666666666</v>
      </c>
      <c r="K1075" s="63">
        <f t="shared" si="30"/>
        <v>6.7858166666666682</v>
      </c>
    </row>
    <row r="1076" spans="1:11" ht="15">
      <c r="A1076" s="3">
        <v>2046</v>
      </c>
      <c r="B1076" s="63">
        <f t="shared" ref="B1076:K1076" si="31">AVERAGE(B384:B395)</f>
        <v>6.0354000000000001</v>
      </c>
      <c r="C1076" s="63">
        <f t="shared" si="31"/>
        <v>6.0354000000000001</v>
      </c>
      <c r="D1076" s="63">
        <f t="shared" si="31"/>
        <v>6.0599499999999997</v>
      </c>
      <c r="E1076" s="63">
        <f t="shared" si="31"/>
        <v>6.9747249999999994</v>
      </c>
      <c r="F1076" s="63">
        <f t="shared" si="31"/>
        <v>6.9747249999999994</v>
      </c>
      <c r="G1076" s="63">
        <f t="shared" si="31"/>
        <v>6.9757250000000006</v>
      </c>
      <c r="H1076" s="63">
        <f t="shared" si="31"/>
        <v>12.263041666666666</v>
      </c>
      <c r="I1076" s="63">
        <f t="shared" si="31"/>
        <v>12.264024999999998</v>
      </c>
      <c r="J1076" s="63">
        <f t="shared" si="31"/>
        <v>6.9747249999999994</v>
      </c>
      <c r="K1076" s="63">
        <f t="shared" si="31"/>
        <v>6.9757250000000006</v>
      </c>
    </row>
    <row r="1077" spans="1:11" ht="15">
      <c r="A1077" s="3">
        <v>2047</v>
      </c>
      <c r="B1077" s="63">
        <f t="shared" ref="B1077:K1077" si="32">AVERAGE(B396:B407)</f>
        <v>6.1999666666666657</v>
      </c>
      <c r="C1077" s="63">
        <f t="shared" si="32"/>
        <v>6.1999666666666657</v>
      </c>
      <c r="D1077" s="63">
        <f t="shared" si="32"/>
        <v>6.2245499999999998</v>
      </c>
      <c r="E1077" s="63">
        <f t="shared" si="32"/>
        <v>7.1699499999999992</v>
      </c>
      <c r="F1077" s="63">
        <f t="shared" si="32"/>
        <v>7.1699499999999992</v>
      </c>
      <c r="G1077" s="63">
        <f t="shared" si="32"/>
        <v>7.170958333333334</v>
      </c>
      <c r="H1077" s="63">
        <f t="shared" si="32"/>
        <v>12.573133333333333</v>
      </c>
      <c r="I1077" s="63">
        <f t="shared" si="32"/>
        <v>12.574150000000001</v>
      </c>
      <c r="J1077" s="63">
        <f t="shared" si="32"/>
        <v>7.1699499999999992</v>
      </c>
      <c r="K1077" s="63">
        <f t="shared" si="32"/>
        <v>7.170958333333334</v>
      </c>
    </row>
    <row r="1078" spans="1:11" ht="15">
      <c r="A1078" s="3">
        <v>2048</v>
      </c>
      <c r="B1078" s="63">
        <f t="shared" ref="B1078:K1078" si="33">AVERAGE(B408:B419)</f>
        <v>6.3690833333333332</v>
      </c>
      <c r="C1078" s="63">
        <f t="shared" si="33"/>
        <v>6.3690833333333332</v>
      </c>
      <c r="D1078" s="63">
        <f t="shared" si="33"/>
        <v>6.3936333333333337</v>
      </c>
      <c r="E1078" s="63">
        <f t="shared" si="33"/>
        <v>7.3706416666666676</v>
      </c>
      <c r="F1078" s="63">
        <f t="shared" si="33"/>
        <v>7.3706416666666676</v>
      </c>
      <c r="G1078" s="63">
        <f t="shared" si="33"/>
        <v>7.3716416666666662</v>
      </c>
      <c r="H1078" s="63">
        <f t="shared" si="33"/>
        <v>12.891116666666667</v>
      </c>
      <c r="I1078" s="63">
        <f t="shared" si="33"/>
        <v>12.892083333333332</v>
      </c>
      <c r="J1078" s="63">
        <f t="shared" si="33"/>
        <v>7.3706416666666676</v>
      </c>
      <c r="K1078" s="63">
        <f t="shared" si="33"/>
        <v>7.3716416666666662</v>
      </c>
    </row>
    <row r="1079" spans="1:11" ht="15">
      <c r="A1079" s="3">
        <v>2049</v>
      </c>
      <c r="B1079" s="63">
        <f t="shared" ref="B1079:K1079" si="34">AVERAGE(B420:B431)</f>
        <v>6.5428583333333341</v>
      </c>
      <c r="C1079" s="63">
        <f t="shared" si="34"/>
        <v>6.5428583333333341</v>
      </c>
      <c r="D1079" s="63">
        <f t="shared" si="34"/>
        <v>6.5674000000000001</v>
      </c>
      <c r="E1079" s="63">
        <f t="shared" si="34"/>
        <v>7.5769250000000001</v>
      </c>
      <c r="F1079" s="63">
        <f t="shared" si="34"/>
        <v>7.5769250000000001</v>
      </c>
      <c r="G1079" s="63">
        <f t="shared" si="34"/>
        <v>7.5779333333333332</v>
      </c>
      <c r="H1079" s="63">
        <f t="shared" si="34"/>
        <v>13.217100000000002</v>
      </c>
      <c r="I1079" s="63">
        <f t="shared" si="34"/>
        <v>13.218091666666666</v>
      </c>
      <c r="J1079" s="63">
        <f t="shared" si="34"/>
        <v>7.5769250000000001</v>
      </c>
      <c r="K1079" s="63">
        <f t="shared" si="34"/>
        <v>7.5779333333333332</v>
      </c>
    </row>
    <row r="1080" spans="1:11" ht="15">
      <c r="A1080" s="3">
        <v>2050</v>
      </c>
      <c r="B1080" s="63">
        <f t="shared" ref="B1080:K1080" si="35">AVERAGE(B432:B443)</f>
        <v>6.7214083333333337</v>
      </c>
      <c r="C1080" s="63">
        <f t="shared" si="35"/>
        <v>6.7214083333333337</v>
      </c>
      <c r="D1080" s="63">
        <f t="shared" si="35"/>
        <v>6.7459416666666669</v>
      </c>
      <c r="E1080" s="63">
        <f t="shared" si="35"/>
        <v>7.7890083333333324</v>
      </c>
      <c r="F1080" s="63">
        <f t="shared" si="35"/>
        <v>7.7890083333333324</v>
      </c>
      <c r="G1080" s="63">
        <f t="shared" si="35"/>
        <v>7.789975000000001</v>
      </c>
      <c r="H1080" s="63">
        <f t="shared" si="35"/>
        <v>13.551349999999999</v>
      </c>
      <c r="I1080" s="63">
        <f t="shared" si="35"/>
        <v>13.552316666666668</v>
      </c>
      <c r="J1080" s="63">
        <f t="shared" si="35"/>
        <v>7.7890083333333324</v>
      </c>
      <c r="K1080" s="63">
        <f t="shared" si="35"/>
        <v>7.789975000000001</v>
      </c>
    </row>
    <row r="1081" spans="1:11" ht="15">
      <c r="A1081" s="3">
        <v>2051</v>
      </c>
      <c r="B1081" s="63">
        <f t="shared" ref="B1081:K1081" si="36">AVERAGE(B444:B455)</f>
        <v>6.9048833333333333</v>
      </c>
      <c r="C1081" s="63">
        <f t="shared" si="36"/>
        <v>6.9048833333333333</v>
      </c>
      <c r="D1081" s="63">
        <f t="shared" si="36"/>
        <v>6.9294000000000011</v>
      </c>
      <c r="E1081" s="63">
        <f t="shared" si="36"/>
        <v>8.0070083333333333</v>
      </c>
      <c r="F1081" s="63">
        <f t="shared" si="36"/>
        <v>8.0070083333333333</v>
      </c>
      <c r="G1081" s="63">
        <f t="shared" si="36"/>
        <v>8.0079916666666673</v>
      </c>
      <c r="H1081" s="63">
        <f t="shared" si="36"/>
        <v>13.894016666666666</v>
      </c>
      <c r="I1081" s="63">
        <f t="shared" si="36"/>
        <v>13.895024999999997</v>
      </c>
      <c r="J1081" s="63">
        <f t="shared" si="36"/>
        <v>8.0070083333333333</v>
      </c>
      <c r="K1081" s="63">
        <f t="shared" si="36"/>
        <v>8.0079916666666673</v>
      </c>
    </row>
    <row r="1082" spans="1:11" ht="15">
      <c r="A1082" s="3">
        <v>2052</v>
      </c>
      <c r="B1082" s="63">
        <f t="shared" ref="B1082:K1082" si="37">AVERAGE(B456:B467)</f>
        <v>7.0933999999999999</v>
      </c>
      <c r="C1082" s="63">
        <f t="shared" si="37"/>
        <v>7.0933999999999999</v>
      </c>
      <c r="D1082" s="63">
        <f t="shared" si="37"/>
        <v>7.1179416666666668</v>
      </c>
      <c r="E1082" s="63">
        <f t="shared" si="37"/>
        <v>8.2311083333333332</v>
      </c>
      <c r="F1082" s="63">
        <f t="shared" si="37"/>
        <v>8.2311083333333332</v>
      </c>
      <c r="G1082" s="63">
        <f t="shared" si="37"/>
        <v>8.2320999999999991</v>
      </c>
      <c r="H1082" s="63">
        <f t="shared" si="37"/>
        <v>14.245383333333331</v>
      </c>
      <c r="I1082" s="63">
        <f t="shared" si="37"/>
        <v>14.246383333333334</v>
      </c>
      <c r="J1082" s="63">
        <f t="shared" si="37"/>
        <v>8.2311083333333332</v>
      </c>
      <c r="K1082" s="63">
        <f t="shared" si="37"/>
        <v>8.2320999999999991</v>
      </c>
    </row>
    <row r="1083" spans="1:11" ht="15">
      <c r="A1083" s="3">
        <v>2053</v>
      </c>
      <c r="B1083" s="63">
        <f t="shared" ref="B1083:K1083" si="38">AVERAGE(B468:B479)</f>
        <v>7.2871333333333324</v>
      </c>
      <c r="C1083" s="63">
        <f t="shared" si="38"/>
        <v>7.2871333333333324</v>
      </c>
      <c r="D1083" s="63">
        <f t="shared" si="38"/>
        <v>7.3116583333333338</v>
      </c>
      <c r="E1083" s="63">
        <f t="shared" si="38"/>
        <v>8.4614916666666673</v>
      </c>
      <c r="F1083" s="63">
        <f t="shared" si="38"/>
        <v>8.4614916666666673</v>
      </c>
      <c r="G1083" s="63">
        <f t="shared" si="38"/>
        <v>8.462491666666665</v>
      </c>
      <c r="H1083" s="63">
        <f t="shared" si="38"/>
        <v>14.605633333333332</v>
      </c>
      <c r="I1083" s="63">
        <f t="shared" si="38"/>
        <v>14.606633333333333</v>
      </c>
      <c r="J1083" s="63">
        <f t="shared" si="38"/>
        <v>8.4614916666666673</v>
      </c>
      <c r="K1083" s="63">
        <f t="shared" si="38"/>
        <v>8.462491666666665</v>
      </c>
    </row>
    <row r="1084" spans="1:11" ht="15">
      <c r="A1084" s="3">
        <v>2054</v>
      </c>
      <c r="B1084" s="63">
        <f t="shared" ref="B1084:K1084" si="39">AVERAGE(B480:B491)</f>
        <v>7.4862000000000011</v>
      </c>
      <c r="C1084" s="63">
        <f t="shared" si="39"/>
        <v>7.4862000000000011</v>
      </c>
      <c r="D1084" s="63">
        <f t="shared" si="39"/>
        <v>7.5107416666666653</v>
      </c>
      <c r="E1084" s="63">
        <f t="shared" si="39"/>
        <v>8.6983249999999988</v>
      </c>
      <c r="F1084" s="63">
        <f t="shared" si="39"/>
        <v>8.6983249999999988</v>
      </c>
      <c r="G1084" s="63">
        <f t="shared" si="39"/>
        <v>8.6993000000000009</v>
      </c>
      <c r="H1084" s="63">
        <f t="shared" si="39"/>
        <v>14.974983333333332</v>
      </c>
      <c r="I1084" s="63">
        <f t="shared" si="39"/>
        <v>14.975991666666667</v>
      </c>
      <c r="J1084" s="63">
        <f t="shared" si="39"/>
        <v>8.6983249999999988</v>
      </c>
      <c r="K1084" s="63">
        <f t="shared" si="39"/>
        <v>8.6993000000000009</v>
      </c>
    </row>
    <row r="1085" spans="1:11" ht="15">
      <c r="A1085" s="3">
        <v>2055</v>
      </c>
      <c r="B1085" s="63">
        <f t="shared" ref="B1085:K1085" si="40">AVERAGE(B17:B503)</f>
        <v>4.7321876796714557</v>
      </c>
      <c r="C1085" s="63">
        <f t="shared" si="40"/>
        <v>4.7321876796714557</v>
      </c>
      <c r="D1085" s="63">
        <f t="shared" si="40"/>
        <v>4.7567722792607787</v>
      </c>
      <c r="E1085" s="63">
        <f t="shared" si="40"/>
        <v>5.4924942505133423</v>
      </c>
      <c r="F1085" s="63">
        <f t="shared" si="40"/>
        <v>5.5194205338808979</v>
      </c>
      <c r="G1085" s="63">
        <f t="shared" si="40"/>
        <v>5.5204215605749525</v>
      </c>
      <c r="H1085" s="63">
        <f t="shared" si="40"/>
        <v>9.7717281314168307</v>
      </c>
      <c r="I1085" s="63">
        <f t="shared" si="40"/>
        <v>9.7727260780287502</v>
      </c>
      <c r="J1085" s="63">
        <f t="shared" si="40"/>
        <v>5.4924942505133423</v>
      </c>
      <c r="K1085" s="63">
        <f t="shared" si="40"/>
        <v>5.4934958932238231</v>
      </c>
    </row>
    <row r="1086" spans="1:11" ht="15">
      <c r="A1086" s="3">
        <v>2056</v>
      </c>
      <c r="B1086" s="63">
        <f t="shared" ref="B1086:K1086" si="41">AVERAGE(B504:B515)</f>
        <v>7.9009416666666672</v>
      </c>
      <c r="C1086" s="63">
        <f t="shared" si="41"/>
        <v>7.9009416666666672</v>
      </c>
      <c r="D1086" s="63">
        <f t="shared" si="41"/>
        <v>7.9254833333333323</v>
      </c>
      <c r="E1086" s="63">
        <f t="shared" si="41"/>
        <v>9.192025000000001</v>
      </c>
      <c r="F1086" s="63">
        <f t="shared" si="41"/>
        <v>9.192025000000001</v>
      </c>
      <c r="G1086" s="63">
        <f t="shared" si="41"/>
        <v>9.1930166666666668</v>
      </c>
      <c r="H1086" s="63">
        <f t="shared" si="41"/>
        <v>15.741966666666665</v>
      </c>
      <c r="I1086" s="63">
        <f t="shared" si="41"/>
        <v>15.742941666666665</v>
      </c>
      <c r="J1086" s="63">
        <f t="shared" si="41"/>
        <v>9.192025000000001</v>
      </c>
      <c r="K1086" s="63">
        <f t="shared" si="41"/>
        <v>9.1930166666666668</v>
      </c>
    </row>
    <row r="1087" spans="1:11" ht="15">
      <c r="A1087" s="3">
        <v>2057</v>
      </c>
      <c r="B1087" s="63">
        <f t="shared" ref="B1087:K1087" si="42">AVERAGE(B516:B527)</f>
        <v>8.1169250000000002</v>
      </c>
      <c r="C1087" s="63">
        <f t="shared" si="42"/>
        <v>8.1169250000000002</v>
      </c>
      <c r="D1087" s="63">
        <f t="shared" si="42"/>
        <v>8.141491666666667</v>
      </c>
      <c r="E1087" s="63">
        <f t="shared" si="42"/>
        <v>9.4493000000000009</v>
      </c>
      <c r="F1087" s="63">
        <f t="shared" si="42"/>
        <v>9.4493000000000009</v>
      </c>
      <c r="G1087" s="63">
        <f t="shared" si="42"/>
        <v>9.450291666666665</v>
      </c>
      <c r="H1087" s="63">
        <f t="shared" si="42"/>
        <v>16.140033333333335</v>
      </c>
      <c r="I1087" s="63">
        <f t="shared" si="42"/>
        <v>16.14105</v>
      </c>
      <c r="J1087" s="63">
        <f t="shared" si="42"/>
        <v>9.4493000000000009</v>
      </c>
      <c r="K1087" s="63">
        <f t="shared" si="42"/>
        <v>9.450291666666665</v>
      </c>
    </row>
    <row r="1088" spans="1:11" ht="15">
      <c r="A1088" s="3">
        <v>2058</v>
      </c>
      <c r="B1088" s="63">
        <f t="shared" ref="B1088:K1088" si="43">AVERAGE(B528:B539)</f>
        <v>8.3388916666666688</v>
      </c>
      <c r="C1088" s="63">
        <f t="shared" si="43"/>
        <v>8.3388916666666688</v>
      </c>
      <c r="D1088" s="63">
        <f t="shared" si="43"/>
        <v>8.3634416666666667</v>
      </c>
      <c r="E1088" s="63">
        <f t="shared" si="43"/>
        <v>9.7137666666666664</v>
      </c>
      <c r="F1088" s="63">
        <f t="shared" si="43"/>
        <v>9.7137666666666664</v>
      </c>
      <c r="G1088" s="63">
        <f t="shared" si="43"/>
        <v>9.7147749999999977</v>
      </c>
      <c r="H1088" s="63">
        <f t="shared" si="43"/>
        <v>16.548199999999998</v>
      </c>
      <c r="I1088" s="63">
        <f t="shared" si="43"/>
        <v>16.549175000000002</v>
      </c>
      <c r="J1088" s="63">
        <f t="shared" si="43"/>
        <v>9.7137666666666664</v>
      </c>
      <c r="K1088" s="63">
        <f t="shared" si="43"/>
        <v>9.7147749999999977</v>
      </c>
    </row>
    <row r="1089" spans="1:11" ht="15">
      <c r="A1089" s="3">
        <v>2059</v>
      </c>
      <c r="B1089" s="63">
        <f t="shared" ref="B1089:K1089" si="44">AVERAGE(B540:B551)</f>
        <v>8.5669999999999984</v>
      </c>
      <c r="C1089" s="63">
        <f t="shared" si="44"/>
        <v>8.5669999999999984</v>
      </c>
      <c r="D1089" s="63">
        <f t="shared" si="44"/>
        <v>8.591524999999999</v>
      </c>
      <c r="E1089" s="63">
        <f t="shared" si="44"/>
        <v>9.9856583333333333</v>
      </c>
      <c r="F1089" s="63">
        <f t="shared" si="44"/>
        <v>9.9856583333333333</v>
      </c>
      <c r="G1089" s="63">
        <f t="shared" si="44"/>
        <v>9.9866333333333355</v>
      </c>
      <c r="H1089" s="63">
        <f t="shared" si="44"/>
        <v>16.966683333333329</v>
      </c>
      <c r="I1089" s="63">
        <f t="shared" si="44"/>
        <v>16.967666666666663</v>
      </c>
      <c r="J1089" s="63">
        <f t="shared" si="44"/>
        <v>9.9856583333333333</v>
      </c>
      <c r="K1089" s="63">
        <f t="shared" si="44"/>
        <v>9.9866333333333355</v>
      </c>
    </row>
    <row r="1090" spans="1:11" ht="15">
      <c r="A1090" s="3">
        <v>2060</v>
      </c>
      <c r="B1090" s="63">
        <f t="shared" ref="B1090:K1090" si="45">AVERAGE(B552:B563)</f>
        <v>8.8013749999999984</v>
      </c>
      <c r="C1090" s="63">
        <f t="shared" si="45"/>
        <v>8.8013749999999984</v>
      </c>
      <c r="D1090" s="63">
        <f t="shared" si="45"/>
        <v>8.8259166666666662</v>
      </c>
      <c r="E1090" s="63">
        <f t="shared" si="45"/>
        <v>10.265124999999999</v>
      </c>
      <c r="F1090" s="63">
        <f t="shared" si="45"/>
        <v>10.265124999999999</v>
      </c>
      <c r="G1090" s="63">
        <f t="shared" si="45"/>
        <v>10.266108333333333</v>
      </c>
      <c r="H1090" s="63">
        <f t="shared" si="45"/>
        <v>17.395733333333336</v>
      </c>
      <c r="I1090" s="63">
        <f t="shared" si="45"/>
        <v>17.396716666666666</v>
      </c>
      <c r="J1090" s="63">
        <f t="shared" si="45"/>
        <v>10.265124999999999</v>
      </c>
      <c r="K1090" s="63">
        <f t="shared" si="45"/>
        <v>10.266108333333333</v>
      </c>
    </row>
    <row r="1091" spans="1:11" ht="15">
      <c r="A1091" s="3">
        <v>2061</v>
      </c>
      <c r="B1091" s="63">
        <f t="shared" ref="B1091:K1091" si="46">AVERAGE(B564:B575)</f>
        <v>9.0422333333333338</v>
      </c>
      <c r="C1091" s="63">
        <f t="shared" si="46"/>
        <v>9.0422333333333338</v>
      </c>
      <c r="D1091" s="63">
        <f t="shared" si="46"/>
        <v>9.0667833333333334</v>
      </c>
      <c r="E1091" s="63">
        <f t="shared" si="46"/>
        <v>10.552424999999999</v>
      </c>
      <c r="F1091" s="63">
        <f t="shared" si="46"/>
        <v>10.552424999999999</v>
      </c>
      <c r="G1091" s="63">
        <f t="shared" si="46"/>
        <v>10.553425000000001</v>
      </c>
      <c r="H1091" s="63">
        <f t="shared" si="46"/>
        <v>17.835633333333334</v>
      </c>
      <c r="I1091" s="63">
        <f t="shared" si="46"/>
        <v>17.836641666666665</v>
      </c>
      <c r="J1091" s="63">
        <f t="shared" si="46"/>
        <v>10.552424999999999</v>
      </c>
      <c r="K1091" s="63">
        <f t="shared" si="46"/>
        <v>10.553425000000001</v>
      </c>
    </row>
    <row r="1092" spans="1:11" ht="15">
      <c r="A1092" s="3">
        <v>2062</v>
      </c>
      <c r="B1092" s="63">
        <f t="shared" ref="B1092:K1101" ca="1" si="47">AVERAGE(OFFSET(B$576,($A1092-$A$1092)*12,0,12,1))</f>
        <v>9.2897499999999997</v>
      </c>
      <c r="C1092" s="63">
        <f t="shared" ca="1" si="47"/>
        <v>9.2897499999999997</v>
      </c>
      <c r="D1092" s="63">
        <f t="shared" ca="1" si="47"/>
        <v>9.3143083333333347</v>
      </c>
      <c r="E1092" s="63">
        <f t="shared" ca="1" si="47"/>
        <v>10.847766666666667</v>
      </c>
      <c r="F1092" s="63">
        <f t="shared" ca="1" si="47"/>
        <v>10.847766666666667</v>
      </c>
      <c r="G1092" s="63">
        <f t="shared" ca="1" si="47"/>
        <v>10.848775000000002</v>
      </c>
      <c r="H1092" s="63">
        <f t="shared" ca="1" si="47"/>
        <v>18.286683333333333</v>
      </c>
      <c r="I1092" s="63">
        <f t="shared" ca="1" si="47"/>
        <v>18.287675000000004</v>
      </c>
      <c r="J1092" s="63">
        <f t="shared" ca="1" si="47"/>
        <v>10.847766666666667</v>
      </c>
      <c r="K1092" s="63">
        <f t="shared" ca="1" si="47"/>
        <v>10.848775000000002</v>
      </c>
    </row>
    <row r="1093" spans="1:11" ht="15">
      <c r="A1093" s="3">
        <v>2063</v>
      </c>
      <c r="B1093" s="63">
        <f t="shared" ca="1" si="47"/>
        <v>9.5372666666666657</v>
      </c>
      <c r="C1093" s="63">
        <f t="shared" ca="1" si="47"/>
        <v>9.5372666666666657</v>
      </c>
      <c r="D1093" s="63">
        <f t="shared" ca="1" si="47"/>
        <v>9.5618333333333343</v>
      </c>
      <c r="E1093" s="63">
        <f t="shared" ca="1" si="47"/>
        <v>11.143116666666666</v>
      </c>
      <c r="F1093" s="63">
        <f t="shared" ca="1" si="47"/>
        <v>11.143116666666666</v>
      </c>
      <c r="G1093" s="63">
        <f t="shared" ca="1" si="47"/>
        <v>11.144116666666667</v>
      </c>
      <c r="H1093" s="63">
        <f t="shared" ca="1" si="47"/>
        <v>18.7377</v>
      </c>
      <c r="I1093" s="63">
        <f t="shared" ca="1" si="47"/>
        <v>18.738724999999999</v>
      </c>
      <c r="J1093" s="63">
        <f t="shared" ca="1" si="47"/>
        <v>11.143116666666666</v>
      </c>
      <c r="K1093" s="63">
        <f t="shared" ca="1" si="47"/>
        <v>11.144116666666667</v>
      </c>
    </row>
    <row r="1094" spans="1:11" ht="15">
      <c r="A1094" s="3">
        <v>2064</v>
      </c>
      <c r="B1094" s="63">
        <f t="shared" ca="1" si="47"/>
        <v>9.7848083333333342</v>
      </c>
      <c r="C1094" s="63">
        <f t="shared" ca="1" si="47"/>
        <v>9.7848083333333342</v>
      </c>
      <c r="D1094" s="63">
        <f t="shared" ca="1" si="47"/>
        <v>9.8093416666666684</v>
      </c>
      <c r="E1094" s="63">
        <f t="shared" ca="1" si="47"/>
        <v>11.438450000000001</v>
      </c>
      <c r="F1094" s="63">
        <f t="shared" ca="1" si="47"/>
        <v>11.438450000000001</v>
      </c>
      <c r="G1094" s="63">
        <f t="shared" ca="1" si="47"/>
        <v>11.439458333333334</v>
      </c>
      <c r="H1094" s="63">
        <f t="shared" ca="1" si="47"/>
        <v>19.188758333333329</v>
      </c>
      <c r="I1094" s="63">
        <f t="shared" ca="1" si="47"/>
        <v>19.18975</v>
      </c>
      <c r="J1094" s="63">
        <f t="shared" ca="1" si="47"/>
        <v>11.438450000000001</v>
      </c>
      <c r="K1094" s="63">
        <f t="shared" ca="1" si="47"/>
        <v>11.439458333333334</v>
      </c>
    </row>
    <row r="1095" spans="1:11" ht="15">
      <c r="A1095" s="3">
        <v>2065</v>
      </c>
      <c r="B1095" s="63">
        <f t="shared" ca="1" si="47"/>
        <v>10.032308333333335</v>
      </c>
      <c r="C1095" s="63">
        <f t="shared" ca="1" si="47"/>
        <v>10.032308333333335</v>
      </c>
      <c r="D1095" s="63">
        <f t="shared" ca="1" si="47"/>
        <v>10.056850000000003</v>
      </c>
      <c r="E1095" s="63">
        <f t="shared" ca="1" si="47"/>
        <v>11.733808333333334</v>
      </c>
      <c r="F1095" s="63">
        <f t="shared" ca="1" si="47"/>
        <v>11.733808333333334</v>
      </c>
      <c r="G1095" s="63">
        <f t="shared" ca="1" si="47"/>
        <v>11.734783333333333</v>
      </c>
      <c r="H1095" s="63">
        <f t="shared" ca="1" si="47"/>
        <v>19.639800000000005</v>
      </c>
      <c r="I1095" s="63">
        <f t="shared" ca="1" si="47"/>
        <v>19.640766666666668</v>
      </c>
      <c r="J1095" s="63">
        <f t="shared" ca="1" si="47"/>
        <v>11.733808333333334</v>
      </c>
      <c r="K1095" s="63">
        <f t="shared" ca="1" si="47"/>
        <v>11.734783333333333</v>
      </c>
    </row>
    <row r="1096" spans="1:11" ht="15">
      <c r="A1096" s="3">
        <v>2066</v>
      </c>
      <c r="B1096" s="63">
        <f t="shared" ca="1" si="47"/>
        <v>10.279825000000001</v>
      </c>
      <c r="C1096" s="63">
        <f t="shared" ca="1" si="47"/>
        <v>10.279825000000001</v>
      </c>
      <c r="D1096" s="63">
        <f t="shared" ca="1" si="47"/>
        <v>10.304400000000001</v>
      </c>
      <c r="E1096" s="63">
        <f t="shared" ca="1" si="47"/>
        <v>12.029158333333333</v>
      </c>
      <c r="F1096" s="63">
        <f t="shared" ca="1" si="47"/>
        <v>12.029158333333333</v>
      </c>
      <c r="G1096" s="63">
        <f t="shared" ca="1" si="47"/>
        <v>12.030133333333332</v>
      </c>
      <c r="H1096" s="63">
        <f t="shared" ca="1" si="47"/>
        <v>20.090816666666665</v>
      </c>
      <c r="I1096" s="63">
        <f t="shared" ca="1" si="47"/>
        <v>20.091833333333337</v>
      </c>
      <c r="J1096" s="63">
        <f t="shared" ca="1" si="47"/>
        <v>12.029158333333333</v>
      </c>
      <c r="K1096" s="63">
        <f t="shared" ca="1" si="47"/>
        <v>12.030133333333332</v>
      </c>
    </row>
    <row r="1097" spans="1:11" ht="15">
      <c r="A1097" s="3">
        <v>2067</v>
      </c>
      <c r="B1097" s="63">
        <f t="shared" ca="1" si="47"/>
        <v>10.527333333333333</v>
      </c>
      <c r="C1097" s="63">
        <f t="shared" ca="1" si="47"/>
        <v>10.527333333333333</v>
      </c>
      <c r="D1097" s="63">
        <f t="shared" ca="1" si="47"/>
        <v>10.551908333333332</v>
      </c>
      <c r="E1097" s="63">
        <f t="shared" ca="1" si="47"/>
        <v>12.324491666666667</v>
      </c>
      <c r="F1097" s="63">
        <f t="shared" ca="1" si="47"/>
        <v>12.324491666666667</v>
      </c>
      <c r="G1097" s="63">
        <f t="shared" ca="1" si="47"/>
        <v>12.325483333333331</v>
      </c>
      <c r="H1097" s="63">
        <f t="shared" ca="1" si="47"/>
        <v>20.541858333333334</v>
      </c>
      <c r="I1097" s="63">
        <f t="shared" ca="1" si="47"/>
        <v>20.542858333333331</v>
      </c>
      <c r="J1097" s="63">
        <f t="shared" ca="1" si="47"/>
        <v>12.324491666666667</v>
      </c>
      <c r="K1097" s="63">
        <f t="shared" ca="1" si="47"/>
        <v>12.325483333333331</v>
      </c>
    </row>
    <row r="1098" spans="1:11" ht="15">
      <c r="A1098" s="3">
        <v>2068</v>
      </c>
      <c r="B1098" s="63">
        <f t="shared" ca="1" si="47"/>
        <v>10.774883333333333</v>
      </c>
      <c r="C1098" s="63">
        <f t="shared" ca="1" si="47"/>
        <v>10.774883333333333</v>
      </c>
      <c r="D1098" s="63">
        <f t="shared" ca="1" si="47"/>
        <v>10.799416666666666</v>
      </c>
      <c r="E1098" s="63">
        <f t="shared" ca="1" si="47"/>
        <v>12.619816666666667</v>
      </c>
      <c r="F1098" s="63">
        <f t="shared" ca="1" si="47"/>
        <v>12.619816666666667</v>
      </c>
      <c r="G1098" s="63">
        <f t="shared" ca="1" si="47"/>
        <v>12.620824999999998</v>
      </c>
      <c r="H1098" s="63">
        <f t="shared" ca="1" si="47"/>
        <v>20.992891666666669</v>
      </c>
      <c r="I1098" s="63">
        <f t="shared" ca="1" si="47"/>
        <v>20.993908333333337</v>
      </c>
      <c r="J1098" s="63">
        <f t="shared" ca="1" si="47"/>
        <v>12.619816666666667</v>
      </c>
      <c r="K1098" s="63">
        <f t="shared" ca="1" si="47"/>
        <v>12.620824999999998</v>
      </c>
    </row>
    <row r="1099" spans="1:11" ht="15">
      <c r="A1099" s="3">
        <v>2069</v>
      </c>
      <c r="B1099" s="63">
        <f t="shared" ca="1" si="47"/>
        <v>11.022399999999999</v>
      </c>
      <c r="C1099" s="63">
        <f t="shared" ca="1" si="47"/>
        <v>11.022399999999999</v>
      </c>
      <c r="D1099" s="63">
        <f t="shared" ca="1" si="47"/>
        <v>11.046941666666667</v>
      </c>
      <c r="E1099" s="63">
        <f t="shared" ca="1" si="47"/>
        <v>12.915183333333333</v>
      </c>
      <c r="F1099" s="63">
        <f t="shared" ca="1" si="47"/>
        <v>12.915183333333333</v>
      </c>
      <c r="G1099" s="63">
        <f t="shared" ca="1" si="47"/>
        <v>12.916150000000002</v>
      </c>
      <c r="H1099" s="63">
        <f t="shared" ca="1" si="47"/>
        <v>21.443916666666667</v>
      </c>
      <c r="I1099" s="63">
        <f t="shared" ca="1" si="47"/>
        <v>21.444924999999998</v>
      </c>
      <c r="J1099" s="63">
        <f t="shared" ca="1" si="47"/>
        <v>12.915183333333333</v>
      </c>
      <c r="K1099" s="63">
        <f t="shared" ca="1" si="47"/>
        <v>12.916150000000002</v>
      </c>
    </row>
    <row r="1100" spans="1:11" ht="15">
      <c r="A1100" s="3">
        <v>2070</v>
      </c>
      <c r="B1100" s="63">
        <f t="shared" ca="1" si="47"/>
        <v>11.269908333333333</v>
      </c>
      <c r="C1100" s="63">
        <f t="shared" ca="1" si="47"/>
        <v>11.269908333333333</v>
      </c>
      <c r="D1100" s="63">
        <f t="shared" ca="1" si="47"/>
        <v>11.294466666666667</v>
      </c>
      <c r="E1100" s="63">
        <f t="shared" ca="1" si="47"/>
        <v>13.210500000000001</v>
      </c>
      <c r="F1100" s="63">
        <f t="shared" ca="1" si="47"/>
        <v>13.210500000000001</v>
      </c>
      <c r="G1100" s="63">
        <f t="shared" ca="1" si="47"/>
        <v>13.211525</v>
      </c>
      <c r="H1100" s="63">
        <f t="shared" ca="1" si="47"/>
        <v>21.894974999999999</v>
      </c>
      <c r="I1100" s="63">
        <f t="shared" ca="1" si="47"/>
        <v>21.895966666666663</v>
      </c>
      <c r="J1100" s="63">
        <f t="shared" ca="1" si="47"/>
        <v>13.210500000000001</v>
      </c>
      <c r="K1100" s="63">
        <f t="shared" ca="1" si="47"/>
        <v>13.211525</v>
      </c>
    </row>
    <row r="1101" spans="1:11" ht="15">
      <c r="A1101" s="3">
        <v>2071</v>
      </c>
      <c r="B1101" s="63">
        <f t="shared" ca="1" si="47"/>
        <v>11.517416666666669</v>
      </c>
      <c r="C1101" s="63">
        <f t="shared" ca="1" si="47"/>
        <v>11.517416666666669</v>
      </c>
      <c r="D1101" s="63">
        <f t="shared" ca="1" si="47"/>
        <v>11.541974999999999</v>
      </c>
      <c r="E1101" s="63">
        <f t="shared" ca="1" si="47"/>
        <v>13.505833333333333</v>
      </c>
      <c r="F1101" s="63">
        <f t="shared" ca="1" si="47"/>
        <v>13.505833333333333</v>
      </c>
      <c r="G1101" s="63">
        <f t="shared" ca="1" si="47"/>
        <v>13.50685</v>
      </c>
      <c r="H1101" s="63">
        <f t="shared" ca="1" si="47"/>
        <v>22.346016666666667</v>
      </c>
      <c r="I1101" s="63">
        <f t="shared" ca="1" si="47"/>
        <v>22.346983333333338</v>
      </c>
      <c r="J1101" s="63">
        <f t="shared" ca="1" si="47"/>
        <v>13.505833333333333</v>
      </c>
      <c r="K1101" s="63">
        <f t="shared" ca="1" si="47"/>
        <v>13.50685</v>
      </c>
    </row>
    <row r="1102" spans="1:11" ht="15">
      <c r="A1102" s="3">
        <v>2072</v>
      </c>
      <c r="B1102" s="63">
        <f t="shared" ref="B1102:K1111" ca="1" si="48">AVERAGE(OFFSET(B$576,($A1102-$A$1092)*12,0,12,1))</f>
        <v>11.764941666666667</v>
      </c>
      <c r="C1102" s="63">
        <f t="shared" ca="1" si="48"/>
        <v>11.764941666666667</v>
      </c>
      <c r="D1102" s="63">
        <f t="shared" ca="1" si="48"/>
        <v>11.789499999999999</v>
      </c>
      <c r="E1102" s="63">
        <f t="shared" ca="1" si="48"/>
        <v>13.801191666666668</v>
      </c>
      <c r="F1102" s="63">
        <f t="shared" ca="1" si="48"/>
        <v>13.801191666666668</v>
      </c>
      <c r="G1102" s="63">
        <f t="shared" ca="1" si="48"/>
        <v>13.802191666666667</v>
      </c>
      <c r="H1102" s="63">
        <f t="shared" ca="1" si="48"/>
        <v>22.797041666666669</v>
      </c>
      <c r="I1102" s="63">
        <f t="shared" ca="1" si="48"/>
        <v>22.798033333333333</v>
      </c>
      <c r="J1102" s="63">
        <f t="shared" ca="1" si="48"/>
        <v>13.801191666666668</v>
      </c>
      <c r="K1102" s="63">
        <f t="shared" ca="1" si="48"/>
        <v>13.802191666666667</v>
      </c>
    </row>
    <row r="1103" spans="1:11" ht="15">
      <c r="A1103" s="3">
        <v>2073</v>
      </c>
      <c r="B1103" s="63">
        <f t="shared" ca="1" si="48"/>
        <v>12.012483333333334</v>
      </c>
      <c r="C1103" s="63">
        <f t="shared" ca="1" si="48"/>
        <v>12.012483333333334</v>
      </c>
      <c r="D1103" s="63">
        <f t="shared" ca="1" si="48"/>
        <v>12.037016666666664</v>
      </c>
      <c r="E1103" s="63">
        <f t="shared" ca="1" si="48"/>
        <v>14.096541666666665</v>
      </c>
      <c r="F1103" s="63">
        <f t="shared" ca="1" si="48"/>
        <v>14.096541666666665</v>
      </c>
      <c r="G1103" s="63">
        <f t="shared" ca="1" si="48"/>
        <v>14.097541666666666</v>
      </c>
      <c r="H1103" s="63">
        <f t="shared" ca="1" si="48"/>
        <v>23.248075000000004</v>
      </c>
      <c r="I1103" s="63">
        <f t="shared" ca="1" si="48"/>
        <v>23.249075000000001</v>
      </c>
      <c r="J1103" s="63">
        <f t="shared" ca="1" si="48"/>
        <v>14.096541666666665</v>
      </c>
      <c r="K1103" s="63">
        <f t="shared" ca="1" si="48"/>
        <v>14.097541666666666</v>
      </c>
    </row>
    <row r="1104" spans="1:11" ht="15">
      <c r="A1104" s="3">
        <v>2074</v>
      </c>
      <c r="B1104" s="63">
        <f t="shared" ca="1" si="48"/>
        <v>12.259991666666666</v>
      </c>
      <c r="C1104" s="63">
        <f t="shared" ca="1" si="48"/>
        <v>12.259991666666666</v>
      </c>
      <c r="D1104" s="63">
        <f t="shared" ca="1" si="48"/>
        <v>12.284541666666664</v>
      </c>
      <c r="E1104" s="63">
        <f t="shared" ca="1" si="48"/>
        <v>14.391883333333332</v>
      </c>
      <c r="F1104" s="63">
        <f t="shared" ca="1" si="48"/>
        <v>14.391883333333332</v>
      </c>
      <c r="G1104" s="63">
        <f t="shared" ca="1" si="48"/>
        <v>14.392883333333332</v>
      </c>
      <c r="H1104" s="63">
        <f t="shared" ca="1" si="48"/>
        <v>23.699116666666665</v>
      </c>
      <c r="I1104" s="63">
        <f t="shared" ca="1" si="48"/>
        <v>23.700116666666663</v>
      </c>
      <c r="J1104" s="63">
        <f t="shared" ca="1" si="48"/>
        <v>14.391883333333332</v>
      </c>
      <c r="K1104" s="63">
        <f t="shared" ca="1" si="48"/>
        <v>14.392883333333332</v>
      </c>
    </row>
    <row r="1105" spans="1:11" ht="15">
      <c r="A1105" s="3">
        <v>2075</v>
      </c>
      <c r="B1105" s="63">
        <f t="shared" ca="1" si="48"/>
        <v>12.5075</v>
      </c>
      <c r="C1105" s="63">
        <f t="shared" ca="1" si="48"/>
        <v>12.5075</v>
      </c>
      <c r="D1105" s="63">
        <f t="shared" ca="1" si="48"/>
        <v>12.532049999999998</v>
      </c>
      <c r="E1105" s="63">
        <f t="shared" ca="1" si="48"/>
        <v>14.687225000000003</v>
      </c>
      <c r="F1105" s="63">
        <f t="shared" ca="1" si="48"/>
        <v>14.687225000000003</v>
      </c>
      <c r="G1105" s="63">
        <f t="shared" ca="1" si="48"/>
        <v>14.688216666666669</v>
      </c>
      <c r="H1105" s="63">
        <f t="shared" ca="1" si="48"/>
        <v>24.150158333333334</v>
      </c>
      <c r="I1105" s="63">
        <f t="shared" ca="1" si="48"/>
        <v>24.151150000000001</v>
      </c>
      <c r="J1105" s="63">
        <f t="shared" ca="1" si="48"/>
        <v>14.687225000000003</v>
      </c>
      <c r="K1105" s="63">
        <f t="shared" ca="1" si="48"/>
        <v>14.688216666666669</v>
      </c>
    </row>
    <row r="1106" spans="1:11" ht="15">
      <c r="A1106" s="3">
        <v>2076</v>
      </c>
      <c r="B1106" s="63">
        <f t="shared" ca="1" si="48"/>
        <v>12.755041666666669</v>
      </c>
      <c r="C1106" s="63">
        <f t="shared" ca="1" si="48"/>
        <v>12.755041666666669</v>
      </c>
      <c r="D1106" s="63">
        <f t="shared" ca="1" si="48"/>
        <v>12.779566666666668</v>
      </c>
      <c r="E1106" s="63">
        <f t="shared" ca="1" si="48"/>
        <v>14.982583333333332</v>
      </c>
      <c r="F1106" s="63">
        <f t="shared" ca="1" si="48"/>
        <v>14.982583333333332</v>
      </c>
      <c r="G1106" s="63">
        <f t="shared" ca="1" si="48"/>
        <v>14.983575</v>
      </c>
      <c r="H1106" s="63">
        <f t="shared" ca="1" si="48"/>
        <v>24.601200000000002</v>
      </c>
      <c r="I1106" s="63">
        <f t="shared" ca="1" si="48"/>
        <v>24.602174999999992</v>
      </c>
      <c r="J1106" s="63">
        <f t="shared" ca="1" si="48"/>
        <v>14.982583333333332</v>
      </c>
      <c r="K1106" s="63">
        <f t="shared" ca="1" si="48"/>
        <v>14.983575</v>
      </c>
    </row>
    <row r="1107" spans="1:11" ht="15">
      <c r="A1107" s="3">
        <v>2077</v>
      </c>
      <c r="B1107" s="63">
        <f t="shared" ca="1" si="48"/>
        <v>13.002541666666668</v>
      </c>
      <c r="C1107" s="63">
        <f t="shared" ca="1" si="48"/>
        <v>13.002541666666668</v>
      </c>
      <c r="D1107" s="63">
        <f t="shared" ca="1" si="48"/>
        <v>13.027099999999999</v>
      </c>
      <c r="E1107" s="63">
        <f t="shared" ca="1" si="48"/>
        <v>15.277916666666664</v>
      </c>
      <c r="F1107" s="63">
        <f t="shared" ca="1" si="48"/>
        <v>15.277916666666664</v>
      </c>
      <c r="G1107" s="63">
        <f t="shared" ca="1" si="48"/>
        <v>15.278916666666666</v>
      </c>
      <c r="H1107" s="63">
        <f t="shared" ca="1" si="48"/>
        <v>25.052241666666664</v>
      </c>
      <c r="I1107" s="63">
        <f t="shared" ca="1" si="48"/>
        <v>25.053200000000004</v>
      </c>
      <c r="J1107" s="63">
        <f t="shared" ca="1" si="48"/>
        <v>15.277916666666664</v>
      </c>
      <c r="K1107" s="63">
        <f t="shared" ca="1" si="48"/>
        <v>15.278916666666666</v>
      </c>
    </row>
    <row r="1108" spans="1:11" ht="15">
      <c r="A1108" s="3">
        <v>2078</v>
      </c>
      <c r="B1108" s="63">
        <f t="shared" ca="1" si="48"/>
        <v>13.250050000000002</v>
      </c>
      <c r="C1108" s="63">
        <f t="shared" ca="1" si="48"/>
        <v>13.250050000000002</v>
      </c>
      <c r="D1108" s="63">
        <f t="shared" ca="1" si="48"/>
        <v>13.274625</v>
      </c>
      <c r="E1108" s="63">
        <f t="shared" ca="1" si="48"/>
        <v>15.573258333333335</v>
      </c>
      <c r="F1108" s="63">
        <f t="shared" ca="1" si="48"/>
        <v>15.573258333333335</v>
      </c>
      <c r="G1108" s="63">
        <f t="shared" ca="1" si="48"/>
        <v>15.574258333333335</v>
      </c>
      <c r="H1108" s="63">
        <f t="shared" ca="1" si="48"/>
        <v>25.503249999999998</v>
      </c>
      <c r="I1108" s="63">
        <f t="shared" ca="1" si="48"/>
        <v>25.504258333333336</v>
      </c>
      <c r="J1108" s="63">
        <f t="shared" ca="1" si="48"/>
        <v>15.573258333333335</v>
      </c>
      <c r="K1108" s="63">
        <f t="shared" ca="1" si="48"/>
        <v>15.574258333333335</v>
      </c>
    </row>
    <row r="1109" spans="1:11" ht="15">
      <c r="A1109" s="3">
        <v>2079</v>
      </c>
      <c r="B1109" s="63">
        <f t="shared" ca="1" si="48"/>
        <v>13.497583333333333</v>
      </c>
      <c r="C1109" s="63">
        <f t="shared" ca="1" si="48"/>
        <v>13.497583333333333</v>
      </c>
      <c r="D1109" s="63">
        <f t="shared" ca="1" si="48"/>
        <v>13.522141666666665</v>
      </c>
      <c r="E1109" s="63">
        <f t="shared" ca="1" si="48"/>
        <v>15.868608333333333</v>
      </c>
      <c r="F1109" s="63">
        <f t="shared" ca="1" si="48"/>
        <v>15.868608333333333</v>
      </c>
      <c r="G1109" s="63">
        <f t="shared" ca="1" si="48"/>
        <v>15.869591666666667</v>
      </c>
      <c r="H1109" s="63">
        <f t="shared" ca="1" si="48"/>
        <v>25.954283333333333</v>
      </c>
      <c r="I1109" s="63">
        <f t="shared" ca="1" si="48"/>
        <v>25.955291666666664</v>
      </c>
      <c r="J1109" s="63">
        <f t="shared" ca="1" si="48"/>
        <v>15.868608333333333</v>
      </c>
      <c r="K1109" s="63">
        <f t="shared" ca="1" si="48"/>
        <v>15.869591666666667</v>
      </c>
    </row>
    <row r="1110" spans="1:11" ht="15">
      <c r="A1110" s="3">
        <v>2080</v>
      </c>
      <c r="B1110" s="63">
        <f t="shared" ca="1" si="48"/>
        <v>13.745116666666668</v>
      </c>
      <c r="C1110" s="63">
        <f t="shared" ca="1" si="48"/>
        <v>13.745116666666668</v>
      </c>
      <c r="D1110" s="63">
        <f t="shared" ca="1" si="48"/>
        <v>13.769649999999999</v>
      </c>
      <c r="E1110" s="63">
        <f t="shared" ca="1" si="48"/>
        <v>16.163950000000003</v>
      </c>
      <c r="F1110" s="63">
        <f t="shared" ca="1" si="48"/>
        <v>16.163950000000003</v>
      </c>
      <c r="G1110" s="63">
        <f t="shared" ca="1" si="48"/>
        <v>16.164933333333334</v>
      </c>
      <c r="H1110" s="63">
        <f t="shared" ca="1" si="48"/>
        <v>26.405316666666661</v>
      </c>
      <c r="I1110" s="63">
        <f t="shared" ca="1" si="48"/>
        <v>26.406324999999999</v>
      </c>
      <c r="J1110" s="63">
        <f t="shared" ca="1" si="48"/>
        <v>16.163950000000003</v>
      </c>
      <c r="K1110" s="63">
        <f t="shared" ca="1" si="48"/>
        <v>16.164933333333334</v>
      </c>
    </row>
    <row r="1111" spans="1:11" ht="15">
      <c r="A1111" s="3">
        <v>2081</v>
      </c>
      <c r="B1111" s="63">
        <f t="shared" ca="1" si="48"/>
        <v>13.992633333333336</v>
      </c>
      <c r="C1111" s="63">
        <f t="shared" ca="1" si="48"/>
        <v>13.992633333333336</v>
      </c>
      <c r="D1111" s="63">
        <f t="shared" ca="1" si="48"/>
        <v>14.017158333333329</v>
      </c>
      <c r="E1111" s="63">
        <f t="shared" ca="1" si="48"/>
        <v>16.459275000000002</v>
      </c>
      <c r="F1111" s="63">
        <f t="shared" ca="1" si="48"/>
        <v>16.459275000000002</v>
      </c>
      <c r="G1111" s="63">
        <f t="shared" ca="1" si="48"/>
        <v>16.460291666666667</v>
      </c>
      <c r="H1111" s="63">
        <f t="shared" ca="1" si="48"/>
        <v>26.856358333333333</v>
      </c>
      <c r="I1111" s="63">
        <f t="shared" ca="1" si="48"/>
        <v>26.857358333333337</v>
      </c>
      <c r="J1111" s="63">
        <f t="shared" ca="1" si="48"/>
        <v>16.459275000000002</v>
      </c>
      <c r="K1111" s="63">
        <f t="shared" ca="1" si="48"/>
        <v>16.460291666666667</v>
      </c>
    </row>
    <row r="1112" spans="1:11" ht="15">
      <c r="A1112" s="3">
        <v>2082</v>
      </c>
      <c r="B1112" s="63">
        <f t="shared" ref="B1112:K1121" ca="1" si="49">AVERAGE(OFFSET(B$576,($A1112-$A$1092)*12,0,12,1))</f>
        <v>14.240133333333334</v>
      </c>
      <c r="C1112" s="63">
        <f t="shared" ca="1" si="49"/>
        <v>14.240133333333334</v>
      </c>
      <c r="D1112" s="63">
        <f t="shared" ca="1" si="49"/>
        <v>14.264691666666664</v>
      </c>
      <c r="E1112" s="63">
        <f t="shared" ca="1" si="49"/>
        <v>16.754633333333334</v>
      </c>
      <c r="F1112" s="63">
        <f t="shared" ca="1" si="49"/>
        <v>16.754633333333334</v>
      </c>
      <c r="G1112" s="63">
        <f t="shared" ca="1" si="49"/>
        <v>16.755616666666665</v>
      </c>
      <c r="H1112" s="63">
        <f t="shared" ca="1" si="49"/>
        <v>27.307400000000001</v>
      </c>
      <c r="I1112" s="63">
        <f t="shared" ca="1" si="49"/>
        <v>27.308391666666665</v>
      </c>
      <c r="J1112" s="63">
        <f t="shared" ca="1" si="49"/>
        <v>16.754633333333334</v>
      </c>
      <c r="K1112" s="63">
        <f t="shared" ca="1" si="49"/>
        <v>16.755616666666665</v>
      </c>
    </row>
    <row r="1113" spans="1:11" ht="15">
      <c r="A1113" s="3">
        <v>2083</v>
      </c>
      <c r="B1113" s="63">
        <f t="shared" ca="1" si="49"/>
        <v>14.487650000000002</v>
      </c>
      <c r="C1113" s="63">
        <f t="shared" ca="1" si="49"/>
        <v>14.487650000000002</v>
      </c>
      <c r="D1113" s="63">
        <f t="shared" ca="1" si="49"/>
        <v>14.512224999999999</v>
      </c>
      <c r="E1113" s="63">
        <f t="shared" ca="1" si="49"/>
        <v>17.049966666666666</v>
      </c>
      <c r="F1113" s="63">
        <f t="shared" ca="1" si="49"/>
        <v>17.049966666666666</v>
      </c>
      <c r="G1113" s="63">
        <f t="shared" ca="1" si="49"/>
        <v>17.050974999999998</v>
      </c>
      <c r="H1113" s="63">
        <f t="shared" ca="1" si="49"/>
        <v>27.758433333333329</v>
      </c>
      <c r="I1113" s="63">
        <f t="shared" ca="1" si="49"/>
        <v>27.75943333333333</v>
      </c>
      <c r="J1113" s="63">
        <f t="shared" ca="1" si="49"/>
        <v>17.049966666666666</v>
      </c>
      <c r="K1113" s="63">
        <f t="shared" ca="1" si="49"/>
        <v>17.050974999999998</v>
      </c>
    </row>
    <row r="1114" spans="1:11" ht="15">
      <c r="A1114" s="3">
        <v>2084</v>
      </c>
      <c r="B1114" s="63">
        <f t="shared" ca="1" si="49"/>
        <v>14.735199999999997</v>
      </c>
      <c r="C1114" s="63">
        <f t="shared" ca="1" si="49"/>
        <v>14.735199999999997</v>
      </c>
      <c r="D1114" s="63">
        <f t="shared" ca="1" si="49"/>
        <v>14.759724999999998</v>
      </c>
      <c r="E1114" s="63">
        <f t="shared" ca="1" si="49"/>
        <v>17.345324999999999</v>
      </c>
      <c r="F1114" s="63">
        <f t="shared" ca="1" si="49"/>
        <v>17.345324999999999</v>
      </c>
      <c r="G1114" s="63">
        <f t="shared" ca="1" si="49"/>
        <v>17.346308333333333</v>
      </c>
      <c r="H1114" s="63">
        <f t="shared" ca="1" si="49"/>
        <v>28.209475000000001</v>
      </c>
      <c r="I1114" s="63">
        <f t="shared" ca="1" si="49"/>
        <v>28.210474999999999</v>
      </c>
      <c r="J1114" s="63">
        <f t="shared" ca="1" si="49"/>
        <v>17.345324999999999</v>
      </c>
      <c r="K1114" s="63">
        <f t="shared" ca="1" si="49"/>
        <v>17.346308333333333</v>
      </c>
    </row>
    <row r="1115" spans="1:11" ht="15">
      <c r="A1115" s="3">
        <v>2085</v>
      </c>
      <c r="B1115" s="63">
        <f t="shared" ca="1" si="49"/>
        <v>14.982699999999999</v>
      </c>
      <c r="C1115" s="63">
        <f t="shared" ca="1" si="49"/>
        <v>14.982699999999999</v>
      </c>
      <c r="D1115" s="63">
        <f t="shared" ca="1" si="49"/>
        <v>15.007241666666665</v>
      </c>
      <c r="E1115" s="63">
        <f t="shared" ca="1" si="49"/>
        <v>17.640658333333334</v>
      </c>
      <c r="F1115" s="63">
        <f t="shared" ca="1" si="49"/>
        <v>17.640658333333334</v>
      </c>
      <c r="G1115" s="63">
        <f t="shared" ca="1" si="49"/>
        <v>17.641658333333336</v>
      </c>
      <c r="H1115" s="63">
        <f t="shared" ca="1" si="49"/>
        <v>28.660508333333336</v>
      </c>
      <c r="I1115" s="63">
        <f t="shared" ca="1" si="49"/>
        <v>28.661508333333334</v>
      </c>
      <c r="J1115" s="63">
        <f t="shared" ca="1" si="49"/>
        <v>17.640658333333334</v>
      </c>
      <c r="K1115" s="63">
        <f t="shared" ca="1" si="49"/>
        <v>17.641658333333336</v>
      </c>
    </row>
    <row r="1116" spans="1:11" ht="15">
      <c r="A1116" s="3">
        <v>2086</v>
      </c>
      <c r="B1116" s="63">
        <f t="shared" ca="1" si="49"/>
        <v>15.230216666666664</v>
      </c>
      <c r="C1116" s="63">
        <f t="shared" ca="1" si="49"/>
        <v>15.230216666666664</v>
      </c>
      <c r="D1116" s="63">
        <f t="shared" ca="1" si="49"/>
        <v>15.254766666666667</v>
      </c>
      <c r="E1116" s="63">
        <f t="shared" ca="1" si="49"/>
        <v>17.936008333333334</v>
      </c>
      <c r="F1116" s="63">
        <f t="shared" ca="1" si="49"/>
        <v>17.936008333333334</v>
      </c>
      <c r="G1116" s="63">
        <f t="shared" ca="1" si="49"/>
        <v>17.936983333333334</v>
      </c>
      <c r="H1116" s="63">
        <f t="shared" ca="1" si="49"/>
        <v>29.11153333333333</v>
      </c>
      <c r="I1116" s="63">
        <f t="shared" ca="1" si="49"/>
        <v>29.112550000000002</v>
      </c>
      <c r="J1116" s="63">
        <f t="shared" ca="1" si="49"/>
        <v>17.936008333333334</v>
      </c>
      <c r="K1116" s="63">
        <f t="shared" ca="1" si="49"/>
        <v>17.936983333333334</v>
      </c>
    </row>
    <row r="1117" spans="1:11" ht="15">
      <c r="A1117" s="3">
        <v>2087</v>
      </c>
      <c r="B1117" s="63">
        <f t="shared" ca="1" si="49"/>
        <v>15.477733333333333</v>
      </c>
      <c r="C1117" s="63">
        <f t="shared" ca="1" si="49"/>
        <v>15.477733333333333</v>
      </c>
      <c r="D1117" s="63">
        <f t="shared" ca="1" si="49"/>
        <v>15.502283333333333</v>
      </c>
      <c r="E1117" s="63">
        <f t="shared" ca="1" si="49"/>
        <v>18.231333333333335</v>
      </c>
      <c r="F1117" s="63">
        <f t="shared" ca="1" si="49"/>
        <v>18.231333333333335</v>
      </c>
      <c r="G1117" s="63">
        <f t="shared" ca="1" si="49"/>
        <v>18.232349999999997</v>
      </c>
      <c r="H1117" s="63">
        <f t="shared" ca="1" si="49"/>
        <v>29.562583333333333</v>
      </c>
      <c r="I1117" s="63">
        <f t="shared" ca="1" si="49"/>
        <v>29.563558333333333</v>
      </c>
      <c r="J1117" s="63">
        <f t="shared" ca="1" si="49"/>
        <v>18.231333333333335</v>
      </c>
      <c r="K1117" s="63">
        <f t="shared" ca="1" si="49"/>
        <v>18.232349999999997</v>
      </c>
    </row>
    <row r="1118" spans="1:11" ht="15">
      <c r="A1118" s="3">
        <v>2088</v>
      </c>
      <c r="B1118" s="63">
        <f t="shared" ca="1" si="49"/>
        <v>15.725258333333331</v>
      </c>
      <c r="C1118" s="63">
        <f t="shared" ca="1" si="49"/>
        <v>15.725258333333331</v>
      </c>
      <c r="D1118" s="63">
        <f t="shared" ca="1" si="49"/>
        <v>15.749808333333334</v>
      </c>
      <c r="E1118" s="63">
        <f t="shared" ca="1" si="49"/>
        <v>18.526683333333335</v>
      </c>
      <c r="F1118" s="63">
        <f t="shared" ca="1" si="49"/>
        <v>18.526683333333335</v>
      </c>
      <c r="G1118" s="63">
        <f t="shared" ca="1" si="49"/>
        <v>18.527674999999999</v>
      </c>
      <c r="H1118" s="63">
        <f t="shared" ca="1" si="49"/>
        <v>30.013625000000005</v>
      </c>
      <c r="I1118" s="63">
        <f t="shared" ca="1" si="49"/>
        <v>30.014599999999998</v>
      </c>
      <c r="J1118" s="63">
        <f t="shared" ca="1" si="49"/>
        <v>18.526683333333335</v>
      </c>
      <c r="K1118" s="63">
        <f t="shared" ca="1" si="49"/>
        <v>18.527674999999999</v>
      </c>
    </row>
    <row r="1119" spans="1:11" ht="15">
      <c r="A1119" s="3">
        <v>2089</v>
      </c>
      <c r="B1119" s="63">
        <f t="shared" ca="1" si="49"/>
        <v>15.972775000000004</v>
      </c>
      <c r="C1119" s="63">
        <f t="shared" ca="1" si="49"/>
        <v>15.972775000000004</v>
      </c>
      <c r="D1119" s="63">
        <f t="shared" ca="1" si="49"/>
        <v>15.997316666666668</v>
      </c>
      <c r="E1119" s="63">
        <f t="shared" ca="1" si="49"/>
        <v>18.822033333333334</v>
      </c>
      <c r="F1119" s="63">
        <f t="shared" ca="1" si="49"/>
        <v>18.822033333333334</v>
      </c>
      <c r="G1119" s="63">
        <f t="shared" ca="1" si="49"/>
        <v>18.823033333333331</v>
      </c>
      <c r="H1119" s="63">
        <f t="shared" ca="1" si="49"/>
        <v>30.464666666666663</v>
      </c>
      <c r="I1119" s="63">
        <f t="shared" ca="1" si="49"/>
        <v>30.46565</v>
      </c>
      <c r="J1119" s="63">
        <f t="shared" ca="1" si="49"/>
        <v>18.822033333333334</v>
      </c>
      <c r="K1119" s="63">
        <f t="shared" ca="1" si="49"/>
        <v>18.823033333333331</v>
      </c>
    </row>
    <row r="1120" spans="1:11" ht="15">
      <c r="A1120" s="3">
        <v>2090</v>
      </c>
      <c r="B1120" s="63">
        <f t="shared" ca="1" si="49"/>
        <v>16.220299999999998</v>
      </c>
      <c r="C1120" s="63">
        <f t="shared" ca="1" si="49"/>
        <v>16.220299999999998</v>
      </c>
      <c r="D1120" s="63">
        <f t="shared" ca="1" si="49"/>
        <v>16.24485</v>
      </c>
      <c r="E1120" s="63">
        <f t="shared" ca="1" si="49"/>
        <v>19.117366666666669</v>
      </c>
      <c r="F1120" s="63">
        <f t="shared" ca="1" si="49"/>
        <v>19.117366666666669</v>
      </c>
      <c r="G1120" s="63">
        <f t="shared" ca="1" si="49"/>
        <v>19.118358333333333</v>
      </c>
      <c r="H1120" s="63">
        <f t="shared" ca="1" si="49"/>
        <v>30.915683333333337</v>
      </c>
      <c r="I1120" s="63">
        <f t="shared" ca="1" si="49"/>
        <v>30.916691666666665</v>
      </c>
      <c r="J1120" s="63">
        <f t="shared" ca="1" si="49"/>
        <v>19.117366666666669</v>
      </c>
      <c r="K1120" s="63">
        <f t="shared" ca="1" si="49"/>
        <v>19.118358333333333</v>
      </c>
    </row>
    <row r="1121" spans="1:11" ht="15">
      <c r="A1121" s="3">
        <v>2091</v>
      </c>
      <c r="B1121" s="63">
        <f t="shared" ca="1" si="49"/>
        <v>16.467799999999997</v>
      </c>
      <c r="C1121" s="63">
        <f t="shared" ca="1" si="49"/>
        <v>16.467799999999997</v>
      </c>
      <c r="D1121" s="63">
        <f t="shared" ca="1" si="49"/>
        <v>16.492366666666666</v>
      </c>
      <c r="E1121" s="63">
        <f t="shared" ca="1" si="49"/>
        <v>19.412708333333331</v>
      </c>
      <c r="F1121" s="63">
        <f t="shared" ca="1" si="49"/>
        <v>19.412708333333331</v>
      </c>
      <c r="G1121" s="63">
        <f t="shared" ca="1" si="49"/>
        <v>19.413716666666669</v>
      </c>
      <c r="H1121" s="63">
        <f t="shared" ca="1" si="49"/>
        <v>31.366708333333332</v>
      </c>
      <c r="I1121" s="63">
        <f t="shared" ca="1" si="49"/>
        <v>31.367708333333329</v>
      </c>
      <c r="J1121" s="63">
        <f t="shared" ca="1" si="49"/>
        <v>19.412708333333331</v>
      </c>
      <c r="K1121" s="63">
        <f t="shared" ca="1" si="49"/>
        <v>19.413716666666669</v>
      </c>
    </row>
    <row r="1122" spans="1:11" ht="15">
      <c r="A1122" s="3">
        <v>2092</v>
      </c>
      <c r="B1122" s="63">
        <f t="shared" ref="B1122:K1130" ca="1" si="50">AVERAGE(OFFSET(B$576,($A1122-$A$1092)*12,0,12,1))</f>
        <v>16.715349999999997</v>
      </c>
      <c r="C1122" s="63">
        <f t="shared" ca="1" si="50"/>
        <v>16.715349999999997</v>
      </c>
      <c r="D1122" s="63">
        <f t="shared" ca="1" si="50"/>
        <v>16.739883333333335</v>
      </c>
      <c r="E1122" s="63">
        <f t="shared" ca="1" si="50"/>
        <v>19.708050000000004</v>
      </c>
      <c r="F1122" s="63">
        <f t="shared" ca="1" si="50"/>
        <v>19.708050000000004</v>
      </c>
      <c r="G1122" s="63">
        <f t="shared" ca="1" si="50"/>
        <v>19.709049999999998</v>
      </c>
      <c r="H1122" s="63">
        <f t="shared" ca="1" si="50"/>
        <v>31.817750000000007</v>
      </c>
      <c r="I1122" s="63">
        <f t="shared" ca="1" si="50"/>
        <v>31.818758333333335</v>
      </c>
      <c r="J1122" s="63">
        <f t="shared" ca="1" si="50"/>
        <v>19.708050000000004</v>
      </c>
      <c r="K1122" s="63">
        <f t="shared" ca="1" si="50"/>
        <v>19.709049999999998</v>
      </c>
    </row>
    <row r="1123" spans="1:11" ht="15">
      <c r="A1123" s="3">
        <v>2093</v>
      </c>
      <c r="B1123" s="63">
        <f t="shared" ca="1" si="50"/>
        <v>16.962858333333333</v>
      </c>
      <c r="C1123" s="63">
        <f t="shared" ca="1" si="50"/>
        <v>16.962858333333333</v>
      </c>
      <c r="D1123" s="63">
        <f t="shared" ca="1" si="50"/>
        <v>16.987391666666667</v>
      </c>
      <c r="E1123" s="63">
        <f t="shared" ca="1" si="50"/>
        <v>20.003391666666669</v>
      </c>
      <c r="F1123" s="63">
        <f t="shared" ca="1" si="50"/>
        <v>20.003391666666669</v>
      </c>
      <c r="G1123" s="63">
        <f t="shared" ca="1" si="50"/>
        <v>20.00440833333333</v>
      </c>
      <c r="H1123" s="63">
        <f t="shared" ca="1" si="50"/>
        <v>32.268808333333332</v>
      </c>
      <c r="I1123" s="63">
        <f t="shared" ca="1" si="50"/>
        <v>32.269791666666663</v>
      </c>
      <c r="J1123" s="63">
        <f t="shared" ca="1" si="50"/>
        <v>20.003391666666669</v>
      </c>
      <c r="K1123" s="63">
        <f t="shared" ca="1" si="50"/>
        <v>20.00440833333333</v>
      </c>
    </row>
    <row r="1124" spans="1:11" ht="15">
      <c r="A1124" s="3">
        <v>2094</v>
      </c>
      <c r="B1124" s="63">
        <f t="shared" ca="1" si="50"/>
        <v>17.210366666666665</v>
      </c>
      <c r="C1124" s="63">
        <f t="shared" ca="1" si="50"/>
        <v>17.210366666666665</v>
      </c>
      <c r="D1124" s="63">
        <f t="shared" ca="1" si="50"/>
        <v>17.234925</v>
      </c>
      <c r="E1124" s="63">
        <f t="shared" ca="1" si="50"/>
        <v>20.298733333333335</v>
      </c>
      <c r="F1124" s="63">
        <f t="shared" ca="1" si="50"/>
        <v>20.298733333333335</v>
      </c>
      <c r="G1124" s="63">
        <f t="shared" ca="1" si="50"/>
        <v>20.299750000000003</v>
      </c>
      <c r="H1124" s="63">
        <f t="shared" ca="1" si="50"/>
        <v>32.719841666666667</v>
      </c>
      <c r="I1124" s="63">
        <f t="shared" ca="1" si="50"/>
        <v>32.720833333333324</v>
      </c>
      <c r="J1124" s="63">
        <f t="shared" ca="1" si="50"/>
        <v>20.298733333333335</v>
      </c>
      <c r="K1124" s="63">
        <f t="shared" ca="1" si="50"/>
        <v>20.299750000000003</v>
      </c>
    </row>
    <row r="1125" spans="1:11" ht="15">
      <c r="A1125" s="3">
        <v>2095</v>
      </c>
      <c r="B1125" s="63">
        <f t="shared" ca="1" si="50"/>
        <v>17.457874999999998</v>
      </c>
      <c r="C1125" s="63">
        <f t="shared" ca="1" si="50"/>
        <v>17.457874999999998</v>
      </c>
      <c r="D1125" s="63">
        <f t="shared" ca="1" si="50"/>
        <v>17.482450000000004</v>
      </c>
      <c r="E1125" s="63">
        <f t="shared" ca="1" si="50"/>
        <v>20.594083333333334</v>
      </c>
      <c r="F1125" s="63">
        <f t="shared" ca="1" si="50"/>
        <v>20.594083333333334</v>
      </c>
      <c r="G1125" s="63">
        <f t="shared" ca="1" si="50"/>
        <v>20.595091666666665</v>
      </c>
      <c r="H1125" s="63">
        <f t="shared" ca="1" si="50"/>
        <v>33.170858333333335</v>
      </c>
      <c r="I1125" s="63">
        <f t="shared" ca="1" si="50"/>
        <v>33.171883333333334</v>
      </c>
      <c r="J1125" s="63">
        <f t="shared" ca="1" si="50"/>
        <v>20.594083333333334</v>
      </c>
      <c r="K1125" s="63">
        <f t="shared" ca="1" si="50"/>
        <v>20.595091666666665</v>
      </c>
    </row>
    <row r="1126" spans="1:11" ht="15">
      <c r="A1126" s="3">
        <v>2096</v>
      </c>
      <c r="B1126" s="63">
        <f t="shared" ca="1" si="50"/>
        <v>17.705416666666668</v>
      </c>
      <c r="C1126" s="63">
        <f t="shared" ca="1" si="50"/>
        <v>17.705416666666668</v>
      </c>
      <c r="D1126" s="63">
        <f t="shared" ca="1" si="50"/>
        <v>17.729966666666666</v>
      </c>
      <c r="E1126" s="63">
        <f t="shared" ca="1" si="50"/>
        <v>20.889433333333333</v>
      </c>
      <c r="F1126" s="63">
        <f t="shared" ca="1" si="50"/>
        <v>20.889433333333333</v>
      </c>
      <c r="G1126" s="63">
        <f t="shared" ca="1" si="50"/>
        <v>20.890416666666663</v>
      </c>
      <c r="H1126" s="63">
        <f t="shared" ca="1" si="50"/>
        <v>33.621900000000004</v>
      </c>
      <c r="I1126" s="63">
        <f t="shared" ca="1" si="50"/>
        <v>33.622908333333342</v>
      </c>
      <c r="J1126" s="63">
        <f t="shared" ca="1" si="50"/>
        <v>20.889433333333333</v>
      </c>
      <c r="K1126" s="63">
        <f t="shared" ca="1" si="50"/>
        <v>20.890416666666663</v>
      </c>
    </row>
    <row r="1127" spans="1:11" ht="15">
      <c r="A1127" s="3">
        <v>2097</v>
      </c>
      <c r="B1127" s="63">
        <f t="shared" ca="1" si="50"/>
        <v>17.952933333333334</v>
      </c>
      <c r="C1127" s="63">
        <f t="shared" ca="1" si="50"/>
        <v>17.952933333333334</v>
      </c>
      <c r="D1127" s="63">
        <f t="shared" ca="1" si="50"/>
        <v>17.977474999999998</v>
      </c>
      <c r="E1127" s="63">
        <f t="shared" ca="1" si="50"/>
        <v>21.184783333333336</v>
      </c>
      <c r="F1127" s="63">
        <f t="shared" ca="1" si="50"/>
        <v>21.184783333333336</v>
      </c>
      <c r="G1127" s="63">
        <f t="shared" ca="1" si="50"/>
        <v>21.18576666666667</v>
      </c>
      <c r="H1127" s="63">
        <f t="shared" ca="1" si="50"/>
        <v>34.072941666666665</v>
      </c>
      <c r="I1127" s="63">
        <f t="shared" ca="1" si="50"/>
        <v>34.073933333333336</v>
      </c>
      <c r="J1127" s="63">
        <f t="shared" ca="1" si="50"/>
        <v>21.184783333333336</v>
      </c>
      <c r="K1127" s="63">
        <f t="shared" ca="1" si="50"/>
        <v>21.18576666666667</v>
      </c>
    </row>
    <row r="1128" spans="1:11" ht="15">
      <c r="A1128" s="3">
        <v>2098</v>
      </c>
      <c r="B1128" s="63">
        <f t="shared" ca="1" si="50"/>
        <v>18.200441666666666</v>
      </c>
      <c r="C1128" s="63">
        <f t="shared" ca="1" si="50"/>
        <v>18.200441666666666</v>
      </c>
      <c r="D1128" s="63">
        <f t="shared" ca="1" si="50"/>
        <v>18.224999999999998</v>
      </c>
      <c r="E1128" s="63">
        <f t="shared" ca="1" si="50"/>
        <v>21.480099999999997</v>
      </c>
      <c r="F1128" s="63">
        <f t="shared" ca="1" si="50"/>
        <v>21.480099999999997</v>
      </c>
      <c r="G1128" s="63">
        <f t="shared" ca="1" si="50"/>
        <v>21.481108333333335</v>
      </c>
      <c r="H1128" s="63">
        <f t="shared" ca="1" si="50"/>
        <v>34.523975</v>
      </c>
      <c r="I1128" s="63">
        <f t="shared" ca="1" si="50"/>
        <v>34.524966666666664</v>
      </c>
      <c r="J1128" s="63">
        <f t="shared" ca="1" si="50"/>
        <v>21.480099999999997</v>
      </c>
      <c r="K1128" s="63">
        <f t="shared" ca="1" si="50"/>
        <v>21.481108333333335</v>
      </c>
    </row>
    <row r="1129" spans="1:11" ht="15">
      <c r="A1129" s="3">
        <v>2099</v>
      </c>
      <c r="B1129" s="63">
        <f t="shared" ca="1" si="50"/>
        <v>18.447958333333332</v>
      </c>
      <c r="C1129" s="63">
        <f t="shared" ca="1" si="50"/>
        <v>18.447958333333332</v>
      </c>
      <c r="D1129" s="63">
        <f t="shared" ca="1" si="50"/>
        <v>18.472516666666667</v>
      </c>
      <c r="E1129" s="63">
        <f t="shared" ca="1" si="50"/>
        <v>21.77546666666667</v>
      </c>
      <c r="F1129" s="63">
        <f t="shared" ca="1" si="50"/>
        <v>21.77546666666667</v>
      </c>
      <c r="G1129" s="63">
        <f t="shared" ca="1" si="50"/>
        <v>21.776441666666667</v>
      </c>
      <c r="H1129" s="63">
        <f t="shared" ca="1" si="50"/>
        <v>34.975008333333335</v>
      </c>
      <c r="I1129" s="63">
        <f t="shared" ca="1" si="50"/>
        <v>34.976016666666666</v>
      </c>
      <c r="J1129" s="63">
        <f t="shared" ca="1" si="50"/>
        <v>21.77546666666667</v>
      </c>
      <c r="K1129" s="63">
        <f t="shared" ca="1" si="50"/>
        <v>21.776441666666667</v>
      </c>
    </row>
    <row r="1130" spans="1:11" ht="15">
      <c r="A1130" s="3">
        <v>2100</v>
      </c>
      <c r="B1130" s="63">
        <f t="shared" ca="1" si="50"/>
        <v>18.695491666666666</v>
      </c>
      <c r="C1130" s="63">
        <f t="shared" ca="1" si="50"/>
        <v>18.695491666666666</v>
      </c>
      <c r="D1130" s="63">
        <f t="shared" ca="1" si="50"/>
        <v>18.720033333333333</v>
      </c>
      <c r="E1130" s="63">
        <f t="shared" ca="1" si="50"/>
        <v>22.070808333333336</v>
      </c>
      <c r="F1130" s="63">
        <f t="shared" ca="1" si="50"/>
        <v>22.070808333333336</v>
      </c>
      <c r="G1130" s="63">
        <f t="shared" ca="1" si="50"/>
        <v>22.071808333333333</v>
      </c>
      <c r="H1130" s="63">
        <f t="shared" ca="1" si="50"/>
        <v>35.426049999999996</v>
      </c>
      <c r="I1130" s="63">
        <f t="shared" ca="1" si="50"/>
        <v>35.427041666666668</v>
      </c>
      <c r="J1130" s="63">
        <f t="shared" ca="1" si="50"/>
        <v>22.070808333333336</v>
      </c>
      <c r="K1130" s="63">
        <f t="shared" ca="1" si="50"/>
        <v>22.071808333333333</v>
      </c>
    </row>
  </sheetData>
  <mergeCells count="7">
    <mergeCell ref="B14:D14"/>
    <mergeCell ref="L14:M14"/>
    <mergeCell ref="N14:O14"/>
    <mergeCell ref="L13:O13"/>
    <mergeCell ref="E14:G14"/>
    <mergeCell ref="J14:K14"/>
    <mergeCell ref="H14:I14"/>
  </mergeCells>
  <pageMargins left="0.25" right="0.25" top="0.5" bottom="0.5" header="0.25" footer="0.25"/>
  <pageSetup paperSize="119" scale="85" orientation="landscape" horizontalDpi="1200" verticalDpi="1200" r:id="rId1"/>
  <headerFooter alignWithMargins="0">
    <oddFooter xml:space="preserve">&amp;R&amp;A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381000</xdr:colOff>
                    <xdr:row>12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37"/>
  <sheetViews>
    <sheetView showGridLines="0" workbookViewId="0">
      <selection activeCell="A6" sqref="A6"/>
    </sheetView>
  </sheetViews>
  <sheetFormatPr defaultColWidth="8.88671875" defaultRowHeight="15.75"/>
  <cols>
    <col min="1" max="1" width="8.88671875" style="76"/>
    <col min="2" max="2" width="15.5546875" style="76" bestFit="1" customWidth="1"/>
    <col min="3" max="3" width="9.5546875" style="76" bestFit="1" customWidth="1"/>
    <col min="4" max="16384" width="8.88671875" style="76"/>
  </cols>
  <sheetData>
    <row r="1" spans="1:3">
      <c r="A1" s="84" t="s">
        <v>64</v>
      </c>
    </row>
    <row r="2" spans="1:3">
      <c r="A2" s="84" t="s">
        <v>65</v>
      </c>
    </row>
    <row r="3" spans="1:3">
      <c r="A3" s="84" t="s">
        <v>66</v>
      </c>
    </row>
    <row r="4" spans="1:3">
      <c r="A4" s="84" t="s">
        <v>67</v>
      </c>
    </row>
    <row r="5" spans="1:3">
      <c r="A5" s="84" t="s">
        <v>69</v>
      </c>
    </row>
    <row r="6" spans="1:3">
      <c r="A6" s="84" t="s">
        <v>73</v>
      </c>
    </row>
    <row r="8" spans="1:3">
      <c r="B8" s="81" t="s">
        <v>63</v>
      </c>
      <c r="C8" s="81" t="s">
        <v>54</v>
      </c>
    </row>
    <row r="9" spans="1:3">
      <c r="B9" s="83" t="s">
        <v>61</v>
      </c>
      <c r="C9" s="93">
        <v>2</v>
      </c>
    </row>
    <row r="10" spans="1:3">
      <c r="B10" s="83" t="s">
        <v>60</v>
      </c>
      <c r="C10" s="95"/>
    </row>
    <row r="11" spans="1:3">
      <c r="B11" s="82" t="s">
        <v>59</v>
      </c>
      <c r="C11" s="94"/>
    </row>
    <row r="14" spans="1:3">
      <c r="B14" s="81" t="s">
        <v>55</v>
      </c>
      <c r="C14" s="81" t="s">
        <v>54</v>
      </c>
    </row>
    <row r="15" spans="1:3">
      <c r="B15" s="83" t="s">
        <v>61</v>
      </c>
      <c r="C15" s="93">
        <v>2</v>
      </c>
    </row>
    <row r="16" spans="1:3">
      <c r="B16" s="83" t="s">
        <v>60</v>
      </c>
      <c r="C16" s="95"/>
    </row>
    <row r="17" spans="2:3">
      <c r="B17" s="82" t="s">
        <v>59</v>
      </c>
      <c r="C17" s="94"/>
    </row>
    <row r="21" spans="2:3">
      <c r="B21" s="81" t="s">
        <v>62</v>
      </c>
      <c r="C21" s="81" t="s">
        <v>54</v>
      </c>
    </row>
    <row r="22" spans="2:3">
      <c r="B22" s="83" t="s">
        <v>61</v>
      </c>
      <c r="C22" s="93">
        <v>2</v>
      </c>
    </row>
    <row r="23" spans="2:3">
      <c r="B23" s="83" t="s">
        <v>60</v>
      </c>
      <c r="C23" s="95"/>
    </row>
    <row r="24" spans="2:3">
      <c r="B24" s="82" t="s">
        <v>59</v>
      </c>
      <c r="C24" s="94"/>
    </row>
    <row r="27" spans="2:3">
      <c r="B27" s="81" t="s">
        <v>58</v>
      </c>
      <c r="C27" s="81" t="s">
        <v>54</v>
      </c>
    </row>
    <row r="28" spans="2:3">
      <c r="B28" s="80" t="s">
        <v>57</v>
      </c>
      <c r="C28" s="93">
        <v>1</v>
      </c>
    </row>
    <row r="29" spans="2:3">
      <c r="B29" s="79" t="s">
        <v>56</v>
      </c>
      <c r="C29" s="94"/>
    </row>
    <row r="31" spans="2:3">
      <c r="B31" s="81" t="s">
        <v>55</v>
      </c>
      <c r="C31" s="81" t="s">
        <v>54</v>
      </c>
    </row>
    <row r="32" spans="2:3">
      <c r="B32" s="80" t="s">
        <v>53</v>
      </c>
      <c r="C32" s="93">
        <v>1</v>
      </c>
    </row>
    <row r="33" spans="2:5">
      <c r="B33" s="79" t="s">
        <v>52</v>
      </c>
      <c r="C33" s="94"/>
    </row>
    <row r="37" spans="2:5">
      <c r="C37" s="78"/>
      <c r="E37" s="77"/>
    </row>
  </sheetData>
  <mergeCells count="5">
    <mergeCell ref="C32:C33"/>
    <mergeCell ref="C22:C24"/>
    <mergeCell ref="C28:C29"/>
    <mergeCell ref="C9:C11"/>
    <mergeCell ref="C15:C17"/>
  </mergeCells>
  <pageMargins left="0.25" right="0.25" top="0.5" bottom="0.5" header="0.25" footer="0.25"/>
  <pageSetup orientation="portrait" horizontalDpi="1200" verticalDpi="1200" r:id="rId1"/>
  <headerFooter alignWithMargins="0">
    <oddFooter xml:space="preserve">&amp;R&amp;A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RAP-NATURAL GAS PRICES</vt:lpstr>
      <vt:lpstr>RAP TEMPLATE-GAS AVAILABILITY</vt:lpstr>
      <vt:lpstr>RAP-HEAVY &amp; LIGHT OIL &amp; WTI</vt:lpstr>
      <vt:lpstr>RAP-SOLID FUEL PRICES</vt:lpstr>
      <vt:lpstr>CONTROL</vt:lpstr>
      <vt:lpstr>'RAP TEMPLATE-GAS AVAILABILITY'!Print_Area</vt:lpstr>
      <vt:lpstr>'RAP-HEAVY &amp; LIGHT OIL &amp; WTI'!Print_Area</vt:lpstr>
      <vt:lpstr>'RAP-NATURAL GAS PRICES'!Print_Area</vt:lpstr>
      <vt:lpstr>'RAP-SOLID FUEL PRICES'!Print_Area</vt:lpstr>
      <vt:lpstr>'RAP TEMPLATE-GAS AVAILABILITY'!Print_Titles</vt:lpstr>
      <vt:lpstr>'RAP-HEAVY &amp; LIGHT OIL &amp; WTI'!Print_Titles</vt:lpstr>
      <vt:lpstr>'RAP-NATURAL GAS PRICES'!Print_Titles</vt:lpstr>
      <vt:lpstr>'RAP-SOLID FUEL PRICES'!Print_Titles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2016-07-29T16:15:15Z</dcterms:created>
  <dcterms:modified xsi:type="dcterms:W3CDTF">2016-07-29T16:15:18Z</dcterms:modified>
</cp:coreProperties>
</file>